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ФЕР'!$26:$26</definedName>
    <definedName name="_xlnm.Print_Area" localSheetId="1">'Акт КС-2 c НР и СП'!$A$1:$H$313</definedName>
    <definedName name="_xlnm.Print_Area" localSheetId="0">'Смета 12 гр. по ФЕР'!$A$1:$L$186</definedName>
  </definedNames>
  <calcPr calcId="145621"/>
</workbook>
</file>

<file path=xl/calcChain.xml><?xml version="1.0" encoding="utf-8"?>
<calcChain xmlns="http://schemas.openxmlformats.org/spreadsheetml/2006/main">
  <c r="A1" i="7" l="1"/>
  <c r="G308" i="6"/>
  <c r="G303" i="6"/>
  <c r="C308" i="6"/>
  <c r="C303" i="6"/>
  <c r="G300" i="6"/>
  <c r="C300" i="6"/>
  <c r="G299" i="6"/>
  <c r="C299" i="6"/>
  <c r="G298" i="6"/>
  <c r="C298" i="6"/>
  <c r="H296" i="6"/>
  <c r="G294" i="6"/>
  <c r="C294" i="6"/>
  <c r="G293" i="6"/>
  <c r="C293" i="6"/>
  <c r="G292" i="6"/>
  <c r="C292" i="6"/>
  <c r="H289" i="6"/>
  <c r="C289" i="6"/>
  <c r="D287" i="6"/>
  <c r="AB286" i="6"/>
  <c r="AA286" i="6"/>
  <c r="Z286" i="6"/>
  <c r="Y286" i="6"/>
  <c r="X286" i="6"/>
  <c r="W286" i="6"/>
  <c r="V286" i="6"/>
  <c r="U286" i="6"/>
  <c r="T286" i="6"/>
  <c r="H286" i="6"/>
  <c r="G286" i="6"/>
  <c r="F286" i="6"/>
  <c r="E286" i="6"/>
  <c r="C286" i="6"/>
  <c r="D286" i="6"/>
  <c r="B286" i="6"/>
  <c r="D285" i="6"/>
  <c r="AB284" i="6"/>
  <c r="AA284" i="6"/>
  <c r="Z284" i="6"/>
  <c r="Y284" i="6"/>
  <c r="X284" i="6"/>
  <c r="W284" i="6"/>
  <c r="V284" i="6"/>
  <c r="U284" i="6"/>
  <c r="T284" i="6"/>
  <c r="H284" i="6"/>
  <c r="G284" i="6"/>
  <c r="F284" i="6"/>
  <c r="E284" i="6"/>
  <c r="C284" i="6"/>
  <c r="D284" i="6"/>
  <c r="B284" i="6"/>
  <c r="H283" i="6"/>
  <c r="G283" i="6"/>
  <c r="H282" i="6"/>
  <c r="G282" i="6"/>
  <c r="F282" i="6"/>
  <c r="H281" i="6"/>
  <c r="G281" i="6"/>
  <c r="F281" i="6"/>
  <c r="D280" i="6"/>
  <c r="D279" i="6"/>
  <c r="D278" i="6"/>
  <c r="D277" i="6"/>
  <c r="AB276" i="6"/>
  <c r="AA276" i="6"/>
  <c r="Z276" i="6"/>
  <c r="Y276" i="6"/>
  <c r="X276" i="6"/>
  <c r="W276" i="6"/>
  <c r="V276" i="6"/>
  <c r="U276" i="6"/>
  <c r="T276" i="6"/>
  <c r="H276" i="6"/>
  <c r="G276" i="6"/>
  <c r="F276" i="6"/>
  <c r="E276" i="6"/>
  <c r="C276" i="6"/>
  <c r="D276" i="6"/>
  <c r="B276" i="6"/>
  <c r="D275" i="6"/>
  <c r="AB274" i="6"/>
  <c r="AA274" i="6"/>
  <c r="Z274" i="6"/>
  <c r="Y274" i="6"/>
  <c r="X274" i="6"/>
  <c r="W274" i="6"/>
  <c r="V274" i="6"/>
  <c r="U274" i="6"/>
  <c r="T274" i="6"/>
  <c r="H274" i="6"/>
  <c r="G274" i="6"/>
  <c r="F274" i="6"/>
  <c r="E274" i="6"/>
  <c r="C274" i="6"/>
  <c r="D274" i="6"/>
  <c r="B274" i="6"/>
  <c r="D273" i="6"/>
  <c r="AB272" i="6"/>
  <c r="AA272" i="6"/>
  <c r="Z272" i="6"/>
  <c r="Y272" i="6"/>
  <c r="X272" i="6"/>
  <c r="W272" i="6"/>
  <c r="V272" i="6"/>
  <c r="U272" i="6"/>
  <c r="T272" i="6"/>
  <c r="H272" i="6"/>
  <c r="G272" i="6"/>
  <c r="F272" i="6"/>
  <c r="E272" i="6"/>
  <c r="C272" i="6"/>
  <c r="D272" i="6"/>
  <c r="B272" i="6"/>
  <c r="H271" i="6"/>
  <c r="G271" i="6"/>
  <c r="H270" i="6"/>
  <c r="G270" i="6"/>
  <c r="H269" i="6"/>
  <c r="G269" i="6"/>
  <c r="F269" i="6"/>
  <c r="H268" i="6"/>
  <c r="G268" i="6"/>
  <c r="H267" i="6"/>
  <c r="G267" i="6"/>
  <c r="F267" i="6"/>
  <c r="D261" i="6"/>
  <c r="D260" i="6"/>
  <c r="D259" i="6"/>
  <c r="D258" i="6"/>
  <c r="AB257" i="6"/>
  <c r="AA257" i="6"/>
  <c r="Z257" i="6"/>
  <c r="Y257" i="6"/>
  <c r="X257" i="6"/>
  <c r="W257" i="6"/>
  <c r="V257" i="6"/>
  <c r="U257" i="6"/>
  <c r="T257" i="6"/>
  <c r="H257" i="6"/>
  <c r="G257" i="6"/>
  <c r="F257" i="6"/>
  <c r="E257" i="6"/>
  <c r="C257" i="6"/>
  <c r="D257" i="6"/>
  <c r="B257" i="6"/>
  <c r="H256" i="6"/>
  <c r="G256" i="6"/>
  <c r="H255" i="6"/>
  <c r="G255" i="6"/>
  <c r="H254" i="6"/>
  <c r="G254" i="6"/>
  <c r="F254" i="6"/>
  <c r="H253" i="6"/>
  <c r="G253" i="6"/>
  <c r="H252" i="6"/>
  <c r="G252" i="6"/>
  <c r="F252" i="6"/>
  <c r="D245" i="6"/>
  <c r="D244" i="6"/>
  <c r="D243" i="6"/>
  <c r="D242" i="6"/>
  <c r="AB241" i="6"/>
  <c r="AA241" i="6"/>
  <c r="Z241" i="6"/>
  <c r="Y241" i="6"/>
  <c r="X241" i="6"/>
  <c r="W241" i="6"/>
  <c r="V241" i="6"/>
  <c r="U241" i="6"/>
  <c r="T241" i="6"/>
  <c r="H241" i="6"/>
  <c r="G241" i="6"/>
  <c r="F241" i="6"/>
  <c r="E241" i="6"/>
  <c r="C241" i="6"/>
  <c r="D241" i="6"/>
  <c r="B241" i="6"/>
  <c r="D240" i="6"/>
  <c r="AB239" i="6"/>
  <c r="AA239" i="6"/>
  <c r="Z239" i="6"/>
  <c r="Y239" i="6"/>
  <c r="X239" i="6"/>
  <c r="W239" i="6"/>
  <c r="V239" i="6"/>
  <c r="U239" i="6"/>
  <c r="T239" i="6"/>
  <c r="H239" i="6"/>
  <c r="G239" i="6"/>
  <c r="F239" i="6"/>
  <c r="E239" i="6"/>
  <c r="C239" i="6"/>
  <c r="D239" i="6"/>
  <c r="B239" i="6"/>
  <c r="D238" i="6"/>
  <c r="AB237" i="6"/>
  <c r="AA237" i="6"/>
  <c r="Z237" i="6"/>
  <c r="Y237" i="6"/>
  <c r="X237" i="6"/>
  <c r="W237" i="6"/>
  <c r="V237" i="6"/>
  <c r="U237" i="6"/>
  <c r="T237" i="6"/>
  <c r="H237" i="6"/>
  <c r="G237" i="6"/>
  <c r="F237" i="6"/>
  <c r="E237" i="6"/>
  <c r="C237" i="6"/>
  <c r="D237" i="6"/>
  <c r="B237" i="6"/>
  <c r="H236" i="6"/>
  <c r="G236" i="6"/>
  <c r="H235" i="6"/>
  <c r="G235" i="6"/>
  <c r="H234" i="6"/>
  <c r="G234" i="6"/>
  <c r="F234" i="6"/>
  <c r="H233" i="6"/>
  <c r="G233" i="6"/>
  <c r="H232" i="6"/>
  <c r="G232" i="6"/>
  <c r="F232" i="6"/>
  <c r="D226" i="6"/>
  <c r="D225" i="6"/>
  <c r="D224" i="6"/>
  <c r="D223" i="6"/>
  <c r="C222" i="6"/>
  <c r="AB221" i="6"/>
  <c r="AA221" i="6"/>
  <c r="Z221" i="6"/>
  <c r="Y221" i="6"/>
  <c r="X221" i="6"/>
  <c r="W221" i="6"/>
  <c r="V221" i="6"/>
  <c r="U221" i="6"/>
  <c r="T221" i="6"/>
  <c r="H221" i="6"/>
  <c r="G221" i="6"/>
  <c r="F221" i="6"/>
  <c r="E221" i="6"/>
  <c r="C221" i="6"/>
  <c r="D221" i="6"/>
  <c r="B221" i="6"/>
  <c r="D220" i="6"/>
  <c r="AB219" i="6"/>
  <c r="AA219" i="6"/>
  <c r="Z219" i="6"/>
  <c r="Y219" i="6"/>
  <c r="X219" i="6"/>
  <c r="W219" i="6"/>
  <c r="V219" i="6"/>
  <c r="U219" i="6"/>
  <c r="T219" i="6"/>
  <c r="H219" i="6"/>
  <c r="G219" i="6"/>
  <c r="F219" i="6"/>
  <c r="E219" i="6"/>
  <c r="C219" i="6"/>
  <c r="D219" i="6"/>
  <c r="B219" i="6"/>
  <c r="D218" i="6"/>
  <c r="AB217" i="6"/>
  <c r="AA217" i="6"/>
  <c r="Z217" i="6"/>
  <c r="Y217" i="6"/>
  <c r="X217" i="6"/>
  <c r="W217" i="6"/>
  <c r="V217" i="6"/>
  <c r="U217" i="6"/>
  <c r="T217" i="6"/>
  <c r="H217" i="6"/>
  <c r="G217" i="6"/>
  <c r="F217" i="6"/>
  <c r="E217" i="6"/>
  <c r="C217" i="6"/>
  <c r="D217" i="6"/>
  <c r="B217" i="6"/>
  <c r="D216" i="6"/>
  <c r="AB215" i="6"/>
  <c r="AA215" i="6"/>
  <c r="Z215" i="6"/>
  <c r="Y215" i="6"/>
  <c r="X215" i="6"/>
  <c r="W215" i="6"/>
  <c r="V215" i="6"/>
  <c r="U215" i="6"/>
  <c r="T215" i="6"/>
  <c r="H215" i="6"/>
  <c r="G215" i="6"/>
  <c r="F215" i="6"/>
  <c r="E215" i="6"/>
  <c r="C215" i="6"/>
  <c r="D215" i="6"/>
  <c r="B215" i="6"/>
  <c r="D214" i="6"/>
  <c r="AB213" i="6"/>
  <c r="AA213" i="6"/>
  <c r="Z213" i="6"/>
  <c r="Y213" i="6"/>
  <c r="X213" i="6"/>
  <c r="W213" i="6"/>
  <c r="V213" i="6"/>
  <c r="U213" i="6"/>
  <c r="T213" i="6"/>
  <c r="H213" i="6"/>
  <c r="G213" i="6"/>
  <c r="F213" i="6"/>
  <c r="E213" i="6"/>
  <c r="C213" i="6"/>
  <c r="D213" i="6"/>
  <c r="B213" i="6"/>
  <c r="D212" i="6"/>
  <c r="AB211" i="6"/>
  <c r="AA211" i="6"/>
  <c r="Z211" i="6"/>
  <c r="Y211" i="6"/>
  <c r="X211" i="6"/>
  <c r="W211" i="6"/>
  <c r="V211" i="6"/>
  <c r="U211" i="6"/>
  <c r="T211" i="6"/>
  <c r="H211" i="6"/>
  <c r="G211" i="6"/>
  <c r="F211" i="6"/>
  <c r="E211" i="6"/>
  <c r="C211" i="6"/>
  <c r="D211" i="6"/>
  <c r="B211" i="6"/>
  <c r="D210" i="6"/>
  <c r="AB209" i="6"/>
  <c r="AA209" i="6"/>
  <c r="Z209" i="6"/>
  <c r="Y209" i="6"/>
  <c r="X209" i="6"/>
  <c r="W209" i="6"/>
  <c r="V209" i="6"/>
  <c r="U209" i="6"/>
  <c r="T209" i="6"/>
  <c r="H209" i="6"/>
  <c r="G209" i="6"/>
  <c r="F209" i="6"/>
  <c r="E209" i="6"/>
  <c r="C209" i="6"/>
  <c r="D209" i="6"/>
  <c r="B209" i="6"/>
  <c r="H208" i="6"/>
  <c r="G208" i="6"/>
  <c r="H207" i="6"/>
  <c r="G207" i="6"/>
  <c r="H206" i="6"/>
  <c r="G206" i="6"/>
  <c r="F206" i="6"/>
  <c r="H205" i="6"/>
  <c r="G205" i="6"/>
  <c r="H204" i="6"/>
  <c r="G204" i="6"/>
  <c r="F204" i="6"/>
  <c r="D198" i="6"/>
  <c r="D197" i="6"/>
  <c r="D196" i="6"/>
  <c r="D195" i="6"/>
  <c r="C194" i="6"/>
  <c r="AB193" i="6"/>
  <c r="AA193" i="6"/>
  <c r="Z193" i="6"/>
  <c r="Y193" i="6"/>
  <c r="X193" i="6"/>
  <c r="W193" i="6"/>
  <c r="V193" i="6"/>
  <c r="U193" i="6"/>
  <c r="T193" i="6"/>
  <c r="H193" i="6"/>
  <c r="G193" i="6"/>
  <c r="F193" i="6"/>
  <c r="E193" i="6"/>
  <c r="C193" i="6"/>
  <c r="D193" i="6"/>
  <c r="B193" i="6"/>
  <c r="D192" i="6"/>
  <c r="AB191" i="6"/>
  <c r="AA191" i="6"/>
  <c r="Z191" i="6"/>
  <c r="Y191" i="6"/>
  <c r="X191" i="6"/>
  <c r="W191" i="6"/>
  <c r="V191" i="6"/>
  <c r="U191" i="6"/>
  <c r="T191" i="6"/>
  <c r="H191" i="6"/>
  <c r="G191" i="6"/>
  <c r="F191" i="6"/>
  <c r="E191" i="6"/>
  <c r="C191" i="6"/>
  <c r="D191" i="6"/>
  <c r="B191" i="6"/>
  <c r="D190" i="6"/>
  <c r="AB189" i="6"/>
  <c r="AA189" i="6"/>
  <c r="Z189" i="6"/>
  <c r="Y189" i="6"/>
  <c r="X189" i="6"/>
  <c r="W189" i="6"/>
  <c r="V189" i="6"/>
  <c r="U189" i="6"/>
  <c r="T189" i="6"/>
  <c r="H189" i="6"/>
  <c r="G189" i="6"/>
  <c r="F189" i="6"/>
  <c r="E189" i="6"/>
  <c r="D189" i="6"/>
  <c r="B189" i="6"/>
  <c r="H188" i="6"/>
  <c r="G188" i="6"/>
  <c r="H187" i="6"/>
  <c r="G187" i="6"/>
  <c r="F187" i="6"/>
  <c r="H186" i="6"/>
  <c r="G186" i="6"/>
  <c r="F186" i="6"/>
  <c r="D185" i="6"/>
  <c r="D184" i="6"/>
  <c r="D183" i="6"/>
  <c r="D182" i="6"/>
  <c r="C181" i="6"/>
  <c r="AB180" i="6"/>
  <c r="AA180" i="6"/>
  <c r="Z180" i="6"/>
  <c r="Y180" i="6"/>
  <c r="X180" i="6"/>
  <c r="W180" i="6"/>
  <c r="V180" i="6"/>
  <c r="U180" i="6"/>
  <c r="T180" i="6"/>
  <c r="H180" i="6"/>
  <c r="G180" i="6"/>
  <c r="F180" i="6"/>
  <c r="E180" i="6"/>
  <c r="C180" i="6"/>
  <c r="D180" i="6"/>
  <c r="B180" i="6"/>
  <c r="H179" i="6"/>
  <c r="G179" i="6"/>
  <c r="H178" i="6"/>
  <c r="G178" i="6"/>
  <c r="H177" i="6"/>
  <c r="G177" i="6"/>
  <c r="F177" i="6"/>
  <c r="H176" i="6"/>
  <c r="G176" i="6"/>
  <c r="H175" i="6"/>
  <c r="G175" i="6"/>
  <c r="F175" i="6"/>
  <c r="D169" i="6"/>
  <c r="D168" i="6"/>
  <c r="D167" i="6"/>
  <c r="D166" i="6"/>
  <c r="C165" i="6"/>
  <c r="AB164" i="6"/>
  <c r="AA164" i="6"/>
  <c r="Z164" i="6"/>
  <c r="Y164" i="6"/>
  <c r="X164" i="6"/>
  <c r="W164" i="6"/>
  <c r="V164" i="6"/>
  <c r="U164" i="6"/>
  <c r="T164" i="6"/>
  <c r="H164" i="6"/>
  <c r="G164" i="6"/>
  <c r="F164" i="6"/>
  <c r="E164" i="6"/>
  <c r="C164" i="6"/>
  <c r="D164" i="6"/>
  <c r="B164" i="6"/>
  <c r="D163" i="6"/>
  <c r="AB162" i="6"/>
  <c r="AA162" i="6"/>
  <c r="Z162" i="6"/>
  <c r="Y162" i="6"/>
  <c r="X162" i="6"/>
  <c r="W162" i="6"/>
  <c r="V162" i="6"/>
  <c r="U162" i="6"/>
  <c r="T162" i="6"/>
  <c r="H162" i="6"/>
  <c r="G162" i="6"/>
  <c r="F162" i="6"/>
  <c r="E162" i="6"/>
  <c r="C162" i="6"/>
  <c r="D162" i="6"/>
  <c r="B162" i="6"/>
  <c r="H161" i="6"/>
  <c r="G161" i="6"/>
  <c r="H160" i="6"/>
  <c r="G160" i="6"/>
  <c r="H159" i="6"/>
  <c r="G159" i="6"/>
  <c r="F159" i="6"/>
  <c r="H158" i="6"/>
  <c r="G158" i="6"/>
  <c r="H157" i="6"/>
  <c r="G157" i="6"/>
  <c r="F157" i="6"/>
  <c r="D151" i="6"/>
  <c r="D150" i="6"/>
  <c r="D149" i="6"/>
  <c r="D148" i="6"/>
  <c r="C147" i="6"/>
  <c r="AB146" i="6"/>
  <c r="AA146" i="6"/>
  <c r="Z146" i="6"/>
  <c r="Y146" i="6"/>
  <c r="X146" i="6"/>
  <c r="W146" i="6"/>
  <c r="V146" i="6"/>
  <c r="U146" i="6"/>
  <c r="T146" i="6"/>
  <c r="H146" i="6"/>
  <c r="G146" i="6"/>
  <c r="F146" i="6"/>
  <c r="E146" i="6"/>
  <c r="C146" i="6"/>
  <c r="D146" i="6"/>
  <c r="B146" i="6"/>
  <c r="D145" i="6"/>
  <c r="AB144" i="6"/>
  <c r="AA144" i="6"/>
  <c r="Z144" i="6"/>
  <c r="Y144" i="6"/>
  <c r="X144" i="6"/>
  <c r="W144" i="6"/>
  <c r="V144" i="6"/>
  <c r="U144" i="6"/>
  <c r="T144" i="6"/>
  <c r="H144" i="6"/>
  <c r="G144" i="6"/>
  <c r="F144" i="6"/>
  <c r="E144" i="6"/>
  <c r="D144" i="6"/>
  <c r="B144" i="6"/>
  <c r="D143" i="6"/>
  <c r="AB142" i="6"/>
  <c r="AA142" i="6"/>
  <c r="Z142" i="6"/>
  <c r="Y142" i="6"/>
  <c r="X142" i="6"/>
  <c r="W142" i="6"/>
  <c r="V142" i="6"/>
  <c r="U142" i="6"/>
  <c r="T142" i="6"/>
  <c r="H142" i="6"/>
  <c r="G142" i="6"/>
  <c r="F142" i="6"/>
  <c r="E142" i="6"/>
  <c r="C142" i="6"/>
  <c r="D142" i="6"/>
  <c r="B142" i="6"/>
  <c r="H141" i="6"/>
  <c r="G141" i="6"/>
  <c r="H140" i="6"/>
  <c r="G140" i="6"/>
  <c r="H139" i="6"/>
  <c r="G139" i="6"/>
  <c r="F139" i="6"/>
  <c r="H138" i="6"/>
  <c r="G138" i="6"/>
  <c r="H137" i="6"/>
  <c r="G137" i="6"/>
  <c r="F137" i="6"/>
  <c r="D131" i="6"/>
  <c r="D130" i="6"/>
  <c r="D129" i="6"/>
  <c r="D128" i="6"/>
  <c r="C127" i="6"/>
  <c r="AB126" i="6"/>
  <c r="AA126" i="6"/>
  <c r="Z126" i="6"/>
  <c r="Y126" i="6"/>
  <c r="X126" i="6"/>
  <c r="W126" i="6"/>
  <c r="V126" i="6"/>
  <c r="U126" i="6"/>
  <c r="T126" i="6"/>
  <c r="H126" i="6"/>
  <c r="G126" i="6"/>
  <c r="F126" i="6"/>
  <c r="E126" i="6"/>
  <c r="C126" i="6"/>
  <c r="D126" i="6"/>
  <c r="B126" i="6"/>
  <c r="D125" i="6"/>
  <c r="AB124" i="6"/>
  <c r="AA124" i="6"/>
  <c r="Z124" i="6"/>
  <c r="Y124" i="6"/>
  <c r="X124" i="6"/>
  <c r="W124" i="6"/>
  <c r="V124" i="6"/>
  <c r="U124" i="6"/>
  <c r="T124" i="6"/>
  <c r="H124" i="6"/>
  <c r="G124" i="6"/>
  <c r="F124" i="6"/>
  <c r="E124" i="6"/>
  <c r="D124" i="6"/>
  <c r="B124" i="6"/>
  <c r="H123" i="6"/>
  <c r="G123" i="6"/>
  <c r="H122" i="6"/>
  <c r="G122" i="6"/>
  <c r="H121" i="6"/>
  <c r="G121" i="6"/>
  <c r="F121" i="6"/>
  <c r="H120" i="6"/>
  <c r="G120" i="6"/>
  <c r="H119" i="6"/>
  <c r="G119" i="6"/>
  <c r="F119" i="6"/>
  <c r="D113" i="6"/>
  <c r="D112" i="6"/>
  <c r="D111" i="6"/>
  <c r="D110" i="6"/>
  <c r="C109" i="6"/>
  <c r="AB108" i="6"/>
  <c r="AA108" i="6"/>
  <c r="Z108" i="6"/>
  <c r="Y108" i="6"/>
  <c r="X108" i="6"/>
  <c r="W108" i="6"/>
  <c r="V108" i="6"/>
  <c r="U108" i="6"/>
  <c r="T108" i="6"/>
  <c r="H108" i="6"/>
  <c r="G108" i="6"/>
  <c r="F108" i="6"/>
  <c r="E108" i="6"/>
  <c r="C108" i="6"/>
  <c r="D108" i="6"/>
  <c r="B108" i="6"/>
  <c r="D107" i="6"/>
  <c r="AB106" i="6"/>
  <c r="AA106" i="6"/>
  <c r="Z106" i="6"/>
  <c r="Y106" i="6"/>
  <c r="X106" i="6"/>
  <c r="W106" i="6"/>
  <c r="V106" i="6"/>
  <c r="U106" i="6"/>
  <c r="T106" i="6"/>
  <c r="H106" i="6"/>
  <c r="G106" i="6"/>
  <c r="F106" i="6"/>
  <c r="E106" i="6"/>
  <c r="D106" i="6"/>
  <c r="B106" i="6"/>
  <c r="H105" i="6"/>
  <c r="G105" i="6"/>
  <c r="H104" i="6"/>
  <c r="G104" i="6"/>
  <c r="H103" i="6"/>
  <c r="G103" i="6"/>
  <c r="F103" i="6"/>
  <c r="H102" i="6"/>
  <c r="G102" i="6"/>
  <c r="H101" i="6"/>
  <c r="G101" i="6"/>
  <c r="F101" i="6"/>
  <c r="D95" i="6"/>
  <c r="D94" i="6"/>
  <c r="D93" i="6"/>
  <c r="D92" i="6"/>
  <c r="C91" i="6"/>
  <c r="AB90" i="6"/>
  <c r="AA90" i="6"/>
  <c r="Z90" i="6"/>
  <c r="Y90" i="6"/>
  <c r="X90" i="6"/>
  <c r="W90" i="6"/>
  <c r="V90" i="6"/>
  <c r="U90" i="6"/>
  <c r="T90" i="6"/>
  <c r="H90" i="6"/>
  <c r="G90" i="6"/>
  <c r="F90" i="6"/>
  <c r="E90" i="6"/>
  <c r="C90" i="6"/>
  <c r="D90" i="6"/>
  <c r="B90" i="6"/>
  <c r="H89" i="6"/>
  <c r="G89" i="6"/>
  <c r="H88" i="6"/>
  <c r="G88" i="6"/>
  <c r="F88" i="6"/>
  <c r="H87" i="6"/>
  <c r="G87" i="6"/>
  <c r="F87" i="6"/>
  <c r="D86" i="6"/>
  <c r="D85" i="6"/>
  <c r="D84" i="6"/>
  <c r="D83" i="6"/>
  <c r="C82" i="6"/>
  <c r="AB81" i="6"/>
  <c r="AA81" i="6"/>
  <c r="Z81" i="6"/>
  <c r="Y81" i="6"/>
  <c r="X81" i="6"/>
  <c r="W81" i="6"/>
  <c r="V81" i="6"/>
  <c r="U81" i="6"/>
  <c r="T81" i="6"/>
  <c r="H81" i="6"/>
  <c r="G81" i="6"/>
  <c r="F81" i="6"/>
  <c r="E81" i="6"/>
  <c r="C81" i="6"/>
  <c r="D81" i="6"/>
  <c r="B81" i="6"/>
  <c r="H80" i="6"/>
  <c r="G80" i="6"/>
  <c r="H79" i="6"/>
  <c r="G79" i="6"/>
  <c r="H78" i="6"/>
  <c r="G78" i="6"/>
  <c r="F78" i="6"/>
  <c r="H77" i="6"/>
  <c r="G77" i="6"/>
  <c r="H76" i="6"/>
  <c r="G76" i="6"/>
  <c r="F76" i="6"/>
  <c r="D69" i="6"/>
  <c r="D68" i="6"/>
  <c r="D67" i="6"/>
  <c r="D66" i="6"/>
  <c r="AB65" i="6"/>
  <c r="AA65" i="6"/>
  <c r="Z65" i="6"/>
  <c r="Y65" i="6"/>
  <c r="X65" i="6"/>
  <c r="W65" i="6"/>
  <c r="V65" i="6"/>
  <c r="U65" i="6"/>
  <c r="T65" i="6"/>
  <c r="H65" i="6"/>
  <c r="G65" i="6"/>
  <c r="F65" i="6"/>
  <c r="E65" i="6"/>
  <c r="C65" i="6"/>
  <c r="D65" i="6"/>
  <c r="B65" i="6"/>
  <c r="H64" i="6"/>
  <c r="G64" i="6"/>
  <c r="H63" i="6"/>
  <c r="G63" i="6"/>
  <c r="H62" i="6"/>
  <c r="G62" i="6"/>
  <c r="F62" i="6"/>
  <c r="H61" i="6"/>
  <c r="G61" i="6"/>
  <c r="H60" i="6"/>
  <c r="G60" i="6"/>
  <c r="F60" i="6"/>
  <c r="D59" i="6"/>
  <c r="D58" i="6"/>
  <c r="D57" i="6"/>
  <c r="D56" i="6"/>
  <c r="C55" i="6"/>
  <c r="AB54" i="6"/>
  <c r="AA54" i="6"/>
  <c r="Z54" i="6"/>
  <c r="Y54" i="6"/>
  <c r="X54" i="6"/>
  <c r="W54" i="6"/>
  <c r="V54" i="6"/>
  <c r="U54" i="6"/>
  <c r="T54" i="6"/>
  <c r="H54" i="6"/>
  <c r="G54" i="6"/>
  <c r="F54" i="6"/>
  <c r="E54" i="6"/>
  <c r="C54" i="6"/>
  <c r="D54" i="6"/>
  <c r="B54" i="6"/>
  <c r="H53" i="6"/>
  <c r="G53" i="6"/>
  <c r="H52" i="6"/>
  <c r="G52" i="6"/>
  <c r="H51" i="6"/>
  <c r="G51" i="6"/>
  <c r="F51" i="6"/>
  <c r="H50" i="6"/>
  <c r="G50" i="6"/>
  <c r="H49" i="6"/>
  <c r="G49" i="6"/>
  <c r="F49" i="6"/>
  <c r="D42" i="6"/>
  <c r="D41" i="6"/>
  <c r="D40" i="6"/>
  <c r="D39" i="6"/>
  <c r="AB38" i="6"/>
  <c r="AA38" i="6"/>
  <c r="Z38" i="6"/>
  <c r="Y38" i="6"/>
  <c r="X38" i="6"/>
  <c r="W38" i="6"/>
  <c r="V38" i="6"/>
  <c r="U38" i="6"/>
  <c r="T38" i="6"/>
  <c r="H38" i="6"/>
  <c r="G38" i="6"/>
  <c r="F38" i="6"/>
  <c r="E38" i="6"/>
  <c r="C38" i="6"/>
  <c r="D38" i="6"/>
  <c r="B38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10" i="5"/>
  <c r="J185" i="5"/>
  <c r="C185" i="5"/>
  <c r="J184" i="5"/>
  <c r="C184" i="5"/>
  <c r="J183" i="5"/>
  <c r="C183" i="5"/>
  <c r="I22" i="5"/>
  <c r="I21" i="5"/>
  <c r="G21" i="5" s="1"/>
  <c r="I20" i="5"/>
  <c r="I19" i="5"/>
  <c r="I18" i="5"/>
  <c r="I17" i="5"/>
  <c r="I16" i="5"/>
  <c r="A182" i="5"/>
  <c r="L180" i="5"/>
  <c r="Q180" i="5" s="1"/>
  <c r="Z180" i="5"/>
  <c r="Y180" i="5"/>
  <c r="X180" i="5"/>
  <c r="K179" i="5"/>
  <c r="J180" i="5" s="1"/>
  <c r="P180" i="5" s="1"/>
  <c r="H179" i="5"/>
  <c r="G180" i="5" s="1"/>
  <c r="O180" i="5" s="1"/>
  <c r="J179" i="5"/>
  <c r="G179" i="5"/>
  <c r="F179" i="5"/>
  <c r="V179" i="5"/>
  <c r="T179" i="5"/>
  <c r="U179" i="5"/>
  <c r="S179" i="5"/>
  <c r="E179" i="5"/>
  <c r="D179" i="5"/>
  <c r="I179" i="5"/>
  <c r="C179" i="5"/>
  <c r="B179" i="5"/>
  <c r="A179" i="5"/>
  <c r="L178" i="5"/>
  <c r="Q178" i="5" s="1"/>
  <c r="Z178" i="5"/>
  <c r="Y178" i="5"/>
  <c r="X178" i="5"/>
  <c r="K177" i="5"/>
  <c r="J178" i="5" s="1"/>
  <c r="P178" i="5" s="1"/>
  <c r="H177" i="5"/>
  <c r="G178" i="5" s="1"/>
  <c r="O178" i="5" s="1"/>
  <c r="J177" i="5"/>
  <c r="G177" i="5"/>
  <c r="F177" i="5"/>
  <c r="V177" i="5"/>
  <c r="T177" i="5"/>
  <c r="U177" i="5"/>
  <c r="S177" i="5"/>
  <c r="E177" i="5"/>
  <c r="D177" i="5"/>
  <c r="I177" i="5"/>
  <c r="C177" i="5"/>
  <c r="B177" i="5"/>
  <c r="A177" i="5"/>
  <c r="L176" i="5"/>
  <c r="Q176" i="5" s="1"/>
  <c r="Z176" i="5"/>
  <c r="Y176" i="5"/>
  <c r="X176" i="5"/>
  <c r="L175" i="5"/>
  <c r="G175" i="5"/>
  <c r="E175" i="5"/>
  <c r="J174" i="5"/>
  <c r="E174" i="5"/>
  <c r="J173" i="5"/>
  <c r="E173" i="5"/>
  <c r="K172" i="5"/>
  <c r="J172" i="5"/>
  <c r="H172" i="5"/>
  <c r="G172" i="5"/>
  <c r="F172" i="5"/>
  <c r="K171" i="5"/>
  <c r="J171" i="5"/>
  <c r="H171" i="5"/>
  <c r="R171" i="5" s="1"/>
  <c r="G171" i="5"/>
  <c r="F171" i="5"/>
  <c r="V170" i="5"/>
  <c r="K174" i="5" s="1"/>
  <c r="T170" i="5"/>
  <c r="K173" i="5" s="1"/>
  <c r="U170" i="5"/>
  <c r="H174" i="5" s="1"/>
  <c r="S170" i="5"/>
  <c r="H173" i="5" s="1"/>
  <c r="F170" i="5"/>
  <c r="E170" i="5"/>
  <c r="D170" i="5"/>
  <c r="I170" i="5"/>
  <c r="C170" i="5"/>
  <c r="B170" i="5"/>
  <c r="A170" i="5"/>
  <c r="L169" i="5"/>
  <c r="Q169" i="5" s="1"/>
  <c r="Z169" i="5"/>
  <c r="Y169" i="5"/>
  <c r="X169" i="5"/>
  <c r="K168" i="5"/>
  <c r="J168" i="5"/>
  <c r="Z168" i="5"/>
  <c r="Y168" i="5"/>
  <c r="X168" i="5"/>
  <c r="H168" i="5"/>
  <c r="W168" i="5" s="1"/>
  <c r="F168" i="5"/>
  <c r="V168" i="5"/>
  <c r="T168" i="5"/>
  <c r="U168" i="5"/>
  <c r="S168" i="5"/>
  <c r="E168" i="5"/>
  <c r="D168" i="5"/>
  <c r="C168" i="5"/>
  <c r="B168" i="5"/>
  <c r="A168" i="5"/>
  <c r="K167" i="5"/>
  <c r="J167" i="5"/>
  <c r="Z167" i="5"/>
  <c r="Y167" i="5"/>
  <c r="X167" i="5"/>
  <c r="H167" i="5"/>
  <c r="W167" i="5" s="1"/>
  <c r="F167" i="5"/>
  <c r="V167" i="5"/>
  <c r="T167" i="5"/>
  <c r="U167" i="5"/>
  <c r="S167" i="5"/>
  <c r="E167" i="5"/>
  <c r="D167" i="5"/>
  <c r="C167" i="5"/>
  <c r="B167" i="5"/>
  <c r="A167" i="5"/>
  <c r="L166" i="5"/>
  <c r="G166" i="5"/>
  <c r="E166" i="5"/>
  <c r="J165" i="5"/>
  <c r="F165" i="5"/>
  <c r="E165" i="5"/>
  <c r="J164" i="5"/>
  <c r="F164" i="5"/>
  <c r="E164" i="5"/>
  <c r="K163" i="5"/>
  <c r="J163" i="5"/>
  <c r="H163" i="5"/>
  <c r="G163" i="5"/>
  <c r="F163" i="5"/>
  <c r="K162" i="5"/>
  <c r="J162" i="5"/>
  <c r="H162" i="5"/>
  <c r="R162" i="5" s="1"/>
  <c r="G162" i="5"/>
  <c r="F162" i="5"/>
  <c r="K161" i="5"/>
  <c r="J161" i="5"/>
  <c r="H161" i="5"/>
  <c r="G161" i="5"/>
  <c r="F161" i="5"/>
  <c r="K160" i="5"/>
  <c r="J160" i="5"/>
  <c r="H160" i="5"/>
  <c r="R160" i="5" s="1"/>
  <c r="G160" i="5"/>
  <c r="F160" i="5"/>
  <c r="V159" i="5"/>
  <c r="T159" i="5"/>
  <c r="K164" i="5" s="1"/>
  <c r="U159" i="5"/>
  <c r="S159" i="5"/>
  <c r="F159" i="5"/>
  <c r="E159" i="5"/>
  <c r="D159" i="5"/>
  <c r="I159" i="5"/>
  <c r="C159" i="5"/>
  <c r="B159" i="5"/>
  <c r="A159" i="5"/>
  <c r="L158" i="5"/>
  <c r="Q158" i="5" s="1"/>
  <c r="Z158" i="5"/>
  <c r="Y158" i="5"/>
  <c r="X158" i="5"/>
  <c r="L157" i="5"/>
  <c r="G157" i="5"/>
  <c r="E157" i="5"/>
  <c r="J156" i="5"/>
  <c r="F156" i="5"/>
  <c r="E156" i="5"/>
  <c r="J155" i="5"/>
  <c r="F155" i="5"/>
  <c r="E155" i="5"/>
  <c r="K154" i="5"/>
  <c r="J154" i="5"/>
  <c r="H154" i="5"/>
  <c r="R154" i="5" s="1"/>
  <c r="G154" i="5"/>
  <c r="F154" i="5"/>
  <c r="K153" i="5"/>
  <c r="J153" i="5"/>
  <c r="H153" i="5"/>
  <c r="G153" i="5"/>
  <c r="F153" i="5"/>
  <c r="K152" i="5"/>
  <c r="J152" i="5"/>
  <c r="H152" i="5"/>
  <c r="R152" i="5" s="1"/>
  <c r="G152" i="5"/>
  <c r="F152" i="5"/>
  <c r="V151" i="5"/>
  <c r="K156" i="5" s="1"/>
  <c r="T151" i="5"/>
  <c r="K155" i="5" s="1"/>
  <c r="U151" i="5"/>
  <c r="H156" i="5" s="1"/>
  <c r="S151" i="5"/>
  <c r="H155" i="5" s="1"/>
  <c r="F151" i="5"/>
  <c r="E151" i="5"/>
  <c r="D151" i="5"/>
  <c r="I151" i="5"/>
  <c r="C151" i="5"/>
  <c r="B151" i="5"/>
  <c r="A151" i="5"/>
  <c r="L150" i="5"/>
  <c r="Q150" i="5" s="1"/>
  <c r="Z150" i="5"/>
  <c r="Y150" i="5"/>
  <c r="X150" i="5"/>
  <c r="K149" i="5"/>
  <c r="J149" i="5"/>
  <c r="Z149" i="5"/>
  <c r="Y149" i="5"/>
  <c r="X149" i="5"/>
  <c r="H149" i="5"/>
  <c r="W149" i="5" s="1"/>
  <c r="F149" i="5"/>
  <c r="V149" i="5"/>
  <c r="T149" i="5"/>
  <c r="U149" i="5"/>
  <c r="S149" i="5"/>
  <c r="E149" i="5"/>
  <c r="D149" i="5"/>
  <c r="C149" i="5"/>
  <c r="B149" i="5"/>
  <c r="A149" i="5"/>
  <c r="K148" i="5"/>
  <c r="J148" i="5"/>
  <c r="Z148" i="5"/>
  <c r="Y148" i="5"/>
  <c r="X148" i="5"/>
  <c r="H148" i="5"/>
  <c r="W148" i="5" s="1"/>
  <c r="F148" i="5"/>
  <c r="V148" i="5"/>
  <c r="T148" i="5"/>
  <c r="U148" i="5"/>
  <c r="S148" i="5"/>
  <c r="E148" i="5"/>
  <c r="D148" i="5"/>
  <c r="C148" i="5"/>
  <c r="B148" i="5"/>
  <c r="A148" i="5"/>
  <c r="L147" i="5"/>
  <c r="G147" i="5"/>
  <c r="E147" i="5"/>
  <c r="J146" i="5"/>
  <c r="F146" i="5"/>
  <c r="E146" i="5"/>
  <c r="J145" i="5"/>
  <c r="F145" i="5"/>
  <c r="E145" i="5"/>
  <c r="K144" i="5"/>
  <c r="J144" i="5"/>
  <c r="H144" i="5"/>
  <c r="G144" i="5"/>
  <c r="F144" i="5"/>
  <c r="K143" i="5"/>
  <c r="J143" i="5"/>
  <c r="H143" i="5"/>
  <c r="G143" i="5"/>
  <c r="F143" i="5"/>
  <c r="C142" i="5"/>
  <c r="V141" i="5"/>
  <c r="T141" i="5"/>
  <c r="U141" i="5"/>
  <c r="S141" i="5"/>
  <c r="F141" i="5"/>
  <c r="E141" i="5"/>
  <c r="D141" i="5"/>
  <c r="I141" i="5"/>
  <c r="C141" i="5"/>
  <c r="B141" i="5"/>
  <c r="A141" i="5"/>
  <c r="L140" i="5"/>
  <c r="Q140" i="5" s="1"/>
  <c r="Z140" i="5"/>
  <c r="Y140" i="5"/>
  <c r="X140" i="5"/>
  <c r="K139" i="5"/>
  <c r="J139" i="5"/>
  <c r="Z139" i="5"/>
  <c r="Y139" i="5"/>
  <c r="X139" i="5"/>
  <c r="H139" i="5"/>
  <c r="W139" i="5" s="1"/>
  <c r="F139" i="5"/>
  <c r="V139" i="5"/>
  <c r="T139" i="5"/>
  <c r="U139" i="5"/>
  <c r="S139" i="5"/>
  <c r="E139" i="5"/>
  <c r="D139" i="5"/>
  <c r="C139" i="5"/>
  <c r="B139" i="5"/>
  <c r="A139" i="5"/>
  <c r="K138" i="5"/>
  <c r="J138" i="5"/>
  <c r="Z138" i="5"/>
  <c r="Y138" i="5"/>
  <c r="X138" i="5"/>
  <c r="H138" i="5"/>
  <c r="W138" i="5" s="1"/>
  <c r="F138" i="5"/>
  <c r="V138" i="5"/>
  <c r="T138" i="5"/>
  <c r="U138" i="5"/>
  <c r="S138" i="5"/>
  <c r="E138" i="5"/>
  <c r="D138" i="5"/>
  <c r="C138" i="5"/>
  <c r="B138" i="5"/>
  <c r="A138" i="5"/>
  <c r="K137" i="5"/>
  <c r="J137" i="5"/>
  <c r="Z137" i="5"/>
  <c r="Y137" i="5"/>
  <c r="X137" i="5"/>
  <c r="H137" i="5"/>
  <c r="W137" i="5" s="1"/>
  <c r="F137" i="5"/>
  <c r="V137" i="5"/>
  <c r="T137" i="5"/>
  <c r="U137" i="5"/>
  <c r="S137" i="5"/>
  <c r="E137" i="5"/>
  <c r="D137" i="5"/>
  <c r="C137" i="5"/>
  <c r="B137" i="5"/>
  <c r="A137" i="5"/>
  <c r="K136" i="5"/>
  <c r="J136" i="5"/>
  <c r="Z136" i="5"/>
  <c r="Y136" i="5"/>
  <c r="X136" i="5"/>
  <c r="H136" i="5"/>
  <c r="W136" i="5" s="1"/>
  <c r="F136" i="5"/>
  <c r="V136" i="5"/>
  <c r="T136" i="5"/>
  <c r="U136" i="5"/>
  <c r="S136" i="5"/>
  <c r="E136" i="5"/>
  <c r="D136" i="5"/>
  <c r="C136" i="5"/>
  <c r="B136" i="5"/>
  <c r="A136" i="5"/>
  <c r="K135" i="5"/>
  <c r="J135" i="5"/>
  <c r="Z135" i="5"/>
  <c r="Y135" i="5"/>
  <c r="X135" i="5"/>
  <c r="H135" i="5"/>
  <c r="W135" i="5" s="1"/>
  <c r="F135" i="5"/>
  <c r="V135" i="5"/>
  <c r="T135" i="5"/>
  <c r="U135" i="5"/>
  <c r="S135" i="5"/>
  <c r="E135" i="5"/>
  <c r="D135" i="5"/>
  <c r="C135" i="5"/>
  <c r="B135" i="5"/>
  <c r="A135" i="5"/>
  <c r="K134" i="5"/>
  <c r="J134" i="5"/>
  <c r="Z134" i="5"/>
  <c r="Y134" i="5"/>
  <c r="X134" i="5"/>
  <c r="H134" i="5"/>
  <c r="W134" i="5" s="1"/>
  <c r="F134" i="5"/>
  <c r="V134" i="5"/>
  <c r="T134" i="5"/>
  <c r="U134" i="5"/>
  <c r="S134" i="5"/>
  <c r="E134" i="5"/>
  <c r="D134" i="5"/>
  <c r="C134" i="5"/>
  <c r="B134" i="5"/>
  <c r="A134" i="5"/>
  <c r="L133" i="5"/>
  <c r="G133" i="5"/>
  <c r="E133" i="5"/>
  <c r="J132" i="5"/>
  <c r="F132" i="5"/>
  <c r="E132" i="5"/>
  <c r="J131" i="5"/>
  <c r="F131" i="5"/>
  <c r="E131" i="5"/>
  <c r="K130" i="5"/>
  <c r="J130" i="5"/>
  <c r="H130" i="5"/>
  <c r="G130" i="5"/>
  <c r="F130" i="5"/>
  <c r="K129" i="5"/>
  <c r="J129" i="5"/>
  <c r="H129" i="5"/>
  <c r="R129" i="5" s="1"/>
  <c r="G129" i="5"/>
  <c r="F129" i="5"/>
  <c r="K128" i="5"/>
  <c r="J128" i="5"/>
  <c r="H128" i="5"/>
  <c r="G128" i="5"/>
  <c r="F128" i="5"/>
  <c r="K127" i="5"/>
  <c r="J127" i="5"/>
  <c r="H127" i="5"/>
  <c r="G127" i="5"/>
  <c r="F127" i="5"/>
  <c r="C126" i="5"/>
  <c r="V125" i="5"/>
  <c r="T125" i="5"/>
  <c r="U125" i="5"/>
  <c r="S125" i="5"/>
  <c r="F125" i="5"/>
  <c r="E125" i="5"/>
  <c r="D125" i="5"/>
  <c r="I125" i="5"/>
  <c r="C125" i="5"/>
  <c r="B125" i="5"/>
  <c r="A125" i="5"/>
  <c r="L124" i="5"/>
  <c r="Q124" i="5" s="1"/>
  <c r="Z124" i="5"/>
  <c r="Y124" i="5"/>
  <c r="X124" i="5"/>
  <c r="K123" i="5"/>
  <c r="J123" i="5"/>
  <c r="Z123" i="5"/>
  <c r="Y123" i="5"/>
  <c r="X123" i="5"/>
  <c r="H123" i="5"/>
  <c r="W123" i="5" s="1"/>
  <c r="F123" i="5"/>
  <c r="V123" i="5"/>
  <c r="T123" i="5"/>
  <c r="U123" i="5"/>
  <c r="S123" i="5"/>
  <c r="E123" i="5"/>
  <c r="D123" i="5"/>
  <c r="C123" i="5"/>
  <c r="B123" i="5"/>
  <c r="A123" i="5"/>
  <c r="K122" i="5"/>
  <c r="J122" i="5"/>
  <c r="Z122" i="5"/>
  <c r="Y122" i="5"/>
  <c r="X122" i="5"/>
  <c r="H122" i="5"/>
  <c r="W122" i="5" s="1"/>
  <c r="F122" i="5"/>
  <c r="V122" i="5"/>
  <c r="T122" i="5"/>
  <c r="U122" i="5"/>
  <c r="S122" i="5"/>
  <c r="E122" i="5"/>
  <c r="D122" i="5"/>
  <c r="C122" i="5"/>
  <c r="B122" i="5"/>
  <c r="A122" i="5"/>
  <c r="L121" i="5"/>
  <c r="G121" i="5"/>
  <c r="E121" i="5"/>
  <c r="J120" i="5"/>
  <c r="E120" i="5"/>
  <c r="J119" i="5"/>
  <c r="E119" i="5"/>
  <c r="K118" i="5"/>
  <c r="J118" i="5"/>
  <c r="H118" i="5"/>
  <c r="G118" i="5"/>
  <c r="F118" i="5"/>
  <c r="K117" i="5"/>
  <c r="J117" i="5"/>
  <c r="H117" i="5"/>
  <c r="R117" i="5" s="1"/>
  <c r="G117" i="5"/>
  <c r="F117" i="5"/>
  <c r="K116" i="5"/>
  <c r="J116" i="5"/>
  <c r="H116" i="5"/>
  <c r="G116" i="5"/>
  <c r="F116" i="5"/>
  <c r="K115" i="5"/>
  <c r="J115" i="5"/>
  <c r="H115" i="5"/>
  <c r="R115" i="5" s="1"/>
  <c r="G115" i="5"/>
  <c r="F115" i="5"/>
  <c r="C114" i="5"/>
  <c r="V113" i="5"/>
  <c r="T113" i="5"/>
  <c r="U113" i="5"/>
  <c r="S113" i="5"/>
  <c r="F113" i="5"/>
  <c r="E113" i="5"/>
  <c r="D113" i="5"/>
  <c r="I113" i="5"/>
  <c r="C113" i="5"/>
  <c r="B113" i="5"/>
  <c r="A113" i="5"/>
  <c r="L112" i="5"/>
  <c r="Q112" i="5" s="1"/>
  <c r="Z112" i="5"/>
  <c r="Y112" i="5"/>
  <c r="X112" i="5"/>
  <c r="L111" i="5"/>
  <c r="G111" i="5"/>
  <c r="E111" i="5"/>
  <c r="J110" i="5"/>
  <c r="F110" i="5"/>
  <c r="E110" i="5"/>
  <c r="J109" i="5"/>
  <c r="F109" i="5"/>
  <c r="E109" i="5"/>
  <c r="K108" i="5"/>
  <c r="J108" i="5"/>
  <c r="H108" i="5"/>
  <c r="G108" i="5"/>
  <c r="F108" i="5"/>
  <c r="K107" i="5"/>
  <c r="J107" i="5"/>
  <c r="H107" i="5"/>
  <c r="R107" i="5" s="1"/>
  <c r="G107" i="5"/>
  <c r="F107" i="5"/>
  <c r="K106" i="5"/>
  <c r="J106" i="5"/>
  <c r="H106" i="5"/>
  <c r="G106" i="5"/>
  <c r="F106" i="5"/>
  <c r="K105" i="5"/>
  <c r="J105" i="5"/>
  <c r="H105" i="5"/>
  <c r="R105" i="5" s="1"/>
  <c r="G105" i="5"/>
  <c r="F105" i="5"/>
  <c r="C104" i="5"/>
  <c r="V103" i="5"/>
  <c r="K110" i="5" s="1"/>
  <c r="T103" i="5"/>
  <c r="K109" i="5" s="1"/>
  <c r="U103" i="5"/>
  <c r="H110" i="5" s="1"/>
  <c r="S103" i="5"/>
  <c r="H109" i="5" s="1"/>
  <c r="F103" i="5"/>
  <c r="E103" i="5"/>
  <c r="D103" i="5"/>
  <c r="I103" i="5"/>
  <c r="C103" i="5"/>
  <c r="B103" i="5"/>
  <c r="A103" i="5"/>
  <c r="L102" i="5"/>
  <c r="Q102" i="5" s="1"/>
  <c r="Z102" i="5"/>
  <c r="Y102" i="5"/>
  <c r="X102" i="5"/>
  <c r="K101" i="5"/>
  <c r="J101" i="5"/>
  <c r="Z101" i="5"/>
  <c r="Y101" i="5"/>
  <c r="X101" i="5"/>
  <c r="H101" i="5"/>
  <c r="W101" i="5" s="1"/>
  <c r="F101" i="5"/>
  <c r="V101" i="5"/>
  <c r="T101" i="5"/>
  <c r="U101" i="5"/>
  <c r="S101" i="5"/>
  <c r="E101" i="5"/>
  <c r="D101" i="5"/>
  <c r="C101" i="5"/>
  <c r="B101" i="5"/>
  <c r="A101" i="5"/>
  <c r="L100" i="5"/>
  <c r="G100" i="5"/>
  <c r="E100" i="5"/>
  <c r="J99" i="5"/>
  <c r="F99" i="5"/>
  <c r="E99" i="5"/>
  <c r="J98" i="5"/>
  <c r="F98" i="5"/>
  <c r="E98" i="5"/>
  <c r="K97" i="5"/>
  <c r="J97" i="5"/>
  <c r="H97" i="5"/>
  <c r="G97" i="5"/>
  <c r="F97" i="5"/>
  <c r="K96" i="5"/>
  <c r="J96" i="5"/>
  <c r="H96" i="5"/>
  <c r="R96" i="5" s="1"/>
  <c r="G96" i="5"/>
  <c r="F96" i="5"/>
  <c r="K95" i="5"/>
  <c r="J95" i="5"/>
  <c r="H95" i="5"/>
  <c r="G95" i="5"/>
  <c r="F95" i="5"/>
  <c r="K94" i="5"/>
  <c r="J94" i="5"/>
  <c r="H94" i="5"/>
  <c r="G94" i="5"/>
  <c r="F94" i="5"/>
  <c r="C93" i="5"/>
  <c r="V92" i="5"/>
  <c r="T92" i="5"/>
  <c r="U92" i="5"/>
  <c r="S92" i="5"/>
  <c r="F92" i="5"/>
  <c r="E92" i="5"/>
  <c r="D92" i="5"/>
  <c r="I92" i="5"/>
  <c r="C92" i="5"/>
  <c r="B92" i="5"/>
  <c r="A92" i="5"/>
  <c r="L91" i="5"/>
  <c r="Q91" i="5" s="1"/>
  <c r="Z91" i="5"/>
  <c r="Y91" i="5"/>
  <c r="X91" i="5"/>
  <c r="K90" i="5"/>
  <c r="J90" i="5"/>
  <c r="Z90" i="5"/>
  <c r="Y90" i="5"/>
  <c r="X90" i="5"/>
  <c r="H90" i="5"/>
  <c r="W90" i="5" s="1"/>
  <c r="F90" i="5"/>
  <c r="V90" i="5"/>
  <c r="T90" i="5"/>
  <c r="U90" i="5"/>
  <c r="S90" i="5"/>
  <c r="E90" i="5"/>
  <c r="D90" i="5"/>
  <c r="B90" i="5"/>
  <c r="A90" i="5"/>
  <c r="K89" i="5"/>
  <c r="J89" i="5"/>
  <c r="Z89" i="5"/>
  <c r="Y89" i="5"/>
  <c r="X89" i="5"/>
  <c r="H89" i="5"/>
  <c r="W89" i="5" s="1"/>
  <c r="F89" i="5"/>
  <c r="V89" i="5"/>
  <c r="T89" i="5"/>
  <c r="U89" i="5"/>
  <c r="S89" i="5"/>
  <c r="E89" i="5"/>
  <c r="D89" i="5"/>
  <c r="C89" i="5"/>
  <c r="B89" i="5"/>
  <c r="A89" i="5"/>
  <c r="L88" i="5"/>
  <c r="G88" i="5"/>
  <c r="E88" i="5"/>
  <c r="J87" i="5"/>
  <c r="F87" i="5"/>
  <c r="E87" i="5"/>
  <c r="J86" i="5"/>
  <c r="F86" i="5"/>
  <c r="E86" i="5"/>
  <c r="K85" i="5"/>
  <c r="J85" i="5"/>
  <c r="H85" i="5"/>
  <c r="G85" i="5"/>
  <c r="F85" i="5"/>
  <c r="K84" i="5"/>
  <c r="J84" i="5"/>
  <c r="H84" i="5"/>
  <c r="R84" i="5" s="1"/>
  <c r="G84" i="5"/>
  <c r="F84" i="5"/>
  <c r="K83" i="5"/>
  <c r="J83" i="5"/>
  <c r="H83" i="5"/>
  <c r="G83" i="5"/>
  <c r="F83" i="5"/>
  <c r="K82" i="5"/>
  <c r="J82" i="5"/>
  <c r="H82" i="5"/>
  <c r="R82" i="5" s="1"/>
  <c r="G82" i="5"/>
  <c r="F82" i="5"/>
  <c r="C81" i="5"/>
  <c r="V80" i="5"/>
  <c r="T80" i="5"/>
  <c r="U80" i="5"/>
  <c r="S80" i="5"/>
  <c r="F80" i="5"/>
  <c r="E80" i="5"/>
  <c r="D80" i="5"/>
  <c r="I80" i="5"/>
  <c r="C80" i="5"/>
  <c r="B80" i="5"/>
  <c r="A80" i="5"/>
  <c r="L79" i="5"/>
  <c r="Q79" i="5" s="1"/>
  <c r="Z79" i="5"/>
  <c r="Y79" i="5"/>
  <c r="X79" i="5"/>
  <c r="K78" i="5"/>
  <c r="J78" i="5"/>
  <c r="Z78" i="5"/>
  <c r="Y78" i="5"/>
  <c r="X78" i="5"/>
  <c r="H78" i="5"/>
  <c r="W78" i="5" s="1"/>
  <c r="F78" i="5"/>
  <c r="V78" i="5"/>
  <c r="T78" i="5"/>
  <c r="U78" i="5"/>
  <c r="S78" i="5"/>
  <c r="E78" i="5"/>
  <c r="D78" i="5"/>
  <c r="B78" i="5"/>
  <c r="A78" i="5"/>
  <c r="L77" i="5"/>
  <c r="G77" i="5"/>
  <c r="E77" i="5"/>
  <c r="J76" i="5"/>
  <c r="F76" i="5"/>
  <c r="E76" i="5"/>
  <c r="J75" i="5"/>
  <c r="F75" i="5"/>
  <c r="E75" i="5"/>
  <c r="K74" i="5"/>
  <c r="J74" i="5"/>
  <c r="H74" i="5"/>
  <c r="G74" i="5"/>
  <c r="F74" i="5"/>
  <c r="K73" i="5"/>
  <c r="J73" i="5"/>
  <c r="H73" i="5"/>
  <c r="R73" i="5" s="1"/>
  <c r="G73" i="5"/>
  <c r="F73" i="5"/>
  <c r="K72" i="5"/>
  <c r="J72" i="5"/>
  <c r="H72" i="5"/>
  <c r="G72" i="5"/>
  <c r="F72" i="5"/>
  <c r="K71" i="5"/>
  <c r="J71" i="5"/>
  <c r="H71" i="5"/>
  <c r="R71" i="5" s="1"/>
  <c r="G71" i="5"/>
  <c r="F71" i="5"/>
  <c r="C70" i="5"/>
  <c r="V69" i="5"/>
  <c r="K76" i="5" s="1"/>
  <c r="T69" i="5"/>
  <c r="U69" i="5"/>
  <c r="S69" i="5"/>
  <c r="F69" i="5"/>
  <c r="E69" i="5"/>
  <c r="D69" i="5"/>
  <c r="I69" i="5"/>
  <c r="C69" i="5"/>
  <c r="B69" i="5"/>
  <c r="A69" i="5"/>
  <c r="L68" i="5"/>
  <c r="Q68" i="5" s="1"/>
  <c r="Z68" i="5"/>
  <c r="Y68" i="5"/>
  <c r="X68" i="5"/>
  <c r="K67" i="5"/>
  <c r="J67" i="5"/>
  <c r="Z67" i="5"/>
  <c r="Y67" i="5"/>
  <c r="X67" i="5"/>
  <c r="H67" i="5"/>
  <c r="W67" i="5" s="1"/>
  <c r="F67" i="5"/>
  <c r="V67" i="5"/>
  <c r="T67" i="5"/>
  <c r="U67" i="5"/>
  <c r="S67" i="5"/>
  <c r="E67" i="5"/>
  <c r="D67" i="5"/>
  <c r="B67" i="5"/>
  <c r="A67" i="5"/>
  <c r="L66" i="5"/>
  <c r="G66" i="5"/>
  <c r="E66" i="5"/>
  <c r="J65" i="5"/>
  <c r="F65" i="5"/>
  <c r="E65" i="5"/>
  <c r="J64" i="5"/>
  <c r="F64" i="5"/>
  <c r="E64" i="5"/>
  <c r="K63" i="5"/>
  <c r="J63" i="5"/>
  <c r="H63" i="5"/>
  <c r="G63" i="5"/>
  <c r="F63" i="5"/>
  <c r="K62" i="5"/>
  <c r="J62" i="5"/>
  <c r="H62" i="5"/>
  <c r="R62" i="5" s="1"/>
  <c r="G62" i="5"/>
  <c r="F62" i="5"/>
  <c r="K61" i="5"/>
  <c r="J61" i="5"/>
  <c r="H61" i="5"/>
  <c r="G61" i="5"/>
  <c r="F61" i="5"/>
  <c r="K60" i="5"/>
  <c r="J60" i="5"/>
  <c r="H60" i="5"/>
  <c r="G60" i="5"/>
  <c r="F60" i="5"/>
  <c r="C59" i="5"/>
  <c r="V58" i="5"/>
  <c r="T58" i="5"/>
  <c r="U58" i="5"/>
  <c r="S58" i="5"/>
  <c r="F58" i="5"/>
  <c r="E58" i="5"/>
  <c r="D58" i="5"/>
  <c r="I58" i="5"/>
  <c r="C58" i="5"/>
  <c r="B58" i="5"/>
  <c r="A58" i="5"/>
  <c r="L57" i="5"/>
  <c r="Q57" i="5" s="1"/>
  <c r="Z57" i="5"/>
  <c r="Y57" i="5"/>
  <c r="X57" i="5"/>
  <c r="L56" i="5"/>
  <c r="G56" i="5"/>
  <c r="E56" i="5"/>
  <c r="J55" i="5"/>
  <c r="E55" i="5"/>
  <c r="J54" i="5"/>
  <c r="E54" i="5"/>
  <c r="K53" i="5"/>
  <c r="J53" i="5"/>
  <c r="H53" i="5"/>
  <c r="G53" i="5"/>
  <c r="F53" i="5"/>
  <c r="K52" i="5"/>
  <c r="J52" i="5"/>
  <c r="H52" i="5"/>
  <c r="G52" i="5"/>
  <c r="F52" i="5"/>
  <c r="C51" i="5"/>
  <c r="V50" i="5"/>
  <c r="K55" i="5" s="1"/>
  <c r="T50" i="5"/>
  <c r="K54" i="5" s="1"/>
  <c r="U50" i="5"/>
  <c r="H55" i="5" s="1"/>
  <c r="S50" i="5"/>
  <c r="H54" i="5" s="1"/>
  <c r="F50" i="5"/>
  <c r="E50" i="5"/>
  <c r="D50" i="5"/>
  <c r="I50" i="5"/>
  <c r="C50" i="5"/>
  <c r="B50" i="5"/>
  <c r="A50" i="5"/>
  <c r="L49" i="5"/>
  <c r="Q49" i="5" s="1"/>
  <c r="Z49" i="5"/>
  <c r="Y49" i="5"/>
  <c r="X49" i="5"/>
  <c r="L48" i="5"/>
  <c r="G48" i="5"/>
  <c r="E48" i="5"/>
  <c r="J47" i="5"/>
  <c r="F47" i="5"/>
  <c r="E47" i="5"/>
  <c r="J46" i="5"/>
  <c r="F46" i="5"/>
  <c r="E46" i="5"/>
  <c r="K45" i="5"/>
  <c r="J45" i="5"/>
  <c r="H45" i="5"/>
  <c r="R45" i="5" s="1"/>
  <c r="G45" i="5"/>
  <c r="F45" i="5"/>
  <c r="K44" i="5"/>
  <c r="J44" i="5"/>
  <c r="H44" i="5"/>
  <c r="G44" i="5"/>
  <c r="F44" i="5"/>
  <c r="K43" i="5"/>
  <c r="J43" i="5"/>
  <c r="H43" i="5"/>
  <c r="G43" i="5"/>
  <c r="F43" i="5"/>
  <c r="V42" i="5"/>
  <c r="K47" i="5" s="1"/>
  <c r="T42" i="5"/>
  <c r="K46" i="5" s="1"/>
  <c r="U42" i="5"/>
  <c r="H47" i="5" s="1"/>
  <c r="S42" i="5"/>
  <c r="H46" i="5" s="1"/>
  <c r="F42" i="5"/>
  <c r="E42" i="5"/>
  <c r="D42" i="5"/>
  <c r="I42" i="5"/>
  <c r="C42" i="5"/>
  <c r="B42" i="5"/>
  <c r="A42" i="5"/>
  <c r="L41" i="5"/>
  <c r="Q41" i="5" s="1"/>
  <c r="Z41" i="5"/>
  <c r="Y41" i="5"/>
  <c r="X41" i="5"/>
  <c r="L40" i="5"/>
  <c r="G40" i="5"/>
  <c r="E40" i="5"/>
  <c r="J39" i="5"/>
  <c r="F39" i="5"/>
  <c r="E39" i="5"/>
  <c r="J38" i="5"/>
  <c r="F38" i="5"/>
  <c r="E38" i="5"/>
  <c r="K37" i="5"/>
  <c r="J37" i="5"/>
  <c r="H37" i="5"/>
  <c r="R37" i="5" s="1"/>
  <c r="G37" i="5"/>
  <c r="F37" i="5"/>
  <c r="K36" i="5"/>
  <c r="J36" i="5"/>
  <c r="H36" i="5"/>
  <c r="G36" i="5"/>
  <c r="F36" i="5"/>
  <c r="K35" i="5"/>
  <c r="J35" i="5"/>
  <c r="H35" i="5"/>
  <c r="G35" i="5"/>
  <c r="F35" i="5"/>
  <c r="C34" i="5"/>
  <c r="V33" i="5"/>
  <c r="K39" i="5" s="1"/>
  <c r="T33" i="5"/>
  <c r="K38" i="5" s="1"/>
  <c r="U33" i="5"/>
  <c r="H39" i="5" s="1"/>
  <c r="S33" i="5"/>
  <c r="H38" i="5" s="1"/>
  <c r="F33" i="5"/>
  <c r="E33" i="5"/>
  <c r="D33" i="5"/>
  <c r="I33" i="5"/>
  <c r="C33" i="5"/>
  <c r="B33" i="5"/>
  <c r="A33" i="5"/>
  <c r="L32" i="5"/>
  <c r="Q32" i="5" s="1"/>
  <c r="Z32" i="5"/>
  <c r="Y32" i="5"/>
  <c r="X32" i="5"/>
  <c r="L31" i="5"/>
  <c r="G31" i="5"/>
  <c r="E31" i="5"/>
  <c r="J30" i="5"/>
  <c r="F30" i="5"/>
  <c r="E30" i="5"/>
  <c r="J29" i="5"/>
  <c r="F29" i="5"/>
  <c r="E29" i="5"/>
  <c r="K28" i="5"/>
  <c r="J28" i="5"/>
  <c r="H28" i="5"/>
  <c r="G28" i="5"/>
  <c r="F28" i="5"/>
  <c r="V27" i="5"/>
  <c r="K30" i="5" s="1"/>
  <c r="T27" i="5"/>
  <c r="K29" i="5" s="1"/>
  <c r="U27" i="5"/>
  <c r="H30" i="5" s="1"/>
  <c r="S27" i="5"/>
  <c r="H29" i="5" s="1"/>
  <c r="F27" i="5"/>
  <c r="E27" i="5"/>
  <c r="D27" i="5"/>
  <c r="I27" i="5"/>
  <c r="C27" i="5"/>
  <c r="B27" i="5"/>
  <c r="A27" i="5"/>
  <c r="A12" i="5"/>
  <c r="B10" i="5"/>
  <c r="B8" i="5"/>
  <c r="A1" i="5"/>
  <c r="H86" i="5" l="1"/>
  <c r="K99" i="5"/>
  <c r="J112" i="5"/>
  <c r="P112" i="5" s="1"/>
  <c r="H65" i="5"/>
  <c r="W68" i="5" s="1"/>
  <c r="H76" i="5"/>
  <c r="K86" i="5"/>
  <c r="H99" i="5"/>
  <c r="H164" i="5"/>
  <c r="G169" i="5" s="1"/>
  <c r="O169" i="5" s="1"/>
  <c r="H75" i="5"/>
  <c r="H165" i="5"/>
  <c r="K120" i="5"/>
  <c r="H145" i="5"/>
  <c r="G19" i="5"/>
  <c r="K64" i="5"/>
  <c r="K132" i="5"/>
  <c r="J49" i="5"/>
  <c r="P49" i="5" s="1"/>
  <c r="H87" i="5"/>
  <c r="W91" i="5" s="1"/>
  <c r="H119" i="5"/>
  <c r="K146" i="5"/>
  <c r="G20" i="5"/>
  <c r="G41" i="5"/>
  <c r="O41" i="5" s="1"/>
  <c r="K98" i="5"/>
  <c r="J102" i="5" s="1"/>
  <c r="P102" i="5" s="1"/>
  <c r="H120" i="5"/>
  <c r="K131" i="5"/>
  <c r="J140" i="5" s="1"/>
  <c r="P140" i="5" s="1"/>
  <c r="R35" i="5"/>
  <c r="K65" i="5"/>
  <c r="J32" i="5"/>
  <c r="P32" i="5" s="1"/>
  <c r="G18" i="5"/>
  <c r="H64" i="5"/>
  <c r="K75" i="5"/>
  <c r="J79" i="5" s="1"/>
  <c r="P79" i="5" s="1"/>
  <c r="K87" i="5"/>
  <c r="J91" i="5" s="1"/>
  <c r="P91" i="5" s="1"/>
  <c r="K119" i="5"/>
  <c r="J124" i="5" s="1"/>
  <c r="P124" i="5" s="1"/>
  <c r="H132" i="5"/>
  <c r="K145" i="5"/>
  <c r="K165" i="5"/>
  <c r="J169" i="5" s="1"/>
  <c r="P169" i="5" s="1"/>
  <c r="J41" i="5"/>
  <c r="P41" i="5" s="1"/>
  <c r="G57" i="5"/>
  <c r="O57" i="5" s="1"/>
  <c r="H98" i="5"/>
  <c r="J158" i="5"/>
  <c r="P158" i="5" s="1"/>
  <c r="W178" i="5"/>
  <c r="R143" i="5"/>
  <c r="H131" i="5"/>
  <c r="H146" i="5"/>
  <c r="G91" i="5"/>
  <c r="O91" i="5" s="1"/>
  <c r="L182" i="5"/>
  <c r="G49" i="5"/>
  <c r="O49" i="5" s="1"/>
  <c r="J57" i="5"/>
  <c r="P57" i="5" s="1"/>
  <c r="G79" i="5"/>
  <c r="O79" i="5" s="1"/>
  <c r="G112" i="5"/>
  <c r="O112" i="5" s="1"/>
  <c r="J176" i="5"/>
  <c r="P176" i="5" s="1"/>
  <c r="G32" i="5"/>
  <c r="O32" i="5" s="1"/>
  <c r="R28" i="5"/>
  <c r="W32" i="5"/>
  <c r="W41" i="5"/>
  <c r="R43" i="5"/>
  <c r="R52" i="5"/>
  <c r="R60" i="5"/>
  <c r="R94" i="5"/>
  <c r="R127" i="5"/>
  <c r="W180" i="5"/>
  <c r="W79" i="5"/>
  <c r="W158" i="5"/>
  <c r="G158" i="5"/>
  <c r="O158" i="5" s="1"/>
  <c r="W112" i="5"/>
  <c r="W176" i="5"/>
  <c r="G176" i="5"/>
  <c r="O176" i="5" s="1"/>
  <c r="W49" i="5"/>
  <c r="W57" i="5"/>
  <c r="W124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1" i="3"/>
  <c r="CX1" i="3"/>
  <c r="CY1" i="3"/>
  <c r="CZ1" i="3"/>
  <c r="DA1" i="3"/>
  <c r="DB1" i="3"/>
  <c r="DC1" i="3"/>
  <c r="A2" i="3"/>
  <c r="CX2" i="3"/>
  <c r="CY2" i="3"/>
  <c r="CZ2" i="3"/>
  <c r="DB2" i="3" s="1"/>
  <c r="DA2" i="3"/>
  <c r="DC2" i="3"/>
  <c r="A3" i="3"/>
  <c r="CY3" i="3"/>
  <c r="CZ3" i="3"/>
  <c r="DB3" i="3" s="1"/>
  <c r="DA3" i="3"/>
  <c r="DC3" i="3"/>
  <c r="A4" i="3"/>
  <c r="CY4" i="3"/>
  <c r="CZ4" i="3"/>
  <c r="DA4" i="3"/>
  <c r="DB4" i="3"/>
  <c r="DC4" i="3"/>
  <c r="A5" i="3"/>
  <c r="CY5" i="3"/>
  <c r="CZ5" i="3"/>
  <c r="DA5" i="3"/>
  <c r="DB5" i="3"/>
  <c r="DC5" i="3"/>
  <c r="A6" i="3"/>
  <c r="CY6" i="3"/>
  <c r="CZ6" i="3"/>
  <c r="DB6" i="3" s="1"/>
  <c r="DA6" i="3"/>
  <c r="DC6" i="3"/>
  <c r="A7" i="3"/>
  <c r="CY7" i="3"/>
  <c r="CZ7" i="3"/>
  <c r="DB7" i="3" s="1"/>
  <c r="DA7" i="3"/>
  <c r="DC7" i="3"/>
  <c r="A8" i="3"/>
  <c r="CY8" i="3"/>
  <c r="CZ8" i="3"/>
  <c r="DA8" i="3"/>
  <c r="DB8" i="3"/>
  <c r="DC8" i="3"/>
  <c r="A9" i="3"/>
  <c r="CX9" i="3"/>
  <c r="CY9" i="3"/>
  <c r="CZ9" i="3"/>
  <c r="DA9" i="3"/>
  <c r="DB9" i="3"/>
  <c r="DC9" i="3"/>
  <c r="A10" i="3"/>
  <c r="CX10" i="3"/>
  <c r="CY10" i="3"/>
  <c r="CZ10" i="3"/>
  <c r="DB10" i="3" s="1"/>
  <c r="DA10" i="3"/>
  <c r="DC10" i="3"/>
  <c r="A11" i="3"/>
  <c r="CX11" i="3"/>
  <c r="CY11" i="3"/>
  <c r="CZ11" i="3"/>
  <c r="DB11" i="3" s="1"/>
  <c r="DA11" i="3"/>
  <c r="DC11" i="3"/>
  <c r="A12" i="3"/>
  <c r="CX12" i="3"/>
  <c r="CY12" i="3"/>
  <c r="CZ12" i="3"/>
  <c r="DA12" i="3"/>
  <c r="DB12" i="3"/>
  <c r="DC12" i="3"/>
  <c r="A13" i="3"/>
  <c r="CX13" i="3"/>
  <c r="CY13" i="3"/>
  <c r="CZ13" i="3"/>
  <c r="DA13" i="3"/>
  <c r="DB13" i="3"/>
  <c r="DC13" i="3"/>
  <c r="A14" i="3"/>
  <c r="CX14" i="3"/>
  <c r="CY14" i="3"/>
  <c r="CZ14" i="3"/>
  <c r="DB14" i="3" s="1"/>
  <c r="DA14" i="3"/>
  <c r="DC14" i="3"/>
  <c r="A15" i="3"/>
  <c r="CX15" i="3"/>
  <c r="CY15" i="3"/>
  <c r="CZ15" i="3"/>
  <c r="DB15" i="3" s="1"/>
  <c r="DA15" i="3"/>
  <c r="DC15" i="3"/>
  <c r="A16" i="3"/>
  <c r="CX16" i="3"/>
  <c r="CY16" i="3"/>
  <c r="CZ16" i="3"/>
  <c r="DA16" i="3"/>
  <c r="DB16" i="3"/>
  <c r="DC16" i="3"/>
  <c r="A17" i="3"/>
  <c r="CX17" i="3"/>
  <c r="CY17" i="3"/>
  <c r="CZ17" i="3"/>
  <c r="DA17" i="3"/>
  <c r="DB17" i="3"/>
  <c r="DC17" i="3"/>
  <c r="A18" i="3"/>
  <c r="CX18" i="3"/>
  <c r="CY18" i="3"/>
  <c r="CZ18" i="3"/>
  <c r="DB18" i="3" s="1"/>
  <c r="DA18" i="3"/>
  <c r="DC18" i="3"/>
  <c r="A19" i="3"/>
  <c r="CX19" i="3"/>
  <c r="CY19" i="3"/>
  <c r="CZ19" i="3"/>
  <c r="DB19" i="3" s="1"/>
  <c r="DA19" i="3"/>
  <c r="DC19" i="3"/>
  <c r="A20" i="3"/>
  <c r="CX20" i="3"/>
  <c r="CY20" i="3"/>
  <c r="CZ20" i="3"/>
  <c r="DA20" i="3"/>
  <c r="DB20" i="3"/>
  <c r="DC20" i="3"/>
  <c r="A21" i="3"/>
  <c r="CX21" i="3"/>
  <c r="CY21" i="3"/>
  <c r="CZ21" i="3"/>
  <c r="DA21" i="3"/>
  <c r="DB21" i="3"/>
  <c r="DC21" i="3"/>
  <c r="A22" i="3"/>
  <c r="CX22" i="3"/>
  <c r="CY22" i="3"/>
  <c r="CZ22" i="3"/>
  <c r="DB22" i="3" s="1"/>
  <c r="DA22" i="3"/>
  <c r="DC22" i="3"/>
  <c r="A23" i="3"/>
  <c r="CX23" i="3"/>
  <c r="CY23" i="3"/>
  <c r="CZ23" i="3"/>
  <c r="DB23" i="3" s="1"/>
  <c r="DA23" i="3"/>
  <c r="DC23" i="3"/>
  <c r="A24" i="3"/>
  <c r="CX24" i="3"/>
  <c r="CY24" i="3"/>
  <c r="CZ24" i="3"/>
  <c r="DA24" i="3"/>
  <c r="DB24" i="3"/>
  <c r="DC24" i="3"/>
  <c r="A25" i="3"/>
  <c r="CX25" i="3"/>
  <c r="CY25" i="3"/>
  <c r="CZ25" i="3"/>
  <c r="DA25" i="3"/>
  <c r="DB25" i="3"/>
  <c r="DC25" i="3"/>
  <c r="A26" i="3"/>
  <c r="CX26" i="3"/>
  <c r="CY26" i="3"/>
  <c r="CZ26" i="3"/>
  <c r="DB26" i="3" s="1"/>
  <c r="DA26" i="3"/>
  <c r="DC26" i="3"/>
  <c r="A27" i="3"/>
  <c r="CX27" i="3"/>
  <c r="CY27" i="3"/>
  <c r="CZ27" i="3"/>
  <c r="DB27" i="3" s="1"/>
  <c r="DA27" i="3"/>
  <c r="DC27" i="3"/>
  <c r="A28" i="3"/>
  <c r="CX28" i="3"/>
  <c r="CY28" i="3"/>
  <c r="CZ28" i="3"/>
  <c r="DA28" i="3"/>
  <c r="DB28" i="3"/>
  <c r="DC28" i="3"/>
  <c r="A29" i="3"/>
  <c r="CX29" i="3"/>
  <c r="CY29" i="3"/>
  <c r="CZ29" i="3"/>
  <c r="DA29" i="3"/>
  <c r="DB29" i="3"/>
  <c r="DC29" i="3"/>
  <c r="A30" i="3"/>
  <c r="CX30" i="3"/>
  <c r="CY30" i="3"/>
  <c r="CZ30" i="3"/>
  <c r="DB30" i="3" s="1"/>
  <c r="DA30" i="3"/>
  <c r="DC30" i="3"/>
  <c r="A31" i="3"/>
  <c r="CX31" i="3"/>
  <c r="CY31" i="3"/>
  <c r="CZ31" i="3"/>
  <c r="DB31" i="3" s="1"/>
  <c r="DA31" i="3"/>
  <c r="DC31" i="3"/>
  <c r="A32" i="3"/>
  <c r="CX32" i="3"/>
  <c r="CY32" i="3"/>
  <c r="CZ32" i="3"/>
  <c r="DA32" i="3"/>
  <c r="DB32" i="3"/>
  <c r="DC32" i="3"/>
  <c r="A33" i="3"/>
  <c r="CX33" i="3"/>
  <c r="CY33" i="3"/>
  <c r="CZ33" i="3"/>
  <c r="DA33" i="3"/>
  <c r="DB33" i="3"/>
  <c r="DC33" i="3"/>
  <c r="A34" i="3"/>
  <c r="CX34" i="3"/>
  <c r="CY34" i="3"/>
  <c r="CZ34" i="3"/>
  <c r="DB34" i="3" s="1"/>
  <c r="DA34" i="3"/>
  <c r="DC34" i="3"/>
  <c r="A35" i="3"/>
  <c r="CX35" i="3"/>
  <c r="CY35" i="3"/>
  <c r="CZ35" i="3"/>
  <c r="DB35" i="3" s="1"/>
  <c r="DA35" i="3"/>
  <c r="DC35" i="3"/>
  <c r="A36" i="3"/>
  <c r="CX36" i="3"/>
  <c r="CY36" i="3"/>
  <c r="CZ36" i="3"/>
  <c r="DA36" i="3"/>
  <c r="DB36" i="3"/>
  <c r="DC36" i="3"/>
  <c r="A37" i="3"/>
  <c r="CX37" i="3"/>
  <c r="CY37" i="3"/>
  <c r="CZ37" i="3"/>
  <c r="DA37" i="3"/>
  <c r="DB37" i="3"/>
  <c r="DC37" i="3"/>
  <c r="A38" i="3"/>
  <c r="CX38" i="3"/>
  <c r="CY38" i="3"/>
  <c r="CZ38" i="3"/>
  <c r="DB38" i="3" s="1"/>
  <c r="DA38" i="3"/>
  <c r="DC38" i="3"/>
  <c r="A39" i="3"/>
  <c r="CX39" i="3"/>
  <c r="CY39" i="3"/>
  <c r="CZ39" i="3"/>
  <c r="DB39" i="3" s="1"/>
  <c r="DA39" i="3"/>
  <c r="DC39" i="3"/>
  <c r="A40" i="3"/>
  <c r="CX40" i="3"/>
  <c r="CY40" i="3"/>
  <c r="CZ40" i="3"/>
  <c r="DA40" i="3"/>
  <c r="DB40" i="3"/>
  <c r="DC40" i="3"/>
  <c r="A41" i="3"/>
  <c r="CX41" i="3"/>
  <c r="CY41" i="3"/>
  <c r="CZ41" i="3"/>
  <c r="DA41" i="3"/>
  <c r="DB41" i="3"/>
  <c r="DC41" i="3"/>
  <c r="A42" i="3"/>
  <c r="CX42" i="3"/>
  <c r="CY42" i="3"/>
  <c r="CZ42" i="3"/>
  <c r="DB42" i="3" s="1"/>
  <c r="DA42" i="3"/>
  <c r="DC42" i="3"/>
  <c r="A43" i="3"/>
  <c r="CX43" i="3"/>
  <c r="CY43" i="3"/>
  <c r="CZ43" i="3"/>
  <c r="DB43" i="3" s="1"/>
  <c r="DA43" i="3"/>
  <c r="DC43" i="3"/>
  <c r="A44" i="3"/>
  <c r="CX44" i="3"/>
  <c r="CY44" i="3"/>
  <c r="CZ44" i="3"/>
  <c r="DA44" i="3"/>
  <c r="DB44" i="3"/>
  <c r="DC44" i="3"/>
  <c r="A45" i="3"/>
  <c r="CY45" i="3"/>
  <c r="CZ45" i="3"/>
  <c r="DA45" i="3"/>
  <c r="DB45" i="3"/>
  <c r="DC45" i="3"/>
  <c r="A46" i="3"/>
  <c r="CY46" i="3"/>
  <c r="CZ46" i="3"/>
  <c r="DB46" i="3" s="1"/>
  <c r="DA46" i="3"/>
  <c r="DC46" i="3"/>
  <c r="A47" i="3"/>
  <c r="CY47" i="3"/>
  <c r="CZ47" i="3"/>
  <c r="DB47" i="3" s="1"/>
  <c r="DA47" i="3"/>
  <c r="DC47" i="3"/>
  <c r="A48" i="3"/>
  <c r="CY48" i="3"/>
  <c r="CZ48" i="3"/>
  <c r="DA48" i="3"/>
  <c r="DB48" i="3"/>
  <c r="DC48" i="3"/>
  <c r="A49" i="3"/>
  <c r="CY49" i="3"/>
  <c r="CZ49" i="3"/>
  <c r="DA49" i="3"/>
  <c r="DB49" i="3"/>
  <c r="DC49" i="3"/>
  <c r="A50" i="3"/>
  <c r="CY50" i="3"/>
  <c r="CZ50" i="3"/>
  <c r="DB50" i="3" s="1"/>
  <c r="DA50" i="3"/>
  <c r="DC50" i="3"/>
  <c r="A51" i="3"/>
  <c r="CY51" i="3"/>
  <c r="CZ51" i="3"/>
  <c r="DB51" i="3" s="1"/>
  <c r="DA51" i="3"/>
  <c r="DC51" i="3"/>
  <c r="A52" i="3"/>
  <c r="CY52" i="3"/>
  <c r="CZ52" i="3"/>
  <c r="DA52" i="3"/>
  <c r="DB52" i="3"/>
  <c r="DC52" i="3"/>
  <c r="A53" i="3"/>
  <c r="CY53" i="3"/>
  <c r="CZ53" i="3"/>
  <c r="DA53" i="3"/>
  <c r="DB53" i="3"/>
  <c r="DC53" i="3"/>
  <c r="A54" i="3"/>
  <c r="CY54" i="3"/>
  <c r="CZ54" i="3"/>
  <c r="DB54" i="3" s="1"/>
  <c r="DA54" i="3"/>
  <c r="DC54" i="3"/>
  <c r="A55" i="3"/>
  <c r="CY55" i="3"/>
  <c r="CZ55" i="3"/>
  <c r="DB55" i="3" s="1"/>
  <c r="DA55" i="3"/>
  <c r="DC55" i="3"/>
  <c r="A56" i="3"/>
  <c r="CY56" i="3"/>
  <c r="CZ56" i="3"/>
  <c r="DA56" i="3"/>
  <c r="DB56" i="3"/>
  <c r="DC56" i="3"/>
  <c r="A57" i="3"/>
  <c r="CY57" i="3"/>
  <c r="CZ57" i="3"/>
  <c r="DA57" i="3"/>
  <c r="DB57" i="3"/>
  <c r="DC57" i="3"/>
  <c r="A58" i="3"/>
  <c r="CY58" i="3"/>
  <c r="CZ58" i="3"/>
  <c r="DB58" i="3" s="1"/>
  <c r="DA58" i="3"/>
  <c r="DC58" i="3"/>
  <c r="A59" i="3"/>
  <c r="CY59" i="3"/>
  <c r="CZ59" i="3"/>
  <c r="DB59" i="3" s="1"/>
  <c r="DA59" i="3"/>
  <c r="DC59" i="3"/>
  <c r="A60" i="3"/>
  <c r="CY60" i="3"/>
  <c r="CZ60" i="3"/>
  <c r="DA60" i="3"/>
  <c r="DB60" i="3"/>
  <c r="DC60" i="3"/>
  <c r="A61" i="3"/>
  <c r="CY61" i="3"/>
  <c r="CZ61" i="3"/>
  <c r="DA61" i="3"/>
  <c r="DB61" i="3"/>
  <c r="DC61" i="3"/>
  <c r="A62" i="3"/>
  <c r="CY62" i="3"/>
  <c r="CZ62" i="3"/>
  <c r="DB62" i="3" s="1"/>
  <c r="DA62" i="3"/>
  <c r="DC62" i="3"/>
  <c r="A63" i="3"/>
  <c r="CY63" i="3"/>
  <c r="CZ63" i="3"/>
  <c r="DB63" i="3" s="1"/>
  <c r="DA63" i="3"/>
  <c r="DC63" i="3"/>
  <c r="A64" i="3"/>
  <c r="CY64" i="3"/>
  <c r="CZ64" i="3"/>
  <c r="DA64" i="3"/>
  <c r="DB64" i="3"/>
  <c r="DC64" i="3"/>
  <c r="A65" i="3"/>
  <c r="CY65" i="3"/>
  <c r="CZ65" i="3"/>
  <c r="DA65" i="3"/>
  <c r="DB65" i="3"/>
  <c r="DC65" i="3"/>
  <c r="A66" i="3"/>
  <c r="CY66" i="3"/>
  <c r="CZ66" i="3"/>
  <c r="DB66" i="3" s="1"/>
  <c r="DA66" i="3"/>
  <c r="DC66" i="3"/>
  <c r="A67" i="3"/>
  <c r="CY67" i="3"/>
  <c r="CZ67" i="3"/>
  <c r="DB67" i="3" s="1"/>
  <c r="DA67" i="3"/>
  <c r="DC67" i="3"/>
  <c r="A68" i="3"/>
  <c r="CY68" i="3"/>
  <c r="CZ68" i="3"/>
  <c r="DA68" i="3"/>
  <c r="DB68" i="3"/>
  <c r="DC68" i="3"/>
  <c r="A69" i="3"/>
  <c r="CY69" i="3"/>
  <c r="CZ69" i="3"/>
  <c r="DA69" i="3"/>
  <c r="DB69" i="3"/>
  <c r="DC69" i="3"/>
  <c r="A70" i="3"/>
  <c r="CY70" i="3"/>
  <c r="CZ70" i="3"/>
  <c r="DB70" i="3" s="1"/>
  <c r="DA70" i="3"/>
  <c r="DC70" i="3"/>
  <c r="A71" i="3"/>
  <c r="CY71" i="3"/>
  <c r="CZ71" i="3"/>
  <c r="DB71" i="3" s="1"/>
  <c r="DA71" i="3"/>
  <c r="DC71" i="3"/>
  <c r="A72" i="3"/>
  <c r="CY72" i="3"/>
  <c r="CZ72" i="3"/>
  <c r="DA72" i="3"/>
  <c r="DB72" i="3"/>
  <c r="DC72" i="3"/>
  <c r="A73" i="3"/>
  <c r="CY73" i="3"/>
  <c r="CZ73" i="3"/>
  <c r="DA73" i="3"/>
  <c r="DB73" i="3"/>
  <c r="DC73" i="3"/>
  <c r="A74" i="3"/>
  <c r="CY74" i="3"/>
  <c r="CZ74" i="3"/>
  <c r="DB74" i="3" s="1"/>
  <c r="DA74" i="3"/>
  <c r="DC74" i="3"/>
  <c r="A75" i="3"/>
  <c r="CY75" i="3"/>
  <c r="CZ75" i="3"/>
  <c r="DB75" i="3" s="1"/>
  <c r="DA75" i="3"/>
  <c r="DC75" i="3"/>
  <c r="A76" i="3"/>
  <c r="CY76" i="3"/>
  <c r="CZ76" i="3"/>
  <c r="DA76" i="3"/>
  <c r="DB76" i="3"/>
  <c r="DC76" i="3"/>
  <c r="A77" i="3"/>
  <c r="CY77" i="3"/>
  <c r="CZ77" i="3"/>
  <c r="DA77" i="3"/>
  <c r="DB77" i="3"/>
  <c r="DC77" i="3"/>
  <c r="A78" i="3"/>
  <c r="CY78" i="3"/>
  <c r="CZ78" i="3"/>
  <c r="DB78" i="3" s="1"/>
  <c r="DA78" i="3"/>
  <c r="DC78" i="3"/>
  <c r="A79" i="3"/>
  <c r="CY79" i="3"/>
  <c r="CZ79" i="3"/>
  <c r="DB79" i="3" s="1"/>
  <c r="DA79" i="3"/>
  <c r="DC79" i="3"/>
  <c r="A80" i="3"/>
  <c r="CY80" i="3"/>
  <c r="CZ80" i="3"/>
  <c r="DA80" i="3"/>
  <c r="DB80" i="3"/>
  <c r="DC80" i="3"/>
  <c r="A81" i="3"/>
  <c r="CY81" i="3"/>
  <c r="CZ81" i="3"/>
  <c r="DA81" i="3"/>
  <c r="DB81" i="3"/>
  <c r="DC81" i="3"/>
  <c r="A82" i="3"/>
  <c r="CY82" i="3"/>
  <c r="CZ82" i="3"/>
  <c r="DB82" i="3" s="1"/>
  <c r="DA82" i="3"/>
  <c r="DC82" i="3"/>
  <c r="A83" i="3"/>
  <c r="CY83" i="3"/>
  <c r="CZ83" i="3"/>
  <c r="DB83" i="3" s="1"/>
  <c r="DA83" i="3"/>
  <c r="DC83" i="3"/>
  <c r="A84" i="3"/>
  <c r="CY84" i="3"/>
  <c r="CZ84" i="3"/>
  <c r="DA84" i="3"/>
  <c r="DB84" i="3"/>
  <c r="DC84" i="3"/>
  <c r="A85" i="3"/>
  <c r="CY85" i="3"/>
  <c r="CZ85" i="3"/>
  <c r="DA85" i="3"/>
  <c r="DB85" i="3"/>
  <c r="DC85" i="3"/>
  <c r="A86" i="3"/>
  <c r="CY86" i="3"/>
  <c r="CZ86" i="3"/>
  <c r="DB86" i="3" s="1"/>
  <c r="DA86" i="3"/>
  <c r="DC86" i="3"/>
  <c r="A87" i="3"/>
  <c r="CY87" i="3"/>
  <c r="CZ87" i="3"/>
  <c r="DB87" i="3" s="1"/>
  <c r="DA87" i="3"/>
  <c r="DC87" i="3"/>
  <c r="A88" i="3"/>
  <c r="CY88" i="3"/>
  <c r="CZ88" i="3"/>
  <c r="DA88" i="3"/>
  <c r="DB88" i="3"/>
  <c r="DC88" i="3"/>
  <c r="A89" i="3"/>
  <c r="CY89" i="3"/>
  <c r="CZ89" i="3"/>
  <c r="DA89" i="3"/>
  <c r="DB89" i="3"/>
  <c r="DC89" i="3"/>
  <c r="A90" i="3"/>
  <c r="CY90" i="3"/>
  <c r="CZ90" i="3"/>
  <c r="DB90" i="3" s="1"/>
  <c r="DA90" i="3"/>
  <c r="DC90" i="3"/>
  <c r="A91" i="3"/>
  <c r="CY91" i="3"/>
  <c r="CZ91" i="3"/>
  <c r="DB91" i="3" s="1"/>
  <c r="DA91" i="3"/>
  <c r="DC91" i="3"/>
  <c r="A92" i="3"/>
  <c r="CY92" i="3"/>
  <c r="CZ92" i="3"/>
  <c r="DA92" i="3"/>
  <c r="DB92" i="3"/>
  <c r="DC92" i="3"/>
  <c r="A93" i="3"/>
  <c r="CY93" i="3"/>
  <c r="CZ93" i="3"/>
  <c r="DA93" i="3"/>
  <c r="DB93" i="3"/>
  <c r="DC93" i="3"/>
  <c r="A94" i="3"/>
  <c r="CY94" i="3"/>
  <c r="CZ94" i="3"/>
  <c r="DB94" i="3" s="1"/>
  <c r="DA94" i="3"/>
  <c r="DC94" i="3"/>
  <c r="A95" i="3"/>
  <c r="CY95" i="3"/>
  <c r="CZ95" i="3"/>
  <c r="DB95" i="3" s="1"/>
  <c r="DA95" i="3"/>
  <c r="DC95" i="3"/>
  <c r="A96" i="3"/>
  <c r="CY96" i="3"/>
  <c r="CZ96" i="3"/>
  <c r="DA96" i="3"/>
  <c r="DB96" i="3"/>
  <c r="DC96" i="3"/>
  <c r="A97" i="3"/>
  <c r="CY97" i="3"/>
  <c r="CZ97" i="3"/>
  <c r="DA97" i="3"/>
  <c r="DB97" i="3"/>
  <c r="DC97" i="3"/>
  <c r="A98" i="3"/>
  <c r="CY98" i="3"/>
  <c r="CZ98" i="3"/>
  <c r="DB98" i="3" s="1"/>
  <c r="DA98" i="3"/>
  <c r="DC98" i="3"/>
  <c r="A99" i="3"/>
  <c r="CY99" i="3"/>
  <c r="CZ99" i="3"/>
  <c r="DB99" i="3" s="1"/>
  <c r="DA99" i="3"/>
  <c r="DC99" i="3"/>
  <c r="A100" i="3"/>
  <c r="CY100" i="3"/>
  <c r="CZ100" i="3"/>
  <c r="DA100" i="3"/>
  <c r="DB100" i="3"/>
  <c r="DC100" i="3"/>
  <c r="A101" i="3"/>
  <c r="CY101" i="3"/>
  <c r="CZ101" i="3"/>
  <c r="DA101" i="3"/>
  <c r="DB101" i="3"/>
  <c r="DC101" i="3"/>
  <c r="A102" i="3"/>
  <c r="CY102" i="3"/>
  <c r="CZ102" i="3"/>
  <c r="DB102" i="3" s="1"/>
  <c r="DA102" i="3"/>
  <c r="DC102" i="3"/>
  <c r="A103" i="3"/>
  <c r="CY103" i="3"/>
  <c r="CZ103" i="3"/>
  <c r="DB103" i="3" s="1"/>
  <c r="DA103" i="3"/>
  <c r="DC103" i="3"/>
  <c r="A104" i="3"/>
  <c r="CY104" i="3"/>
  <c r="CZ104" i="3"/>
  <c r="DA104" i="3"/>
  <c r="DB104" i="3"/>
  <c r="DC104" i="3"/>
  <c r="A105" i="3"/>
  <c r="CY105" i="3"/>
  <c r="CZ105" i="3"/>
  <c r="DA105" i="3"/>
  <c r="DB105" i="3"/>
  <c r="DC105" i="3"/>
  <c r="A106" i="3"/>
  <c r="CY106" i="3"/>
  <c r="CZ106" i="3"/>
  <c r="DB106" i="3" s="1"/>
  <c r="DA106" i="3"/>
  <c r="DC106" i="3"/>
  <c r="A107" i="3"/>
  <c r="CY107" i="3"/>
  <c r="CZ107" i="3"/>
  <c r="DB107" i="3" s="1"/>
  <c r="DA107" i="3"/>
  <c r="DC107" i="3"/>
  <c r="A108" i="3"/>
  <c r="CY108" i="3"/>
  <c r="CZ108" i="3"/>
  <c r="DA108" i="3"/>
  <c r="DB108" i="3"/>
  <c r="DC108" i="3"/>
  <c r="A109" i="3"/>
  <c r="CY109" i="3"/>
  <c r="CZ109" i="3"/>
  <c r="DA109" i="3"/>
  <c r="DB109" i="3"/>
  <c r="DC109" i="3"/>
  <c r="A110" i="3"/>
  <c r="CY110" i="3"/>
  <c r="CZ110" i="3"/>
  <c r="DB110" i="3" s="1"/>
  <c r="DA110" i="3"/>
  <c r="DC110" i="3"/>
  <c r="A111" i="3"/>
  <c r="CY111" i="3"/>
  <c r="CZ111" i="3"/>
  <c r="DB111" i="3" s="1"/>
  <c r="DA111" i="3"/>
  <c r="DC111" i="3"/>
  <c r="A112" i="3"/>
  <c r="CY112" i="3"/>
  <c r="CZ112" i="3"/>
  <c r="DA112" i="3"/>
  <c r="DB112" i="3"/>
  <c r="DC112" i="3"/>
  <c r="A113" i="3"/>
  <c r="CY113" i="3"/>
  <c r="CZ113" i="3"/>
  <c r="DA113" i="3"/>
  <c r="DB113" i="3"/>
  <c r="DC113" i="3"/>
  <c r="A114" i="3"/>
  <c r="CY114" i="3"/>
  <c r="CZ114" i="3"/>
  <c r="DB114" i="3" s="1"/>
  <c r="DA114" i="3"/>
  <c r="DC114" i="3"/>
  <c r="A115" i="3"/>
  <c r="CY115" i="3"/>
  <c r="CZ115" i="3"/>
  <c r="DB115" i="3" s="1"/>
  <c r="DA115" i="3"/>
  <c r="DC115" i="3"/>
  <c r="A116" i="3"/>
  <c r="CY116" i="3"/>
  <c r="CZ116" i="3"/>
  <c r="DA116" i="3"/>
  <c r="DB116" i="3"/>
  <c r="DC116" i="3"/>
  <c r="A117" i="3"/>
  <c r="CY117" i="3"/>
  <c r="CZ117" i="3"/>
  <c r="DA117" i="3"/>
  <c r="DB117" i="3"/>
  <c r="DC117" i="3"/>
  <c r="A118" i="3"/>
  <c r="CY118" i="3"/>
  <c r="CZ118" i="3"/>
  <c r="DB118" i="3" s="1"/>
  <c r="DA118" i="3"/>
  <c r="DC118" i="3"/>
  <c r="A119" i="3"/>
  <c r="CY119" i="3"/>
  <c r="CZ119" i="3"/>
  <c r="DB119" i="3" s="1"/>
  <c r="DA119" i="3"/>
  <c r="DC119" i="3"/>
  <c r="A120" i="3"/>
  <c r="CY120" i="3"/>
  <c r="CZ120" i="3"/>
  <c r="DA120" i="3"/>
  <c r="DB120" i="3"/>
  <c r="DC120" i="3"/>
  <c r="A121" i="3"/>
  <c r="CY121" i="3"/>
  <c r="CZ121" i="3"/>
  <c r="DA121" i="3"/>
  <c r="DB121" i="3"/>
  <c r="DC121" i="3"/>
  <c r="A122" i="3"/>
  <c r="CY122" i="3"/>
  <c r="CZ122" i="3"/>
  <c r="DB122" i="3" s="1"/>
  <c r="DA122" i="3"/>
  <c r="DC122" i="3"/>
  <c r="A123" i="3"/>
  <c r="CY123" i="3"/>
  <c r="CZ123" i="3"/>
  <c r="DB123" i="3" s="1"/>
  <c r="DA123" i="3"/>
  <c r="DC123" i="3"/>
  <c r="A124" i="3"/>
  <c r="CY124" i="3"/>
  <c r="CZ124" i="3"/>
  <c r="DA124" i="3"/>
  <c r="DB124" i="3"/>
  <c r="DC124" i="3"/>
  <c r="A125" i="3"/>
  <c r="CY125" i="3"/>
  <c r="CZ125" i="3"/>
  <c r="DA125" i="3"/>
  <c r="DB125" i="3"/>
  <c r="DC125" i="3"/>
  <c r="A126" i="3"/>
  <c r="CY126" i="3"/>
  <c r="CZ126" i="3"/>
  <c r="DB126" i="3" s="1"/>
  <c r="DA126" i="3"/>
  <c r="DC126" i="3"/>
  <c r="A127" i="3"/>
  <c r="CY127" i="3"/>
  <c r="CZ127" i="3"/>
  <c r="DB127" i="3" s="1"/>
  <c r="DA127" i="3"/>
  <c r="DC127" i="3"/>
  <c r="A128" i="3"/>
  <c r="CY128" i="3"/>
  <c r="CZ128" i="3"/>
  <c r="DA128" i="3"/>
  <c r="DB128" i="3"/>
  <c r="DC128" i="3"/>
  <c r="A129" i="3"/>
  <c r="CY129" i="3"/>
  <c r="CZ129" i="3"/>
  <c r="DA129" i="3"/>
  <c r="DB129" i="3"/>
  <c r="DC129" i="3"/>
  <c r="A130" i="3"/>
  <c r="CY130" i="3"/>
  <c r="CZ130" i="3"/>
  <c r="DB130" i="3" s="1"/>
  <c r="DA130" i="3"/>
  <c r="DC130" i="3"/>
  <c r="A131" i="3"/>
  <c r="CY131" i="3"/>
  <c r="CZ131" i="3"/>
  <c r="DB131" i="3" s="1"/>
  <c r="DA131" i="3"/>
  <c r="DC131" i="3"/>
  <c r="A132" i="3"/>
  <c r="CY132" i="3"/>
  <c r="CZ132" i="3"/>
  <c r="DA132" i="3"/>
  <c r="DB132" i="3"/>
  <c r="DC132" i="3"/>
  <c r="A133" i="3"/>
  <c r="CY133" i="3"/>
  <c r="CZ133" i="3"/>
  <c r="DA133" i="3"/>
  <c r="DB133" i="3"/>
  <c r="DC133" i="3"/>
  <c r="A134" i="3"/>
  <c r="CY134" i="3"/>
  <c r="CZ134" i="3"/>
  <c r="DB134" i="3" s="1"/>
  <c r="DA134" i="3"/>
  <c r="DC134" i="3"/>
  <c r="A135" i="3"/>
  <c r="CY135" i="3"/>
  <c r="CZ135" i="3"/>
  <c r="DB135" i="3" s="1"/>
  <c r="DA135" i="3"/>
  <c r="DC135" i="3"/>
  <c r="A136" i="3"/>
  <c r="CY136" i="3"/>
  <c r="CZ136" i="3"/>
  <c r="DA136" i="3"/>
  <c r="DB136" i="3"/>
  <c r="DC136" i="3"/>
  <c r="A137" i="3"/>
  <c r="CY137" i="3"/>
  <c r="CZ137" i="3"/>
  <c r="DA137" i="3"/>
  <c r="DB137" i="3"/>
  <c r="DC137" i="3"/>
  <c r="A138" i="3"/>
  <c r="CY138" i="3"/>
  <c r="CZ138" i="3"/>
  <c r="DB138" i="3" s="1"/>
  <c r="DA138" i="3"/>
  <c r="DC138" i="3"/>
  <c r="A139" i="3"/>
  <c r="CY139" i="3"/>
  <c r="CZ139" i="3"/>
  <c r="DB139" i="3" s="1"/>
  <c r="DA139" i="3"/>
  <c r="DC139" i="3"/>
  <c r="A140" i="3"/>
  <c r="CY140" i="3"/>
  <c r="CZ140" i="3"/>
  <c r="DA140" i="3"/>
  <c r="DB140" i="3"/>
  <c r="DC140" i="3"/>
  <c r="A141" i="3"/>
  <c r="CY141" i="3"/>
  <c r="CZ141" i="3"/>
  <c r="DA141" i="3"/>
  <c r="DB141" i="3"/>
  <c r="DC141" i="3"/>
  <c r="A142" i="3"/>
  <c r="CY142" i="3"/>
  <c r="CZ142" i="3"/>
  <c r="DB142" i="3" s="1"/>
  <c r="DA142" i="3"/>
  <c r="DC142" i="3"/>
  <c r="A143" i="3"/>
  <c r="CY143" i="3"/>
  <c r="CZ143" i="3"/>
  <c r="DB143" i="3" s="1"/>
  <c r="DA143" i="3"/>
  <c r="DC143" i="3"/>
  <c r="A144" i="3"/>
  <c r="CY144" i="3"/>
  <c r="CZ144" i="3"/>
  <c r="DA144" i="3"/>
  <c r="DB144" i="3"/>
  <c r="DC144" i="3"/>
  <c r="A145" i="3"/>
  <c r="CY145" i="3"/>
  <c r="CZ145" i="3"/>
  <c r="DA145" i="3"/>
  <c r="DB145" i="3"/>
  <c r="DC145" i="3"/>
  <c r="A146" i="3"/>
  <c r="CY146" i="3"/>
  <c r="CZ146" i="3"/>
  <c r="DB146" i="3" s="1"/>
  <c r="DA146" i="3"/>
  <c r="DC146" i="3"/>
  <c r="A147" i="3"/>
  <c r="CY147" i="3"/>
  <c r="CZ147" i="3"/>
  <c r="DB147" i="3" s="1"/>
  <c r="DA147" i="3"/>
  <c r="DC147" i="3"/>
  <c r="A148" i="3"/>
  <c r="CY148" i="3"/>
  <c r="CZ148" i="3"/>
  <c r="DA148" i="3"/>
  <c r="DB148" i="3"/>
  <c r="DC148" i="3"/>
  <c r="A149" i="3"/>
  <c r="CY149" i="3"/>
  <c r="CZ149" i="3"/>
  <c r="DA149" i="3"/>
  <c r="DB149" i="3"/>
  <c r="DC149" i="3"/>
  <c r="A150" i="3"/>
  <c r="CY150" i="3"/>
  <c r="CZ150" i="3"/>
  <c r="DB150" i="3" s="1"/>
  <c r="DA150" i="3"/>
  <c r="DC150" i="3"/>
  <c r="A151" i="3"/>
  <c r="CY151" i="3"/>
  <c r="CZ151" i="3"/>
  <c r="DB151" i="3" s="1"/>
  <c r="DA151" i="3"/>
  <c r="DC151" i="3"/>
  <c r="A152" i="3"/>
  <c r="CY152" i="3"/>
  <c r="CZ152" i="3"/>
  <c r="DA152" i="3"/>
  <c r="DB152" i="3"/>
  <c r="DC152" i="3"/>
  <c r="A153" i="3"/>
  <c r="CY153" i="3"/>
  <c r="CZ153" i="3"/>
  <c r="DA153" i="3"/>
  <c r="DB153" i="3"/>
  <c r="DC153" i="3"/>
  <c r="A154" i="3"/>
  <c r="CY154" i="3"/>
  <c r="CZ154" i="3"/>
  <c r="DB154" i="3" s="1"/>
  <c r="DA154" i="3"/>
  <c r="DC154" i="3"/>
  <c r="A155" i="3"/>
  <c r="CY155" i="3"/>
  <c r="CZ155" i="3"/>
  <c r="DB155" i="3" s="1"/>
  <c r="DA155" i="3"/>
  <c r="DC155" i="3"/>
  <c r="A156" i="3"/>
  <c r="CY156" i="3"/>
  <c r="CZ156" i="3"/>
  <c r="DA156" i="3"/>
  <c r="DB156" i="3"/>
  <c r="DC156" i="3"/>
  <c r="A157" i="3"/>
  <c r="CY157" i="3"/>
  <c r="CZ157" i="3"/>
  <c r="DA157" i="3"/>
  <c r="DB157" i="3"/>
  <c r="DC157" i="3"/>
  <c r="A158" i="3"/>
  <c r="CY158" i="3"/>
  <c r="CZ158" i="3"/>
  <c r="DB158" i="3" s="1"/>
  <c r="DA158" i="3"/>
  <c r="DC158" i="3"/>
  <c r="A159" i="3"/>
  <c r="CY159" i="3"/>
  <c r="CZ159" i="3"/>
  <c r="DB159" i="3" s="1"/>
  <c r="DA159" i="3"/>
  <c r="DC159" i="3"/>
  <c r="A160" i="3"/>
  <c r="CY160" i="3"/>
  <c r="CZ160" i="3"/>
  <c r="DA160" i="3"/>
  <c r="DB160" i="3"/>
  <c r="DC160" i="3"/>
  <c r="A161" i="3"/>
  <c r="CY161" i="3"/>
  <c r="CZ161" i="3"/>
  <c r="DA161" i="3"/>
  <c r="DB161" i="3"/>
  <c r="DC161" i="3"/>
  <c r="A162" i="3"/>
  <c r="CY162" i="3"/>
  <c r="CZ162" i="3"/>
  <c r="DB162" i="3" s="1"/>
  <c r="DA162" i="3"/>
  <c r="DC162" i="3"/>
  <c r="A163" i="3"/>
  <c r="CY163" i="3"/>
  <c r="CZ163" i="3"/>
  <c r="DB163" i="3" s="1"/>
  <c r="DA163" i="3"/>
  <c r="DC163" i="3"/>
  <c r="A164" i="3"/>
  <c r="CY164" i="3"/>
  <c r="CZ164" i="3"/>
  <c r="DA164" i="3"/>
  <c r="DB164" i="3"/>
  <c r="DC164" i="3"/>
  <c r="A165" i="3"/>
  <c r="CY165" i="3"/>
  <c r="CZ165" i="3"/>
  <c r="DA165" i="3"/>
  <c r="DB165" i="3"/>
  <c r="DC165" i="3"/>
  <c r="A166" i="3"/>
  <c r="CY166" i="3"/>
  <c r="CZ166" i="3"/>
  <c r="DB166" i="3" s="1"/>
  <c r="DA166" i="3"/>
  <c r="DC166" i="3"/>
  <c r="A167" i="3"/>
  <c r="CY167" i="3"/>
  <c r="CZ167" i="3"/>
  <c r="DB167" i="3" s="1"/>
  <c r="DA167" i="3"/>
  <c r="DC167" i="3"/>
  <c r="A168" i="3"/>
  <c r="CY168" i="3"/>
  <c r="CZ168" i="3"/>
  <c r="DA168" i="3"/>
  <c r="DB168" i="3"/>
  <c r="DC168" i="3"/>
  <c r="A169" i="3"/>
  <c r="CY169" i="3"/>
  <c r="CZ169" i="3"/>
  <c r="DA169" i="3"/>
  <c r="DB169" i="3"/>
  <c r="DC169" i="3"/>
  <c r="A170" i="3"/>
  <c r="CY170" i="3"/>
  <c r="CZ170" i="3"/>
  <c r="DB170" i="3" s="1"/>
  <c r="DA170" i="3"/>
  <c r="DC170" i="3"/>
  <c r="A171" i="3"/>
  <c r="CY171" i="3"/>
  <c r="CZ171" i="3"/>
  <c r="DB171" i="3" s="1"/>
  <c r="DA171" i="3"/>
  <c r="DC171" i="3"/>
  <c r="A172" i="3"/>
  <c r="CY172" i="3"/>
  <c r="CZ172" i="3"/>
  <c r="DA172" i="3"/>
  <c r="DB172" i="3"/>
  <c r="DC172" i="3"/>
  <c r="A173" i="3"/>
  <c r="CY173" i="3"/>
  <c r="CZ173" i="3"/>
  <c r="DA173" i="3"/>
  <c r="DB173" i="3"/>
  <c r="DC173" i="3"/>
  <c r="A174" i="3"/>
  <c r="CY174" i="3"/>
  <c r="CZ174" i="3"/>
  <c r="DB174" i="3" s="1"/>
  <c r="DA174" i="3"/>
  <c r="DC174" i="3"/>
  <c r="A175" i="3"/>
  <c r="CY175" i="3"/>
  <c r="CZ175" i="3"/>
  <c r="DB175" i="3" s="1"/>
  <c r="DA175" i="3"/>
  <c r="DC175" i="3"/>
  <c r="A176" i="3"/>
  <c r="CY176" i="3"/>
  <c r="CZ176" i="3"/>
  <c r="DA176" i="3"/>
  <c r="DB176" i="3"/>
  <c r="DC176" i="3"/>
  <c r="A177" i="3"/>
  <c r="CY177" i="3"/>
  <c r="CZ177" i="3"/>
  <c r="DA177" i="3"/>
  <c r="DB177" i="3"/>
  <c r="DC177" i="3"/>
  <c r="A178" i="3"/>
  <c r="CY178" i="3"/>
  <c r="CZ178" i="3"/>
  <c r="DB178" i="3" s="1"/>
  <c r="DA178" i="3"/>
  <c r="DC178" i="3"/>
  <c r="A179" i="3"/>
  <c r="CY179" i="3"/>
  <c r="CZ179" i="3"/>
  <c r="DB179" i="3" s="1"/>
  <c r="DA179" i="3"/>
  <c r="DC179" i="3"/>
  <c r="A180" i="3"/>
  <c r="CY180" i="3"/>
  <c r="CZ180" i="3"/>
  <c r="DA180" i="3"/>
  <c r="DB180" i="3"/>
  <c r="DC180" i="3"/>
  <c r="A181" i="3"/>
  <c r="CY181" i="3"/>
  <c r="CZ181" i="3"/>
  <c r="DA181" i="3"/>
  <c r="DB181" i="3"/>
  <c r="DC181" i="3"/>
  <c r="A182" i="3"/>
  <c r="CY182" i="3"/>
  <c r="CZ182" i="3"/>
  <c r="DB182" i="3" s="1"/>
  <c r="DA182" i="3"/>
  <c r="DC182" i="3"/>
  <c r="A183" i="3"/>
  <c r="CY183" i="3"/>
  <c r="CZ183" i="3"/>
  <c r="DB183" i="3" s="1"/>
  <c r="DA183" i="3"/>
  <c r="DC183" i="3"/>
  <c r="A184" i="3"/>
  <c r="CY184" i="3"/>
  <c r="CZ184" i="3"/>
  <c r="DA184" i="3"/>
  <c r="DB184" i="3"/>
  <c r="DC184" i="3"/>
  <c r="A185" i="3"/>
  <c r="CY185" i="3"/>
  <c r="CZ185" i="3"/>
  <c r="DA185" i="3"/>
  <c r="DB185" i="3"/>
  <c r="DC185" i="3"/>
  <c r="A186" i="3"/>
  <c r="CY186" i="3"/>
  <c r="CZ186" i="3"/>
  <c r="DB186" i="3" s="1"/>
  <c r="DA186" i="3"/>
  <c r="DC186" i="3"/>
  <c r="A187" i="3"/>
  <c r="CX187" i="3"/>
  <c r="CY187" i="3"/>
  <c r="CZ187" i="3"/>
  <c r="DB187" i="3" s="1"/>
  <c r="DA187" i="3"/>
  <c r="DC187" i="3"/>
  <c r="A188" i="3"/>
  <c r="CX188" i="3"/>
  <c r="CY188" i="3"/>
  <c r="CZ188" i="3"/>
  <c r="DA188" i="3"/>
  <c r="DB188" i="3"/>
  <c r="DC188" i="3"/>
  <c r="A189" i="3"/>
  <c r="CX189" i="3"/>
  <c r="CY189" i="3"/>
  <c r="CZ189" i="3"/>
  <c r="DA189" i="3"/>
  <c r="DB189" i="3"/>
  <c r="DC189" i="3"/>
  <c r="A190" i="3"/>
  <c r="CX190" i="3"/>
  <c r="CY190" i="3"/>
  <c r="CZ190" i="3"/>
  <c r="DB190" i="3" s="1"/>
  <c r="DA190" i="3"/>
  <c r="DC190" i="3"/>
  <c r="A191" i="3"/>
  <c r="CX191" i="3"/>
  <c r="CY191" i="3"/>
  <c r="CZ191" i="3"/>
  <c r="DB191" i="3" s="1"/>
  <c r="DA191" i="3"/>
  <c r="DC191" i="3"/>
  <c r="A192" i="3"/>
  <c r="CX192" i="3"/>
  <c r="CY192" i="3"/>
  <c r="CZ192" i="3"/>
  <c r="DA192" i="3"/>
  <c r="DB192" i="3"/>
  <c r="DC192" i="3"/>
  <c r="A193" i="3"/>
  <c r="CX193" i="3"/>
  <c r="CY193" i="3"/>
  <c r="CZ193" i="3"/>
  <c r="DA193" i="3"/>
  <c r="DB193" i="3"/>
  <c r="DC193" i="3"/>
  <c r="A194" i="3"/>
  <c r="CX194" i="3"/>
  <c r="CY194" i="3"/>
  <c r="CZ194" i="3"/>
  <c r="DB194" i="3" s="1"/>
  <c r="DA194" i="3"/>
  <c r="DC194" i="3"/>
  <c r="A195" i="3"/>
  <c r="CX195" i="3"/>
  <c r="CY195" i="3"/>
  <c r="CZ195" i="3"/>
  <c r="DB195" i="3" s="1"/>
  <c r="DA195" i="3"/>
  <c r="DC195" i="3"/>
  <c r="A196" i="3"/>
  <c r="CX196" i="3"/>
  <c r="CY196" i="3"/>
  <c r="CZ196" i="3"/>
  <c r="DA196" i="3"/>
  <c r="DB196" i="3"/>
  <c r="DC196" i="3"/>
  <c r="A197" i="3"/>
  <c r="CX197" i="3"/>
  <c r="CY197" i="3"/>
  <c r="CZ197" i="3"/>
  <c r="DA197" i="3"/>
  <c r="DB197" i="3"/>
  <c r="DC197" i="3"/>
  <c r="A198" i="3"/>
  <c r="CX198" i="3"/>
  <c r="CY198" i="3"/>
  <c r="CZ198" i="3"/>
  <c r="DB198" i="3" s="1"/>
  <c r="DA198" i="3"/>
  <c r="DC198" i="3"/>
  <c r="A199" i="3"/>
  <c r="CX199" i="3"/>
  <c r="CY199" i="3"/>
  <c r="CZ199" i="3"/>
  <c r="DB199" i="3" s="1"/>
  <c r="DA199" i="3"/>
  <c r="DC199" i="3"/>
  <c r="A200" i="3"/>
  <c r="CX200" i="3"/>
  <c r="CY200" i="3"/>
  <c r="CZ200" i="3"/>
  <c r="DA200" i="3"/>
  <c r="DB200" i="3"/>
  <c r="DC200" i="3"/>
  <c r="A201" i="3"/>
  <c r="CX201" i="3"/>
  <c r="CY201" i="3"/>
  <c r="CZ201" i="3"/>
  <c r="DA201" i="3"/>
  <c r="DB201" i="3"/>
  <c r="DC201" i="3"/>
  <c r="A202" i="3"/>
  <c r="CX202" i="3"/>
  <c r="CY202" i="3"/>
  <c r="CZ202" i="3"/>
  <c r="DB202" i="3" s="1"/>
  <c r="DA202" i="3"/>
  <c r="DC202" i="3"/>
  <c r="A203" i="3"/>
  <c r="CX203" i="3"/>
  <c r="CY203" i="3"/>
  <c r="CZ203" i="3"/>
  <c r="DB203" i="3" s="1"/>
  <c r="DA203" i="3"/>
  <c r="DC203" i="3"/>
  <c r="A204" i="3"/>
  <c r="CX204" i="3"/>
  <c r="CY204" i="3"/>
  <c r="CZ204" i="3"/>
  <c r="DA204" i="3"/>
  <c r="DB204" i="3"/>
  <c r="DC204" i="3"/>
  <c r="A205" i="3"/>
  <c r="CX205" i="3"/>
  <c r="CY205" i="3"/>
  <c r="CZ205" i="3"/>
  <c r="DA205" i="3"/>
  <c r="DB205" i="3"/>
  <c r="DC205" i="3"/>
  <c r="A206" i="3"/>
  <c r="CX206" i="3"/>
  <c r="CY206" i="3"/>
  <c r="CZ206" i="3"/>
  <c r="DB206" i="3" s="1"/>
  <c r="DA206" i="3"/>
  <c r="DC206" i="3"/>
  <c r="A207" i="3"/>
  <c r="CX207" i="3"/>
  <c r="CY207" i="3"/>
  <c r="CZ207" i="3"/>
  <c r="DB207" i="3" s="1"/>
  <c r="DA207" i="3"/>
  <c r="DC207" i="3"/>
  <c r="A208" i="3"/>
  <c r="CX208" i="3"/>
  <c r="CY208" i="3"/>
  <c r="CZ208" i="3"/>
  <c r="DA208" i="3"/>
  <c r="DB208" i="3"/>
  <c r="DC208" i="3"/>
  <c r="A209" i="3"/>
  <c r="CX209" i="3"/>
  <c r="CY209" i="3"/>
  <c r="CZ209" i="3"/>
  <c r="DA209" i="3"/>
  <c r="DB209" i="3"/>
  <c r="DC209" i="3"/>
  <c r="A210" i="3"/>
  <c r="CX210" i="3"/>
  <c r="CY210" i="3"/>
  <c r="CZ210" i="3"/>
  <c r="DB210" i="3" s="1"/>
  <c r="DA210" i="3"/>
  <c r="DC210" i="3"/>
  <c r="A211" i="3"/>
  <c r="CX211" i="3"/>
  <c r="CY211" i="3"/>
  <c r="CZ211" i="3"/>
  <c r="DB211" i="3" s="1"/>
  <c r="DA211" i="3"/>
  <c r="DC211" i="3"/>
  <c r="A212" i="3"/>
  <c r="CX212" i="3"/>
  <c r="CY212" i="3"/>
  <c r="CZ212" i="3"/>
  <c r="DA212" i="3"/>
  <c r="DB212" i="3"/>
  <c r="DC212" i="3"/>
  <c r="A213" i="3"/>
  <c r="CX213" i="3"/>
  <c r="CY213" i="3"/>
  <c r="CZ213" i="3"/>
  <c r="DA213" i="3"/>
  <c r="DB213" i="3"/>
  <c r="DC213" i="3"/>
  <c r="A214" i="3"/>
  <c r="CX214" i="3"/>
  <c r="CY214" i="3"/>
  <c r="CZ214" i="3"/>
  <c r="DB214" i="3" s="1"/>
  <c r="DA214" i="3"/>
  <c r="DC214" i="3"/>
  <c r="A215" i="3"/>
  <c r="CX215" i="3"/>
  <c r="CY215" i="3"/>
  <c r="CZ215" i="3"/>
  <c r="DB215" i="3" s="1"/>
  <c r="DA215" i="3"/>
  <c r="DC215" i="3"/>
  <c r="A216" i="3"/>
  <c r="CX216" i="3"/>
  <c r="CY216" i="3"/>
  <c r="CZ216" i="3"/>
  <c r="DA216" i="3"/>
  <c r="DB216" i="3"/>
  <c r="DC216" i="3"/>
  <c r="A217" i="3"/>
  <c r="CX217" i="3"/>
  <c r="CY217" i="3"/>
  <c r="CZ217" i="3"/>
  <c r="DA217" i="3"/>
  <c r="DB217" i="3"/>
  <c r="DC217" i="3"/>
  <c r="A218" i="3"/>
  <c r="CX218" i="3"/>
  <c r="CY218" i="3"/>
  <c r="CZ218" i="3"/>
  <c r="DB218" i="3" s="1"/>
  <c r="DA218" i="3"/>
  <c r="DC218" i="3"/>
  <c r="A219" i="3"/>
  <c r="CX219" i="3"/>
  <c r="CY219" i="3"/>
  <c r="CZ219" i="3"/>
  <c r="DB219" i="3" s="1"/>
  <c r="DA219" i="3"/>
  <c r="DC219" i="3"/>
  <c r="A220" i="3"/>
  <c r="CX220" i="3"/>
  <c r="CY220" i="3"/>
  <c r="CZ220" i="3"/>
  <c r="DA220" i="3"/>
  <c r="DB220" i="3"/>
  <c r="DC220" i="3"/>
  <c r="A221" i="3"/>
  <c r="CX221" i="3"/>
  <c r="CY221" i="3"/>
  <c r="CZ221" i="3"/>
  <c r="DA221" i="3"/>
  <c r="DB221" i="3"/>
  <c r="DC221" i="3"/>
  <c r="A222" i="3"/>
  <c r="CX222" i="3"/>
  <c r="CY222" i="3"/>
  <c r="CZ222" i="3"/>
  <c r="DB222" i="3" s="1"/>
  <c r="DA222" i="3"/>
  <c r="DC222" i="3"/>
  <c r="A223" i="3"/>
  <c r="CX223" i="3"/>
  <c r="CY223" i="3"/>
  <c r="CZ223" i="3"/>
  <c r="DB223" i="3" s="1"/>
  <c r="DA223" i="3"/>
  <c r="DC223" i="3"/>
  <c r="A224" i="3"/>
  <c r="CX224" i="3"/>
  <c r="CY224" i="3"/>
  <c r="CZ224" i="3"/>
  <c r="DA224" i="3"/>
  <c r="DB224" i="3"/>
  <c r="DC224" i="3"/>
  <c r="A225" i="3"/>
  <c r="CX225" i="3"/>
  <c r="CY225" i="3"/>
  <c r="CZ225" i="3"/>
  <c r="DA225" i="3"/>
  <c r="DB225" i="3"/>
  <c r="DC225" i="3"/>
  <c r="A226" i="3"/>
  <c r="CX226" i="3"/>
  <c r="CY226" i="3"/>
  <c r="CZ226" i="3"/>
  <c r="DB226" i="3" s="1"/>
  <c r="DA226" i="3"/>
  <c r="DC226" i="3"/>
  <c r="A227" i="3"/>
  <c r="CX227" i="3"/>
  <c r="CY227" i="3"/>
  <c r="CZ227" i="3"/>
  <c r="DB227" i="3" s="1"/>
  <c r="DA227" i="3"/>
  <c r="DC227" i="3"/>
  <c r="A228" i="3"/>
  <c r="CX228" i="3"/>
  <c r="CY228" i="3"/>
  <c r="CZ228" i="3"/>
  <c r="DA228" i="3"/>
  <c r="DB228" i="3"/>
  <c r="DC228" i="3"/>
  <c r="A229" i="3"/>
  <c r="CX229" i="3"/>
  <c r="CY229" i="3"/>
  <c r="CZ229" i="3"/>
  <c r="DA229" i="3"/>
  <c r="DB229" i="3"/>
  <c r="DC229" i="3"/>
  <c r="A230" i="3"/>
  <c r="CX230" i="3"/>
  <c r="CY230" i="3"/>
  <c r="CZ230" i="3"/>
  <c r="DB230" i="3" s="1"/>
  <c r="DA230" i="3"/>
  <c r="DC230" i="3"/>
  <c r="A231" i="3"/>
  <c r="CX231" i="3"/>
  <c r="CY231" i="3"/>
  <c r="CZ231" i="3"/>
  <c r="DB231" i="3" s="1"/>
  <c r="DA231" i="3"/>
  <c r="DC231" i="3"/>
  <c r="A232" i="3"/>
  <c r="CX232" i="3"/>
  <c r="CY232" i="3"/>
  <c r="CZ232" i="3"/>
  <c r="DA232" i="3"/>
  <c r="DB232" i="3"/>
  <c r="DC232" i="3"/>
  <c r="A233" i="3"/>
  <c r="CX233" i="3"/>
  <c r="CY233" i="3"/>
  <c r="CZ233" i="3"/>
  <c r="DA233" i="3"/>
  <c r="DB233" i="3"/>
  <c r="DC233" i="3"/>
  <c r="A234" i="3"/>
  <c r="CX234" i="3"/>
  <c r="CY234" i="3"/>
  <c r="CZ234" i="3"/>
  <c r="DB234" i="3" s="1"/>
  <c r="DA234" i="3"/>
  <c r="DC234" i="3"/>
  <c r="A235" i="3"/>
  <c r="CX235" i="3"/>
  <c r="CY235" i="3"/>
  <c r="CZ235" i="3"/>
  <c r="DB235" i="3" s="1"/>
  <c r="DA235" i="3"/>
  <c r="DC235" i="3"/>
  <c r="A236" i="3"/>
  <c r="CX236" i="3"/>
  <c r="CY236" i="3"/>
  <c r="CZ236" i="3"/>
  <c r="DA236" i="3"/>
  <c r="DB236" i="3"/>
  <c r="DC236" i="3"/>
  <c r="A237" i="3"/>
  <c r="CX237" i="3"/>
  <c r="CY237" i="3"/>
  <c r="CZ237" i="3"/>
  <c r="DA237" i="3"/>
  <c r="DB237" i="3"/>
  <c r="DC237" i="3"/>
  <c r="A238" i="3"/>
  <c r="CX238" i="3"/>
  <c r="CY238" i="3"/>
  <c r="CZ238" i="3"/>
  <c r="DB238" i="3" s="1"/>
  <c r="DA238" i="3"/>
  <c r="DC238" i="3"/>
  <c r="A239" i="3"/>
  <c r="CX239" i="3"/>
  <c r="CY239" i="3"/>
  <c r="CZ239" i="3"/>
  <c r="DB239" i="3" s="1"/>
  <c r="DA239" i="3"/>
  <c r="DC239" i="3"/>
  <c r="A240" i="3"/>
  <c r="CX240" i="3"/>
  <c r="CY240" i="3"/>
  <c r="CZ240" i="3"/>
  <c r="DA240" i="3"/>
  <c r="DB240" i="3"/>
  <c r="DC240" i="3"/>
  <c r="A241" i="3"/>
  <c r="CX241" i="3"/>
  <c r="CY241" i="3"/>
  <c r="CZ241" i="3"/>
  <c r="DA241" i="3"/>
  <c r="DB241" i="3"/>
  <c r="DC241" i="3"/>
  <c r="A242" i="3"/>
  <c r="CX242" i="3"/>
  <c r="CY242" i="3"/>
  <c r="CZ242" i="3"/>
  <c r="DB242" i="3" s="1"/>
  <c r="DA242" i="3"/>
  <c r="DC242" i="3"/>
  <c r="A243" i="3"/>
  <c r="CX243" i="3"/>
  <c r="CY243" i="3"/>
  <c r="CZ243" i="3"/>
  <c r="DB243" i="3" s="1"/>
  <c r="DA243" i="3"/>
  <c r="DC243" i="3"/>
  <c r="A244" i="3"/>
  <c r="CX244" i="3"/>
  <c r="CY244" i="3"/>
  <c r="CZ244" i="3"/>
  <c r="DA244" i="3"/>
  <c r="DB244" i="3"/>
  <c r="DC244" i="3"/>
  <c r="A245" i="3"/>
  <c r="CX245" i="3"/>
  <c r="CY245" i="3"/>
  <c r="CZ245" i="3"/>
  <c r="DA245" i="3"/>
  <c r="DB245" i="3"/>
  <c r="DC245" i="3"/>
  <c r="A246" i="3"/>
  <c r="CX246" i="3"/>
  <c r="CY246" i="3"/>
  <c r="CZ246" i="3"/>
  <c r="DB246" i="3" s="1"/>
  <c r="DA246" i="3"/>
  <c r="DC246" i="3"/>
  <c r="A247" i="3"/>
  <c r="CX247" i="3"/>
  <c r="CY247" i="3"/>
  <c r="CZ247" i="3"/>
  <c r="DB247" i="3" s="1"/>
  <c r="DA247" i="3"/>
  <c r="DC247" i="3"/>
  <c r="A248" i="3"/>
  <c r="CX248" i="3"/>
  <c r="CY248" i="3"/>
  <c r="CZ248" i="3"/>
  <c r="DA248" i="3"/>
  <c r="DB248" i="3"/>
  <c r="DC248" i="3"/>
  <c r="A249" i="3"/>
  <c r="CX249" i="3"/>
  <c r="CY249" i="3"/>
  <c r="CZ249" i="3"/>
  <c r="DA249" i="3"/>
  <c r="DB249" i="3"/>
  <c r="DC249" i="3"/>
  <c r="A250" i="3"/>
  <c r="CX250" i="3"/>
  <c r="CY250" i="3"/>
  <c r="CZ250" i="3"/>
  <c r="DB250" i="3" s="1"/>
  <c r="DA250" i="3"/>
  <c r="DC250" i="3"/>
  <c r="A251" i="3"/>
  <c r="CX251" i="3"/>
  <c r="CY251" i="3"/>
  <c r="CZ251" i="3"/>
  <c r="DB251" i="3" s="1"/>
  <c r="DA251" i="3"/>
  <c r="DC251" i="3"/>
  <c r="A252" i="3"/>
  <c r="CX252" i="3"/>
  <c r="CY252" i="3"/>
  <c r="CZ252" i="3"/>
  <c r="DA252" i="3"/>
  <c r="DB252" i="3"/>
  <c r="DC252" i="3"/>
  <c r="A253" i="3"/>
  <c r="CX253" i="3"/>
  <c r="CY253" i="3"/>
  <c r="CZ253" i="3"/>
  <c r="DA253" i="3"/>
  <c r="DB253" i="3"/>
  <c r="DC253" i="3"/>
  <c r="A254" i="3"/>
  <c r="CX254" i="3"/>
  <c r="CY254" i="3"/>
  <c r="CZ254" i="3"/>
  <c r="DB254" i="3" s="1"/>
  <c r="DA254" i="3"/>
  <c r="DC254" i="3"/>
  <c r="A255" i="3"/>
  <c r="CX255" i="3"/>
  <c r="CY255" i="3"/>
  <c r="CZ255" i="3"/>
  <c r="DB255" i="3" s="1"/>
  <c r="DA255" i="3"/>
  <c r="DC255" i="3"/>
  <c r="A256" i="3"/>
  <c r="CX256" i="3"/>
  <c r="CY256" i="3"/>
  <c r="CZ256" i="3"/>
  <c r="DA256" i="3"/>
  <c r="DB256" i="3"/>
  <c r="DC256" i="3"/>
  <c r="A257" i="3"/>
  <c r="CX257" i="3"/>
  <c r="CY257" i="3"/>
  <c r="CZ257" i="3"/>
  <c r="DA257" i="3"/>
  <c r="DB257" i="3"/>
  <c r="DC257" i="3"/>
  <c r="A258" i="3"/>
  <c r="CX258" i="3"/>
  <c r="CY258" i="3"/>
  <c r="CZ258" i="3"/>
  <c r="DB258" i="3" s="1"/>
  <c r="DA258" i="3"/>
  <c r="DC258" i="3"/>
  <c r="A259" i="3"/>
  <c r="CX259" i="3"/>
  <c r="CY259" i="3"/>
  <c r="CZ259" i="3"/>
  <c r="DB259" i="3" s="1"/>
  <c r="DA259" i="3"/>
  <c r="DC259" i="3"/>
  <c r="A260" i="3"/>
  <c r="CX260" i="3"/>
  <c r="CY260" i="3"/>
  <c r="CZ260" i="3"/>
  <c r="DA260" i="3"/>
  <c r="DB260" i="3"/>
  <c r="DC260" i="3"/>
  <c r="A261" i="3"/>
  <c r="CX261" i="3"/>
  <c r="CY261" i="3"/>
  <c r="CZ261" i="3"/>
  <c r="DA261" i="3"/>
  <c r="DB261" i="3"/>
  <c r="DC261" i="3"/>
  <c r="A262" i="3"/>
  <c r="CX262" i="3"/>
  <c r="CY262" i="3"/>
  <c r="CZ262" i="3"/>
  <c r="DB262" i="3" s="1"/>
  <c r="DA262" i="3"/>
  <c r="DC262" i="3"/>
  <c r="A263" i="3"/>
  <c r="CX263" i="3"/>
  <c r="CY263" i="3"/>
  <c r="CZ263" i="3"/>
  <c r="DB263" i="3" s="1"/>
  <c r="DA263" i="3"/>
  <c r="DC263" i="3"/>
  <c r="A264" i="3"/>
  <c r="CX264" i="3"/>
  <c r="CY264" i="3"/>
  <c r="CZ264" i="3"/>
  <c r="DA264" i="3"/>
  <c r="DB264" i="3"/>
  <c r="DC264" i="3"/>
  <c r="A265" i="3"/>
  <c r="CX265" i="3"/>
  <c r="CY265" i="3"/>
  <c r="CZ265" i="3"/>
  <c r="DA265" i="3"/>
  <c r="DB265" i="3"/>
  <c r="DC265" i="3"/>
  <c r="A266" i="3"/>
  <c r="CX266" i="3"/>
  <c r="CY266" i="3"/>
  <c r="CZ266" i="3"/>
  <c r="DB266" i="3" s="1"/>
  <c r="DA266" i="3"/>
  <c r="DC26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R24" i="1"/>
  <c r="AC24" i="1"/>
  <c r="CQ24" i="1" s="1"/>
  <c r="P24" i="1" s="1"/>
  <c r="AD24" i="1"/>
  <c r="CR24" i="1" s="1"/>
  <c r="Q24" i="1" s="1"/>
  <c r="AE24" i="1"/>
  <c r="AF24" i="1"/>
  <c r="AG24" i="1"/>
  <c r="CU24" i="1" s="1"/>
  <c r="T24" i="1" s="1"/>
  <c r="AH24" i="1"/>
  <c r="CV24" i="1" s="1"/>
  <c r="U24" i="1" s="1"/>
  <c r="AI24" i="1"/>
  <c r="AJ24" i="1"/>
  <c r="CS24" i="1"/>
  <c r="CT24" i="1"/>
  <c r="S24" i="1" s="1"/>
  <c r="CW24" i="1"/>
  <c r="V24" i="1" s="1"/>
  <c r="CX24" i="1"/>
  <c r="W24" i="1" s="1"/>
  <c r="FR24" i="1"/>
  <c r="GL24" i="1"/>
  <c r="GO24" i="1"/>
  <c r="GP24" i="1"/>
  <c r="GV24" i="1"/>
  <c r="HC24" i="1"/>
  <c r="GX24" i="1" s="1"/>
  <c r="C25" i="1"/>
  <c r="D25" i="1"/>
  <c r="AC25" i="1"/>
  <c r="AE25" i="1"/>
  <c r="AD25" i="1" s="1"/>
  <c r="AF25" i="1"/>
  <c r="CT25" i="1" s="1"/>
  <c r="S25" i="1" s="1"/>
  <c r="AG25" i="1"/>
  <c r="AH25" i="1"/>
  <c r="AI25" i="1"/>
  <c r="CW25" i="1" s="1"/>
  <c r="V25" i="1" s="1"/>
  <c r="AJ25" i="1"/>
  <c r="CX25" i="1" s="1"/>
  <c r="W25" i="1" s="1"/>
  <c r="CQ25" i="1"/>
  <c r="P25" i="1" s="1"/>
  <c r="CU25" i="1"/>
  <c r="T25" i="1" s="1"/>
  <c r="CV25" i="1"/>
  <c r="U25" i="1" s="1"/>
  <c r="FR25" i="1"/>
  <c r="GL25" i="1"/>
  <c r="GO25" i="1"/>
  <c r="GP25" i="1"/>
  <c r="GV25" i="1"/>
  <c r="HC25" i="1"/>
  <c r="GX25" i="1" s="1"/>
  <c r="C26" i="1"/>
  <c r="D26" i="1"/>
  <c r="I26" i="1"/>
  <c r="U26" i="1"/>
  <c r="AC26" i="1"/>
  <c r="CQ26" i="1" s="1"/>
  <c r="AE26" i="1"/>
  <c r="AD26" i="1" s="1"/>
  <c r="CR26" i="1" s="1"/>
  <c r="Q26" i="1" s="1"/>
  <c r="AF26" i="1"/>
  <c r="AG26" i="1"/>
  <c r="CU26" i="1" s="1"/>
  <c r="AH26" i="1"/>
  <c r="AI26" i="1"/>
  <c r="CW26" i="1" s="1"/>
  <c r="V26" i="1" s="1"/>
  <c r="AJ26" i="1"/>
  <c r="CX26" i="1" s="1"/>
  <c r="W26" i="1" s="1"/>
  <c r="CT26" i="1"/>
  <c r="S26" i="1" s="1"/>
  <c r="CV26" i="1"/>
  <c r="FR26" i="1"/>
  <c r="GL26" i="1"/>
  <c r="GO26" i="1"/>
  <c r="GP26" i="1"/>
  <c r="GV26" i="1"/>
  <c r="HC26" i="1"/>
  <c r="GX26" i="1" s="1"/>
  <c r="C27" i="1"/>
  <c r="D27" i="1"/>
  <c r="I27" i="1"/>
  <c r="P27" i="1"/>
  <c r="V27" i="1"/>
  <c r="AC27" i="1"/>
  <c r="CQ27" i="1" s="1"/>
  <c r="AD27" i="1"/>
  <c r="CR27" i="1" s="1"/>
  <c r="AE27" i="1"/>
  <c r="AF27" i="1"/>
  <c r="AB27" i="1" s="1"/>
  <c r="AG27" i="1"/>
  <c r="AH27" i="1"/>
  <c r="CV27" i="1" s="1"/>
  <c r="AI27" i="1"/>
  <c r="AJ27" i="1"/>
  <c r="CS27" i="1"/>
  <c r="R27" i="1" s="1"/>
  <c r="CT27" i="1"/>
  <c r="S27" i="1" s="1"/>
  <c r="CU27" i="1"/>
  <c r="T27" i="1" s="1"/>
  <c r="CW27" i="1"/>
  <c r="CX27" i="1"/>
  <c r="W27" i="1" s="1"/>
  <c r="FR27" i="1"/>
  <c r="GL27" i="1"/>
  <c r="GO27" i="1"/>
  <c r="GP27" i="1"/>
  <c r="GV27" i="1"/>
  <c r="HC27" i="1" s="1"/>
  <c r="GX27" i="1" s="1"/>
  <c r="C28" i="1"/>
  <c r="D28" i="1"/>
  <c r="AB28" i="1"/>
  <c r="AC28" i="1"/>
  <c r="CQ28" i="1" s="1"/>
  <c r="P28" i="1" s="1"/>
  <c r="AE28" i="1"/>
  <c r="AD28" i="1" s="1"/>
  <c r="AF28" i="1"/>
  <c r="AG28" i="1"/>
  <c r="CU28" i="1" s="1"/>
  <c r="T28" i="1" s="1"/>
  <c r="AH28" i="1"/>
  <c r="AI28" i="1"/>
  <c r="AJ28" i="1"/>
  <c r="CX28" i="1" s="1"/>
  <c r="W28" i="1" s="1"/>
  <c r="CR28" i="1"/>
  <c r="Q28" i="1" s="1"/>
  <c r="CS28" i="1"/>
  <c r="R28" i="1" s="1"/>
  <c r="CT28" i="1"/>
  <c r="S28" i="1" s="1"/>
  <c r="CV28" i="1"/>
  <c r="U28" i="1" s="1"/>
  <c r="CW28" i="1"/>
  <c r="V28" i="1" s="1"/>
  <c r="FR28" i="1"/>
  <c r="GL28" i="1"/>
  <c r="GO28" i="1"/>
  <c r="GP28" i="1"/>
  <c r="GV28" i="1"/>
  <c r="HC28" i="1"/>
  <c r="GX28" i="1" s="1"/>
  <c r="C29" i="1"/>
  <c r="D29" i="1"/>
  <c r="S29" i="1"/>
  <c r="CY29" i="1" s="1"/>
  <c r="X29" i="1" s="1"/>
  <c r="W29" i="1"/>
  <c r="AC29" i="1"/>
  <c r="AD29" i="1"/>
  <c r="CR29" i="1" s="1"/>
  <c r="Q29" i="1" s="1"/>
  <c r="AE29" i="1"/>
  <c r="CS29" i="1" s="1"/>
  <c r="R29" i="1" s="1"/>
  <c r="AF29" i="1"/>
  <c r="AG29" i="1"/>
  <c r="AH29" i="1"/>
  <c r="AI29" i="1"/>
  <c r="CW29" i="1" s="1"/>
  <c r="V29" i="1" s="1"/>
  <c r="AJ29" i="1"/>
  <c r="CQ29" i="1"/>
  <c r="P29" i="1" s="1"/>
  <c r="CP29" i="1" s="1"/>
  <c r="O29" i="1" s="1"/>
  <c r="CT29" i="1"/>
  <c r="CU29" i="1"/>
  <c r="T29" i="1" s="1"/>
  <c r="CV29" i="1"/>
  <c r="U29" i="1" s="1"/>
  <c r="CX29" i="1"/>
  <c r="CZ29" i="1"/>
  <c r="Y29" i="1" s="1"/>
  <c r="FR29" i="1"/>
  <c r="GL29" i="1"/>
  <c r="GO29" i="1"/>
  <c r="GP29" i="1"/>
  <c r="GV29" i="1"/>
  <c r="HC29" i="1" s="1"/>
  <c r="GX29" i="1"/>
  <c r="C30" i="1"/>
  <c r="D30" i="1"/>
  <c r="I30" i="1"/>
  <c r="Q30" i="1"/>
  <c r="R30" i="1"/>
  <c r="V30" i="1"/>
  <c r="AC30" i="1"/>
  <c r="AD30" i="1"/>
  <c r="AE30" i="1"/>
  <c r="AF30" i="1"/>
  <c r="CT30" i="1" s="1"/>
  <c r="S30" i="1" s="1"/>
  <c r="CY30" i="1" s="1"/>
  <c r="X30" i="1" s="1"/>
  <c r="AG30" i="1"/>
  <c r="AH30" i="1"/>
  <c r="AI30" i="1"/>
  <c r="AJ30" i="1"/>
  <c r="CX30" i="1" s="1"/>
  <c r="W30" i="1" s="1"/>
  <c r="CQ30" i="1"/>
  <c r="P30" i="1" s="1"/>
  <c r="CP30" i="1" s="1"/>
  <c r="O30" i="1" s="1"/>
  <c r="CR30" i="1"/>
  <c r="CS30" i="1"/>
  <c r="CU30" i="1"/>
  <c r="T30" i="1" s="1"/>
  <c r="CV30" i="1"/>
  <c r="U30" i="1" s="1"/>
  <c r="CW30" i="1"/>
  <c r="CZ30" i="1"/>
  <c r="Y30" i="1" s="1"/>
  <c r="FR30" i="1"/>
  <c r="GL30" i="1"/>
  <c r="GO30" i="1"/>
  <c r="GP30" i="1"/>
  <c r="GV30" i="1"/>
  <c r="HC30" i="1"/>
  <c r="GX30" i="1" s="1"/>
  <c r="C31" i="1"/>
  <c r="D31" i="1"/>
  <c r="I31" i="1"/>
  <c r="AB31" i="1"/>
  <c r="AC31" i="1"/>
  <c r="CQ31" i="1" s="1"/>
  <c r="AE31" i="1"/>
  <c r="AD31" i="1" s="1"/>
  <c r="AF31" i="1"/>
  <c r="AG31" i="1"/>
  <c r="CU31" i="1" s="1"/>
  <c r="T31" i="1" s="1"/>
  <c r="AH31" i="1"/>
  <c r="AI31" i="1"/>
  <c r="AJ31" i="1"/>
  <c r="CX31" i="1" s="1"/>
  <c r="W31" i="1" s="1"/>
  <c r="CR31" i="1"/>
  <c r="Q31" i="1" s="1"/>
  <c r="CS31" i="1"/>
  <c r="R31" i="1" s="1"/>
  <c r="CT31" i="1"/>
  <c r="S31" i="1" s="1"/>
  <c r="CV31" i="1"/>
  <c r="U31" i="1" s="1"/>
  <c r="CW31" i="1"/>
  <c r="V31" i="1" s="1"/>
  <c r="FR31" i="1"/>
  <c r="GL31" i="1"/>
  <c r="GO31" i="1"/>
  <c r="GP31" i="1"/>
  <c r="GV31" i="1"/>
  <c r="HC31" i="1"/>
  <c r="GX31" i="1" s="1"/>
  <c r="C32" i="1"/>
  <c r="D32" i="1"/>
  <c r="I32" i="1"/>
  <c r="R32" i="1"/>
  <c r="V32" i="1"/>
  <c r="AC32" i="1"/>
  <c r="AB32" i="1" s="1"/>
  <c r="AD32" i="1"/>
  <c r="CR32" i="1" s="1"/>
  <c r="Q32" i="1" s="1"/>
  <c r="AE32" i="1"/>
  <c r="AF32" i="1"/>
  <c r="AG32" i="1"/>
  <c r="AH32" i="1"/>
  <c r="CV32" i="1" s="1"/>
  <c r="U32" i="1" s="1"/>
  <c r="AI32" i="1"/>
  <c r="AJ32" i="1"/>
  <c r="CX32" i="1" s="1"/>
  <c r="W32" i="1" s="1"/>
  <c r="CS32" i="1"/>
  <c r="CT32" i="1"/>
  <c r="S32" i="1" s="1"/>
  <c r="CU32" i="1"/>
  <c r="T32" i="1" s="1"/>
  <c r="CW32" i="1"/>
  <c r="FR32" i="1"/>
  <c r="GL32" i="1"/>
  <c r="GO32" i="1"/>
  <c r="GP32" i="1"/>
  <c r="GV32" i="1"/>
  <c r="HC32" i="1" s="1"/>
  <c r="GX32" i="1" s="1"/>
  <c r="C33" i="1"/>
  <c r="D33" i="1"/>
  <c r="I33" i="1"/>
  <c r="S33" i="1"/>
  <c r="CY33" i="1" s="1"/>
  <c r="X33" i="1" s="1"/>
  <c r="W33" i="1"/>
  <c r="AC33" i="1"/>
  <c r="AD33" i="1"/>
  <c r="CR33" i="1" s="1"/>
  <c r="Q33" i="1" s="1"/>
  <c r="AE33" i="1"/>
  <c r="CS33" i="1" s="1"/>
  <c r="R33" i="1" s="1"/>
  <c r="AF33" i="1"/>
  <c r="AG33" i="1"/>
  <c r="AH33" i="1"/>
  <c r="AI33" i="1"/>
  <c r="CW33" i="1" s="1"/>
  <c r="V33" i="1" s="1"/>
  <c r="AJ33" i="1"/>
  <c r="CQ33" i="1"/>
  <c r="P33" i="1" s="1"/>
  <c r="CT33" i="1"/>
  <c r="CU33" i="1"/>
  <c r="T33" i="1" s="1"/>
  <c r="CV33" i="1"/>
  <c r="U33" i="1" s="1"/>
  <c r="CX33" i="1"/>
  <c r="CZ33" i="1"/>
  <c r="Y33" i="1" s="1"/>
  <c r="FR33" i="1"/>
  <c r="GL33" i="1"/>
  <c r="GO33" i="1"/>
  <c r="GP33" i="1"/>
  <c r="GV33" i="1"/>
  <c r="HC33" i="1" s="1"/>
  <c r="GX33" i="1"/>
  <c r="I34" i="1"/>
  <c r="T34" i="1" s="1"/>
  <c r="S34" i="1"/>
  <c r="AC34" i="1"/>
  <c r="AD34" i="1"/>
  <c r="CR34" i="1" s="1"/>
  <c r="AE34" i="1"/>
  <c r="AF34" i="1"/>
  <c r="AG34" i="1"/>
  <c r="AH34" i="1"/>
  <c r="CV34" i="1" s="1"/>
  <c r="AI34" i="1"/>
  <c r="AJ34" i="1"/>
  <c r="CQ34" i="1"/>
  <c r="P34" i="1" s="1"/>
  <c r="CS34" i="1"/>
  <c r="R34" i="1" s="1"/>
  <c r="CT34" i="1"/>
  <c r="CU34" i="1"/>
  <c r="CW34" i="1"/>
  <c r="V34" i="1" s="1"/>
  <c r="CX34" i="1"/>
  <c r="W34" i="1" s="1"/>
  <c r="FR34" i="1"/>
  <c r="GL34" i="1"/>
  <c r="GO34" i="1"/>
  <c r="GP34" i="1"/>
  <c r="GV34" i="1"/>
  <c r="HC34" i="1"/>
  <c r="GX34" i="1" s="1"/>
  <c r="I35" i="1"/>
  <c r="AC35" i="1"/>
  <c r="CQ35" i="1" s="1"/>
  <c r="P35" i="1" s="1"/>
  <c r="AE35" i="1"/>
  <c r="AD35" i="1" s="1"/>
  <c r="CR35" i="1" s="1"/>
  <c r="Q35" i="1" s="1"/>
  <c r="AF35" i="1"/>
  <c r="AG35" i="1"/>
  <c r="CU35" i="1" s="1"/>
  <c r="AH35" i="1"/>
  <c r="AI35" i="1"/>
  <c r="CW35" i="1" s="1"/>
  <c r="V35" i="1" s="1"/>
  <c r="AJ35" i="1"/>
  <c r="CS35" i="1"/>
  <c r="R35" i="1" s="1"/>
  <c r="CT35" i="1"/>
  <c r="S35" i="1" s="1"/>
  <c r="CV35" i="1"/>
  <c r="U35" i="1" s="1"/>
  <c r="CX35" i="1"/>
  <c r="W35" i="1" s="1"/>
  <c r="FR35" i="1"/>
  <c r="GL35" i="1"/>
  <c r="GO35" i="1"/>
  <c r="GP35" i="1"/>
  <c r="GV35" i="1"/>
  <c r="GX35" i="1"/>
  <c r="HC35" i="1"/>
  <c r="C36" i="1"/>
  <c r="D36" i="1"/>
  <c r="I36" i="1"/>
  <c r="T36" i="1" s="1"/>
  <c r="S36" i="1"/>
  <c r="AC36" i="1"/>
  <c r="AD36" i="1"/>
  <c r="CR36" i="1" s="1"/>
  <c r="AE36" i="1"/>
  <c r="AF36" i="1"/>
  <c r="AG36" i="1"/>
  <c r="AH36" i="1"/>
  <c r="CV36" i="1" s="1"/>
  <c r="AI36" i="1"/>
  <c r="AJ36" i="1"/>
  <c r="CQ36" i="1"/>
  <c r="P36" i="1" s="1"/>
  <c r="CS36" i="1"/>
  <c r="R36" i="1" s="1"/>
  <c r="CT36" i="1"/>
  <c r="CU36" i="1"/>
  <c r="CW36" i="1"/>
  <c r="V36" i="1" s="1"/>
  <c r="CX36" i="1"/>
  <c r="W36" i="1" s="1"/>
  <c r="FR36" i="1"/>
  <c r="GL36" i="1"/>
  <c r="GO36" i="1"/>
  <c r="GP36" i="1"/>
  <c r="GV36" i="1"/>
  <c r="HC36" i="1"/>
  <c r="GX36" i="1" s="1"/>
  <c r="C37" i="1"/>
  <c r="D37" i="1"/>
  <c r="I37" i="1"/>
  <c r="T37" i="1"/>
  <c r="U37" i="1"/>
  <c r="AC37" i="1"/>
  <c r="CQ37" i="1" s="1"/>
  <c r="P37" i="1" s="1"/>
  <c r="AE37" i="1"/>
  <c r="CS37" i="1" s="1"/>
  <c r="R37" i="1" s="1"/>
  <c r="AF37" i="1"/>
  <c r="AG37" i="1"/>
  <c r="AH37" i="1"/>
  <c r="AI37" i="1"/>
  <c r="CW37" i="1" s="1"/>
  <c r="V37" i="1" s="1"/>
  <c r="AJ37" i="1"/>
  <c r="CT37" i="1"/>
  <c r="S37" i="1" s="1"/>
  <c r="CU37" i="1"/>
  <c r="CV37" i="1"/>
  <c r="CX37" i="1"/>
  <c r="W37" i="1" s="1"/>
  <c r="FR37" i="1"/>
  <c r="GL37" i="1"/>
  <c r="GO37" i="1"/>
  <c r="GP37" i="1"/>
  <c r="GV37" i="1"/>
  <c r="HC37" i="1" s="1"/>
  <c r="GX37" i="1" s="1"/>
  <c r="AC38" i="1"/>
  <c r="AB38" i="1" s="1"/>
  <c r="AD38" i="1"/>
  <c r="CR38" i="1" s="1"/>
  <c r="AE38" i="1"/>
  <c r="AF38" i="1"/>
  <c r="AG38" i="1"/>
  <c r="AH38" i="1"/>
  <c r="CV38" i="1" s="1"/>
  <c r="AI38" i="1"/>
  <c r="AJ38" i="1"/>
  <c r="CX38" i="1" s="1"/>
  <c r="CS38" i="1"/>
  <c r="CT38" i="1"/>
  <c r="CU38" i="1"/>
  <c r="CW38" i="1"/>
  <c r="FR38" i="1"/>
  <c r="GL38" i="1"/>
  <c r="GO38" i="1"/>
  <c r="GP38" i="1"/>
  <c r="GV38" i="1"/>
  <c r="HC38" i="1" s="1"/>
  <c r="I39" i="1"/>
  <c r="AB39" i="1"/>
  <c r="AC39" i="1"/>
  <c r="CQ39" i="1" s="1"/>
  <c r="AE39" i="1"/>
  <c r="AD39" i="1" s="1"/>
  <c r="AF39" i="1"/>
  <c r="AG39" i="1"/>
  <c r="CU39" i="1" s="1"/>
  <c r="T39" i="1" s="1"/>
  <c r="AH39" i="1"/>
  <c r="AI39" i="1"/>
  <c r="AJ39" i="1"/>
  <c r="CX39" i="1" s="1"/>
  <c r="W39" i="1" s="1"/>
  <c r="CR39" i="1"/>
  <c r="Q39" i="1" s="1"/>
  <c r="CS39" i="1"/>
  <c r="R39" i="1" s="1"/>
  <c r="CT39" i="1"/>
  <c r="S39" i="1" s="1"/>
  <c r="CV39" i="1"/>
  <c r="U39" i="1" s="1"/>
  <c r="CW39" i="1"/>
  <c r="V39" i="1" s="1"/>
  <c r="FR39" i="1"/>
  <c r="GL39" i="1"/>
  <c r="GO39" i="1"/>
  <c r="GP39" i="1"/>
  <c r="GV39" i="1"/>
  <c r="HC39" i="1"/>
  <c r="GX39" i="1" s="1"/>
  <c r="C40" i="1"/>
  <c r="D40" i="1"/>
  <c r="I40" i="1"/>
  <c r="R40" i="1"/>
  <c r="V40" i="1"/>
  <c r="AC40" i="1"/>
  <c r="AB40" i="1" s="1"/>
  <c r="AD40" i="1"/>
  <c r="CR40" i="1" s="1"/>
  <c r="Q40" i="1" s="1"/>
  <c r="AE40" i="1"/>
  <c r="AF40" i="1"/>
  <c r="AG40" i="1"/>
  <c r="AH40" i="1"/>
  <c r="CV40" i="1" s="1"/>
  <c r="U40" i="1" s="1"/>
  <c r="AI40" i="1"/>
  <c r="AJ40" i="1"/>
  <c r="CX40" i="1" s="1"/>
  <c r="W40" i="1" s="1"/>
  <c r="CS40" i="1"/>
  <c r="CT40" i="1"/>
  <c r="S40" i="1" s="1"/>
  <c r="CU40" i="1"/>
  <c r="T40" i="1" s="1"/>
  <c r="CW40" i="1"/>
  <c r="FR40" i="1"/>
  <c r="GL40" i="1"/>
  <c r="GO40" i="1"/>
  <c r="GP40" i="1"/>
  <c r="GV40" i="1"/>
  <c r="HC40" i="1" s="1"/>
  <c r="GX40" i="1" s="1"/>
  <c r="C41" i="1"/>
  <c r="D41" i="1"/>
  <c r="I41" i="1"/>
  <c r="S41" i="1"/>
  <c r="CY41" i="1" s="1"/>
  <c r="X41" i="1" s="1"/>
  <c r="W41" i="1"/>
  <c r="AC41" i="1"/>
  <c r="AD41" i="1"/>
  <c r="CR41" i="1" s="1"/>
  <c r="Q41" i="1" s="1"/>
  <c r="AE41" i="1"/>
  <c r="CS41" i="1" s="1"/>
  <c r="R41" i="1" s="1"/>
  <c r="AF41" i="1"/>
  <c r="AG41" i="1"/>
  <c r="AH41" i="1"/>
  <c r="AI41" i="1"/>
  <c r="CW41" i="1" s="1"/>
  <c r="V41" i="1" s="1"/>
  <c r="AJ41" i="1"/>
  <c r="CQ41" i="1"/>
  <c r="P41" i="1" s="1"/>
  <c r="CP41" i="1" s="1"/>
  <c r="O41" i="1" s="1"/>
  <c r="CT41" i="1"/>
  <c r="CU41" i="1"/>
  <c r="T41" i="1" s="1"/>
  <c r="CV41" i="1"/>
  <c r="U41" i="1" s="1"/>
  <c r="CX41" i="1"/>
  <c r="CZ41" i="1"/>
  <c r="Y41" i="1" s="1"/>
  <c r="FR41" i="1"/>
  <c r="GL41" i="1"/>
  <c r="GO41" i="1"/>
  <c r="GP41" i="1"/>
  <c r="GV41" i="1"/>
  <c r="HC41" i="1" s="1"/>
  <c r="GX41" i="1"/>
  <c r="I42" i="1"/>
  <c r="T42" i="1" s="1"/>
  <c r="S42" i="1"/>
  <c r="CY42" i="1" s="1"/>
  <c r="X42" i="1" s="1"/>
  <c r="AC42" i="1"/>
  <c r="AD42" i="1"/>
  <c r="CR42" i="1" s="1"/>
  <c r="AE42" i="1"/>
  <c r="AF42" i="1"/>
  <c r="AG42" i="1"/>
  <c r="AH42" i="1"/>
  <c r="CV42" i="1" s="1"/>
  <c r="AI42" i="1"/>
  <c r="AJ42" i="1"/>
  <c r="CQ42" i="1"/>
  <c r="P42" i="1" s="1"/>
  <c r="CS42" i="1"/>
  <c r="R42" i="1" s="1"/>
  <c r="CT42" i="1"/>
  <c r="CU42" i="1"/>
  <c r="CW42" i="1"/>
  <c r="V42" i="1" s="1"/>
  <c r="CX42" i="1"/>
  <c r="W42" i="1" s="1"/>
  <c r="FR42" i="1"/>
  <c r="GL42" i="1"/>
  <c r="GO42" i="1"/>
  <c r="GP42" i="1"/>
  <c r="GV42" i="1"/>
  <c r="HC42" i="1"/>
  <c r="GX42" i="1" s="1"/>
  <c r="I43" i="1"/>
  <c r="AC43" i="1"/>
  <c r="CQ43" i="1" s="1"/>
  <c r="P43" i="1" s="1"/>
  <c r="AE43" i="1"/>
  <c r="AD43" i="1" s="1"/>
  <c r="CR43" i="1" s="1"/>
  <c r="Q43" i="1" s="1"/>
  <c r="AF43" i="1"/>
  <c r="AG43" i="1"/>
  <c r="CU43" i="1" s="1"/>
  <c r="AH43" i="1"/>
  <c r="AI43" i="1"/>
  <c r="CW43" i="1" s="1"/>
  <c r="V43" i="1" s="1"/>
  <c r="AJ43" i="1"/>
  <c r="CS43" i="1"/>
  <c r="R43" i="1" s="1"/>
  <c r="CT43" i="1"/>
  <c r="S43" i="1" s="1"/>
  <c r="CV43" i="1"/>
  <c r="U43" i="1" s="1"/>
  <c r="CX43" i="1"/>
  <c r="W43" i="1" s="1"/>
  <c r="FR43" i="1"/>
  <c r="GL43" i="1"/>
  <c r="GO43" i="1"/>
  <c r="GP43" i="1"/>
  <c r="GV43" i="1"/>
  <c r="GX43" i="1"/>
  <c r="HC43" i="1"/>
  <c r="I44" i="1"/>
  <c r="Q44" i="1"/>
  <c r="R44" i="1"/>
  <c r="V44" i="1"/>
  <c r="AC44" i="1"/>
  <c r="AD44" i="1"/>
  <c r="AE44" i="1"/>
  <c r="AF44" i="1"/>
  <c r="CT44" i="1" s="1"/>
  <c r="S44" i="1" s="1"/>
  <c r="CY44" i="1" s="1"/>
  <c r="X44" i="1" s="1"/>
  <c r="AG44" i="1"/>
  <c r="AH44" i="1"/>
  <c r="AI44" i="1"/>
  <c r="AJ44" i="1"/>
  <c r="CX44" i="1" s="1"/>
  <c r="W44" i="1" s="1"/>
  <c r="CQ44" i="1"/>
  <c r="P44" i="1" s="1"/>
  <c r="CP44" i="1" s="1"/>
  <c r="O44" i="1" s="1"/>
  <c r="CR44" i="1"/>
  <c r="CS44" i="1"/>
  <c r="CU44" i="1"/>
  <c r="T44" i="1" s="1"/>
  <c r="CV44" i="1"/>
  <c r="U44" i="1" s="1"/>
  <c r="CW44" i="1"/>
  <c r="CZ44" i="1"/>
  <c r="Y44" i="1" s="1"/>
  <c r="FR44" i="1"/>
  <c r="GL44" i="1"/>
  <c r="GO44" i="1"/>
  <c r="GP44" i="1"/>
  <c r="GV44" i="1"/>
  <c r="HC44" i="1"/>
  <c r="GX44" i="1" s="1"/>
  <c r="I45" i="1"/>
  <c r="S45" i="1"/>
  <c r="CY45" i="1" s="1"/>
  <c r="X45" i="1" s="1"/>
  <c r="W45" i="1"/>
  <c r="AC45" i="1"/>
  <c r="AD45" i="1"/>
  <c r="CR45" i="1" s="1"/>
  <c r="Q45" i="1" s="1"/>
  <c r="AE45" i="1"/>
  <c r="CS45" i="1" s="1"/>
  <c r="R45" i="1" s="1"/>
  <c r="AF45" i="1"/>
  <c r="AG45" i="1"/>
  <c r="AH45" i="1"/>
  <c r="AI45" i="1"/>
  <c r="CW45" i="1" s="1"/>
  <c r="V45" i="1" s="1"/>
  <c r="AJ45" i="1"/>
  <c r="CQ45" i="1"/>
  <c r="P45" i="1" s="1"/>
  <c r="CP45" i="1" s="1"/>
  <c r="O45" i="1" s="1"/>
  <c r="CT45" i="1"/>
  <c r="CU45" i="1"/>
  <c r="T45" i="1" s="1"/>
  <c r="CV45" i="1"/>
  <c r="U45" i="1" s="1"/>
  <c r="CX45" i="1"/>
  <c r="CZ45" i="1"/>
  <c r="Y45" i="1" s="1"/>
  <c r="FR45" i="1"/>
  <c r="GL45" i="1"/>
  <c r="GO45" i="1"/>
  <c r="GP45" i="1"/>
  <c r="GV45" i="1"/>
  <c r="HC45" i="1"/>
  <c r="GX45" i="1" s="1"/>
  <c r="C46" i="1"/>
  <c r="D46" i="1"/>
  <c r="I46" i="1"/>
  <c r="AC46" i="1"/>
  <c r="AB46" i="1" s="1"/>
  <c r="AD46" i="1"/>
  <c r="CR46" i="1" s="1"/>
  <c r="Q46" i="1" s="1"/>
  <c r="AE46" i="1"/>
  <c r="AF46" i="1"/>
  <c r="AG46" i="1"/>
  <c r="CU46" i="1" s="1"/>
  <c r="T46" i="1" s="1"/>
  <c r="AH46" i="1"/>
  <c r="CV46" i="1" s="1"/>
  <c r="U46" i="1" s="1"/>
  <c r="AI46" i="1"/>
  <c r="AJ46" i="1"/>
  <c r="CS46" i="1"/>
  <c r="R46" i="1" s="1"/>
  <c r="CT46" i="1"/>
  <c r="S46" i="1" s="1"/>
  <c r="CW46" i="1"/>
  <c r="V46" i="1" s="1"/>
  <c r="CX46" i="1"/>
  <c r="W46" i="1" s="1"/>
  <c r="FR46" i="1"/>
  <c r="GL46" i="1"/>
  <c r="GO46" i="1"/>
  <c r="GP46" i="1"/>
  <c r="GV46" i="1"/>
  <c r="HC46" i="1"/>
  <c r="GX46" i="1" s="1"/>
  <c r="C47" i="1"/>
  <c r="D47" i="1"/>
  <c r="I47" i="1"/>
  <c r="AC47" i="1"/>
  <c r="AB47" i="1" s="1"/>
  <c r="AD47" i="1"/>
  <c r="CR47" i="1" s="1"/>
  <c r="Q47" i="1" s="1"/>
  <c r="AE47" i="1"/>
  <c r="CS47" i="1" s="1"/>
  <c r="R47" i="1" s="1"/>
  <c r="AF47" i="1"/>
  <c r="AG47" i="1"/>
  <c r="CU47" i="1" s="1"/>
  <c r="T47" i="1" s="1"/>
  <c r="AH47" i="1"/>
  <c r="CV47" i="1" s="1"/>
  <c r="U47" i="1" s="1"/>
  <c r="AI47" i="1"/>
  <c r="CW47" i="1" s="1"/>
  <c r="V47" i="1" s="1"/>
  <c r="AJ47" i="1"/>
  <c r="CQ47" i="1"/>
  <c r="P47" i="1" s="1"/>
  <c r="CP47" i="1" s="1"/>
  <c r="O47" i="1" s="1"/>
  <c r="CT47" i="1"/>
  <c r="S47" i="1" s="1"/>
  <c r="CZ47" i="1" s="1"/>
  <c r="Y47" i="1" s="1"/>
  <c r="CX47" i="1"/>
  <c r="W47" i="1" s="1"/>
  <c r="CY47" i="1"/>
  <c r="X47" i="1" s="1"/>
  <c r="FR47" i="1"/>
  <c r="GL47" i="1"/>
  <c r="GO47" i="1"/>
  <c r="GP47" i="1"/>
  <c r="GV47" i="1"/>
  <c r="HC47" i="1" s="1"/>
  <c r="GX47" i="1" s="1"/>
  <c r="I48" i="1"/>
  <c r="W48" i="1" s="1"/>
  <c r="V48" i="1"/>
  <c r="AC48" i="1"/>
  <c r="CQ48" i="1" s="1"/>
  <c r="AD48" i="1"/>
  <c r="CR48" i="1" s="1"/>
  <c r="Q48" i="1" s="1"/>
  <c r="AE48" i="1"/>
  <c r="AF48" i="1"/>
  <c r="AG48" i="1"/>
  <c r="CU48" i="1" s="1"/>
  <c r="AH48" i="1"/>
  <c r="CV48" i="1" s="1"/>
  <c r="U48" i="1" s="1"/>
  <c r="AI48" i="1"/>
  <c r="AJ48" i="1"/>
  <c r="CS48" i="1"/>
  <c r="R48" i="1" s="1"/>
  <c r="CT48" i="1"/>
  <c r="S48" i="1" s="1"/>
  <c r="CW48" i="1"/>
  <c r="CX48" i="1"/>
  <c r="FR48" i="1"/>
  <c r="GL48" i="1"/>
  <c r="GO48" i="1"/>
  <c r="GP48" i="1"/>
  <c r="GV48" i="1"/>
  <c r="HC48" i="1" s="1"/>
  <c r="GX48" i="1" s="1"/>
  <c r="I49" i="1"/>
  <c r="AC49" i="1"/>
  <c r="CQ49" i="1" s="1"/>
  <c r="P49" i="1" s="1"/>
  <c r="AE49" i="1"/>
  <c r="AD49" i="1" s="1"/>
  <c r="AF49" i="1"/>
  <c r="AG49" i="1"/>
  <c r="CU49" i="1" s="1"/>
  <c r="T49" i="1" s="1"/>
  <c r="AH49" i="1"/>
  <c r="AI49" i="1"/>
  <c r="AJ49" i="1"/>
  <c r="CR49" i="1"/>
  <c r="Q49" i="1" s="1"/>
  <c r="CS49" i="1"/>
  <c r="R49" i="1" s="1"/>
  <c r="CT49" i="1"/>
  <c r="S49" i="1" s="1"/>
  <c r="CV49" i="1"/>
  <c r="U49" i="1" s="1"/>
  <c r="CW49" i="1"/>
  <c r="V49" i="1" s="1"/>
  <c r="CX49" i="1"/>
  <c r="W49" i="1" s="1"/>
  <c r="FR49" i="1"/>
  <c r="GL49" i="1"/>
  <c r="GO49" i="1"/>
  <c r="GP49" i="1"/>
  <c r="GV49" i="1"/>
  <c r="GX49" i="1"/>
  <c r="HC49" i="1"/>
  <c r="C50" i="1"/>
  <c r="D50" i="1"/>
  <c r="I50" i="1"/>
  <c r="R50" i="1"/>
  <c r="S50" i="1"/>
  <c r="CY50" i="1" s="1"/>
  <c r="X50" i="1" s="1"/>
  <c r="W50" i="1"/>
  <c r="AC50" i="1"/>
  <c r="AB50" i="1" s="1"/>
  <c r="AD50" i="1"/>
  <c r="CR50" i="1" s="1"/>
  <c r="Q50" i="1" s="1"/>
  <c r="AE50" i="1"/>
  <c r="AF50" i="1"/>
  <c r="AG50" i="1"/>
  <c r="AH50" i="1"/>
  <c r="CV50" i="1" s="1"/>
  <c r="U50" i="1" s="1"/>
  <c r="AI50" i="1"/>
  <c r="AJ50" i="1"/>
  <c r="CQ50" i="1"/>
  <c r="P50" i="1" s="1"/>
  <c r="CP50" i="1" s="1"/>
  <c r="O50" i="1" s="1"/>
  <c r="CS50" i="1"/>
  <c r="CT50" i="1"/>
  <c r="CU50" i="1"/>
  <c r="T50" i="1" s="1"/>
  <c r="CW50" i="1"/>
  <c r="V50" i="1" s="1"/>
  <c r="CX50" i="1"/>
  <c r="FR50" i="1"/>
  <c r="GL50" i="1"/>
  <c r="GO50" i="1"/>
  <c r="GP50" i="1"/>
  <c r="GV50" i="1"/>
  <c r="HC50" i="1" s="1"/>
  <c r="GX50" i="1" s="1"/>
  <c r="C51" i="1"/>
  <c r="D51" i="1"/>
  <c r="I51" i="1"/>
  <c r="S51" i="1"/>
  <c r="CY51" i="1" s="1"/>
  <c r="X51" i="1" s="1"/>
  <c r="T51" i="1"/>
  <c r="AC51" i="1"/>
  <c r="AE51" i="1"/>
  <c r="CS51" i="1" s="1"/>
  <c r="R51" i="1" s="1"/>
  <c r="AF51" i="1"/>
  <c r="AG51" i="1"/>
  <c r="AH51" i="1"/>
  <c r="AI51" i="1"/>
  <c r="CW51" i="1" s="1"/>
  <c r="V51" i="1" s="1"/>
  <c r="AJ51" i="1"/>
  <c r="CQ51" i="1"/>
  <c r="P51" i="1" s="1"/>
  <c r="CT51" i="1"/>
  <c r="CU51" i="1"/>
  <c r="CV51" i="1"/>
  <c r="U51" i="1" s="1"/>
  <c r="CX51" i="1"/>
  <c r="W51" i="1" s="1"/>
  <c r="FR51" i="1"/>
  <c r="GL51" i="1"/>
  <c r="GO51" i="1"/>
  <c r="GP51" i="1"/>
  <c r="GV51" i="1"/>
  <c r="HC51" i="1" s="1"/>
  <c r="GX51" i="1" s="1"/>
  <c r="C52" i="1"/>
  <c r="D52" i="1"/>
  <c r="I52" i="1"/>
  <c r="R52" i="1"/>
  <c r="T52" i="1"/>
  <c r="AC52" i="1"/>
  <c r="AD52" i="1"/>
  <c r="AB52" i="1" s="1"/>
  <c r="AE52" i="1"/>
  <c r="AF52" i="1"/>
  <c r="CT52" i="1" s="1"/>
  <c r="AG52" i="1"/>
  <c r="AH52" i="1"/>
  <c r="CV52" i="1" s="1"/>
  <c r="U52" i="1" s="1"/>
  <c r="AI52" i="1"/>
  <c r="AJ52" i="1"/>
  <c r="CX52" i="1" s="1"/>
  <c r="CQ52" i="1"/>
  <c r="P52" i="1" s="1"/>
  <c r="CR52" i="1"/>
  <c r="Q52" i="1" s="1"/>
  <c r="CS52" i="1"/>
  <c r="CU52" i="1"/>
  <c r="CW52" i="1"/>
  <c r="V52" i="1" s="1"/>
  <c r="FR52" i="1"/>
  <c r="GL52" i="1"/>
  <c r="GO52" i="1"/>
  <c r="GP52" i="1"/>
  <c r="GV52" i="1"/>
  <c r="HC52" i="1" s="1"/>
  <c r="GX52" i="1" s="1"/>
  <c r="C53" i="1"/>
  <c r="D53" i="1"/>
  <c r="I53" i="1"/>
  <c r="AC53" i="1"/>
  <c r="CQ53" i="1" s="1"/>
  <c r="P53" i="1" s="1"/>
  <c r="AE53" i="1"/>
  <c r="AD53" i="1" s="1"/>
  <c r="AF53" i="1"/>
  <c r="AG53" i="1"/>
  <c r="CU53" i="1" s="1"/>
  <c r="T53" i="1" s="1"/>
  <c r="AH53" i="1"/>
  <c r="AI53" i="1"/>
  <c r="AJ53" i="1"/>
  <c r="CR53" i="1"/>
  <c r="Q53" i="1" s="1"/>
  <c r="CS53" i="1"/>
  <c r="R53" i="1" s="1"/>
  <c r="CT53" i="1"/>
  <c r="S53" i="1" s="1"/>
  <c r="CV53" i="1"/>
  <c r="U53" i="1" s="1"/>
  <c r="CW53" i="1"/>
  <c r="V53" i="1" s="1"/>
  <c r="CX53" i="1"/>
  <c r="W53" i="1" s="1"/>
  <c r="FR53" i="1"/>
  <c r="GL53" i="1"/>
  <c r="GO53" i="1"/>
  <c r="GP53" i="1"/>
  <c r="GV53" i="1"/>
  <c r="GX53" i="1"/>
  <c r="HC53" i="1"/>
  <c r="AC54" i="1"/>
  <c r="AE54" i="1"/>
  <c r="AD54" i="1" s="1"/>
  <c r="AF54" i="1"/>
  <c r="CT54" i="1" s="1"/>
  <c r="AG54" i="1"/>
  <c r="AH54" i="1"/>
  <c r="AI54" i="1"/>
  <c r="CW54" i="1" s="1"/>
  <c r="AJ54" i="1"/>
  <c r="CX54" i="1" s="1"/>
  <c r="CQ54" i="1"/>
  <c r="CS54" i="1"/>
  <c r="CU54" i="1"/>
  <c r="CV54" i="1"/>
  <c r="FR54" i="1"/>
  <c r="GL54" i="1"/>
  <c r="GO54" i="1"/>
  <c r="GP54" i="1"/>
  <c r="GV54" i="1"/>
  <c r="HC54" i="1"/>
  <c r="AC55" i="1"/>
  <c r="AD55" i="1"/>
  <c r="CR55" i="1" s="1"/>
  <c r="AE55" i="1"/>
  <c r="CS55" i="1" s="1"/>
  <c r="AF55" i="1"/>
  <c r="AG55" i="1"/>
  <c r="AH55" i="1"/>
  <c r="AI55" i="1"/>
  <c r="CW55" i="1" s="1"/>
  <c r="AJ55" i="1"/>
  <c r="CQ55" i="1"/>
  <c r="CT55" i="1"/>
  <c r="CU55" i="1"/>
  <c r="CV55" i="1"/>
  <c r="CX55" i="1"/>
  <c r="FR55" i="1"/>
  <c r="GL55" i="1"/>
  <c r="GO55" i="1"/>
  <c r="GP55" i="1"/>
  <c r="GV55" i="1"/>
  <c r="HC55" i="1" s="1"/>
  <c r="I56" i="1"/>
  <c r="T56" i="1" s="1"/>
  <c r="S56" i="1"/>
  <c r="CY56" i="1" s="1"/>
  <c r="X56" i="1" s="1"/>
  <c r="AC56" i="1"/>
  <c r="AD56" i="1"/>
  <c r="CR56" i="1" s="1"/>
  <c r="AE56" i="1"/>
  <c r="AF56" i="1"/>
  <c r="AB56" i="1" s="1"/>
  <c r="AG56" i="1"/>
  <c r="AH56" i="1"/>
  <c r="CV56" i="1" s="1"/>
  <c r="AI56" i="1"/>
  <c r="AJ56" i="1"/>
  <c r="CQ56" i="1"/>
  <c r="P56" i="1" s="1"/>
  <c r="CS56" i="1"/>
  <c r="R56" i="1" s="1"/>
  <c r="CT56" i="1"/>
  <c r="CU56" i="1"/>
  <c r="CW56" i="1"/>
  <c r="V56" i="1" s="1"/>
  <c r="CX56" i="1"/>
  <c r="W56" i="1" s="1"/>
  <c r="FR56" i="1"/>
  <c r="GL56" i="1"/>
  <c r="GO56" i="1"/>
  <c r="GP56" i="1"/>
  <c r="GV56" i="1"/>
  <c r="HC56" i="1"/>
  <c r="GX56" i="1" s="1"/>
  <c r="I57" i="1"/>
  <c r="AC57" i="1"/>
  <c r="CQ57" i="1" s="1"/>
  <c r="AE57" i="1"/>
  <c r="AD57" i="1" s="1"/>
  <c r="CR57" i="1" s="1"/>
  <c r="Q57" i="1" s="1"/>
  <c r="AF57" i="1"/>
  <c r="AG57" i="1"/>
  <c r="CU57" i="1" s="1"/>
  <c r="AH57" i="1"/>
  <c r="AI57" i="1"/>
  <c r="CW57" i="1" s="1"/>
  <c r="V57" i="1" s="1"/>
  <c r="AJ57" i="1"/>
  <c r="CS57" i="1"/>
  <c r="R57" i="1" s="1"/>
  <c r="CT57" i="1"/>
  <c r="S57" i="1" s="1"/>
  <c r="CV57" i="1"/>
  <c r="U57" i="1" s="1"/>
  <c r="CX57" i="1"/>
  <c r="W57" i="1" s="1"/>
  <c r="FR57" i="1"/>
  <c r="GL57" i="1"/>
  <c r="GO57" i="1"/>
  <c r="GP57" i="1"/>
  <c r="GV57" i="1"/>
  <c r="GX57" i="1"/>
  <c r="HC57" i="1"/>
  <c r="C58" i="1"/>
  <c r="D58" i="1"/>
  <c r="I58" i="1"/>
  <c r="T58" i="1" s="1"/>
  <c r="S58" i="1"/>
  <c r="AC58" i="1"/>
  <c r="AD58" i="1"/>
  <c r="CR58" i="1" s="1"/>
  <c r="AE58" i="1"/>
  <c r="AF58" i="1"/>
  <c r="AB58" i="1" s="1"/>
  <c r="AG58" i="1"/>
  <c r="AH58" i="1"/>
  <c r="CV58" i="1" s="1"/>
  <c r="AI58" i="1"/>
  <c r="AJ58" i="1"/>
  <c r="CQ58" i="1"/>
  <c r="P58" i="1" s="1"/>
  <c r="CS58" i="1"/>
  <c r="R58" i="1" s="1"/>
  <c r="CT58" i="1"/>
  <c r="CU58" i="1"/>
  <c r="CW58" i="1"/>
  <c r="V58" i="1" s="1"/>
  <c r="CX58" i="1"/>
  <c r="W58" i="1" s="1"/>
  <c r="FR58" i="1"/>
  <c r="GL58" i="1"/>
  <c r="GO58" i="1"/>
  <c r="GP58" i="1"/>
  <c r="GV58" i="1"/>
  <c r="HC58" i="1"/>
  <c r="GX58" i="1" s="1"/>
  <c r="C59" i="1"/>
  <c r="D59" i="1"/>
  <c r="I59" i="1"/>
  <c r="T59" i="1"/>
  <c r="U59" i="1"/>
  <c r="AC59" i="1"/>
  <c r="CQ59" i="1" s="1"/>
  <c r="P59" i="1" s="1"/>
  <c r="AE59" i="1"/>
  <c r="CS59" i="1" s="1"/>
  <c r="R59" i="1" s="1"/>
  <c r="AF59" i="1"/>
  <c r="AG59" i="1"/>
  <c r="AH59" i="1"/>
  <c r="AI59" i="1"/>
  <c r="CW59" i="1" s="1"/>
  <c r="V59" i="1" s="1"/>
  <c r="AJ59" i="1"/>
  <c r="CT59" i="1"/>
  <c r="S59" i="1" s="1"/>
  <c r="CZ59" i="1" s="1"/>
  <c r="Y59" i="1" s="1"/>
  <c r="CU59" i="1"/>
  <c r="CV59" i="1"/>
  <c r="CX59" i="1"/>
  <c r="W59" i="1" s="1"/>
  <c r="CY59" i="1"/>
  <c r="X59" i="1" s="1"/>
  <c r="FR59" i="1"/>
  <c r="GL59" i="1"/>
  <c r="GO59" i="1"/>
  <c r="GP59" i="1"/>
  <c r="GV59" i="1"/>
  <c r="HC59" i="1" s="1"/>
  <c r="GX59" i="1" s="1"/>
  <c r="AC60" i="1"/>
  <c r="AD60" i="1"/>
  <c r="CR60" i="1" s="1"/>
  <c r="AE60" i="1"/>
  <c r="AF60" i="1"/>
  <c r="AG60" i="1"/>
  <c r="CU60" i="1" s="1"/>
  <c r="AH60" i="1"/>
  <c r="CV60" i="1" s="1"/>
  <c r="AI60" i="1"/>
  <c r="AJ60" i="1"/>
  <c r="CX60" i="1" s="1"/>
  <c r="CS60" i="1"/>
  <c r="CT60" i="1"/>
  <c r="CW60" i="1"/>
  <c r="FR60" i="1"/>
  <c r="GL60" i="1"/>
  <c r="GO60" i="1"/>
  <c r="GP60" i="1"/>
  <c r="GV60" i="1"/>
  <c r="HC60" i="1" s="1"/>
  <c r="I61" i="1"/>
  <c r="U61" i="1"/>
  <c r="AB61" i="1"/>
  <c r="AC61" i="1"/>
  <c r="CQ61" i="1" s="1"/>
  <c r="P61" i="1" s="1"/>
  <c r="AE61" i="1"/>
  <c r="AD61" i="1" s="1"/>
  <c r="AF61" i="1"/>
  <c r="AG61" i="1"/>
  <c r="CU61" i="1" s="1"/>
  <c r="T61" i="1" s="1"/>
  <c r="AH61" i="1"/>
  <c r="AI61" i="1"/>
  <c r="AJ61" i="1"/>
  <c r="CX61" i="1" s="1"/>
  <c r="W61" i="1" s="1"/>
  <c r="CR61" i="1"/>
  <c r="Q61" i="1" s="1"/>
  <c r="CS61" i="1"/>
  <c r="R61" i="1" s="1"/>
  <c r="CT61" i="1"/>
  <c r="S61" i="1" s="1"/>
  <c r="CP61" i="1" s="1"/>
  <c r="O61" i="1" s="1"/>
  <c r="CV61" i="1"/>
  <c r="CW61" i="1"/>
  <c r="V61" i="1" s="1"/>
  <c r="FR61" i="1"/>
  <c r="GL61" i="1"/>
  <c r="GO61" i="1"/>
  <c r="GP61" i="1"/>
  <c r="GV61" i="1"/>
  <c r="HC61" i="1"/>
  <c r="GX61" i="1" s="1"/>
  <c r="I62" i="1"/>
  <c r="P62" i="1" s="1"/>
  <c r="AC62" i="1"/>
  <c r="AE62" i="1"/>
  <c r="AD62" i="1" s="1"/>
  <c r="AF62" i="1"/>
  <c r="CT62" i="1" s="1"/>
  <c r="AG62" i="1"/>
  <c r="AH62" i="1"/>
  <c r="CV62" i="1" s="1"/>
  <c r="U62" i="1" s="1"/>
  <c r="AI62" i="1"/>
  <c r="CW62" i="1" s="1"/>
  <c r="V62" i="1" s="1"/>
  <c r="AJ62" i="1"/>
  <c r="CX62" i="1" s="1"/>
  <c r="CQ62" i="1"/>
  <c r="CS62" i="1"/>
  <c r="R62" i="1" s="1"/>
  <c r="CU62" i="1"/>
  <c r="FR62" i="1"/>
  <c r="GL62" i="1"/>
  <c r="GO62" i="1"/>
  <c r="GP62" i="1"/>
  <c r="GV62" i="1"/>
  <c r="HC62" i="1" s="1"/>
  <c r="GX62" i="1" s="1"/>
  <c r="I63" i="1"/>
  <c r="T63" i="1"/>
  <c r="U63" i="1"/>
  <c r="AC63" i="1"/>
  <c r="CQ63" i="1" s="1"/>
  <c r="P63" i="1" s="1"/>
  <c r="AE63" i="1"/>
  <c r="CS63" i="1" s="1"/>
  <c r="R63" i="1" s="1"/>
  <c r="AF63" i="1"/>
  <c r="AG63" i="1"/>
  <c r="AH63" i="1"/>
  <c r="AI63" i="1"/>
  <c r="CW63" i="1" s="1"/>
  <c r="V63" i="1" s="1"/>
  <c r="AJ63" i="1"/>
  <c r="CT63" i="1"/>
  <c r="S63" i="1" s="1"/>
  <c r="CZ63" i="1" s="1"/>
  <c r="Y63" i="1" s="1"/>
  <c r="CU63" i="1"/>
  <c r="CV63" i="1"/>
  <c r="CX63" i="1"/>
  <c r="W63" i="1" s="1"/>
  <c r="CY63" i="1"/>
  <c r="X63" i="1" s="1"/>
  <c r="FR63" i="1"/>
  <c r="GL63" i="1"/>
  <c r="GO63" i="1"/>
  <c r="GP63" i="1"/>
  <c r="GV63" i="1"/>
  <c r="HC63" i="1" s="1"/>
  <c r="GX63" i="1" s="1"/>
  <c r="AC64" i="1"/>
  <c r="AD64" i="1"/>
  <c r="CR64" i="1" s="1"/>
  <c r="AE64" i="1"/>
  <c r="AF64" i="1"/>
  <c r="AG64" i="1"/>
  <c r="AH64" i="1"/>
  <c r="CV64" i="1" s="1"/>
  <c r="AI64" i="1"/>
  <c r="AJ64" i="1"/>
  <c r="CX64" i="1" s="1"/>
  <c r="CS64" i="1"/>
  <c r="CT64" i="1"/>
  <c r="CU64" i="1"/>
  <c r="CW64" i="1"/>
  <c r="FR64" i="1"/>
  <c r="GL64" i="1"/>
  <c r="GO64" i="1"/>
  <c r="GP64" i="1"/>
  <c r="GV64" i="1"/>
  <c r="HC64" i="1" s="1"/>
  <c r="I65" i="1"/>
  <c r="AB65" i="1"/>
  <c r="AC65" i="1"/>
  <c r="CQ65" i="1" s="1"/>
  <c r="P65" i="1" s="1"/>
  <c r="AE65" i="1"/>
  <c r="AD65" i="1" s="1"/>
  <c r="AF65" i="1"/>
  <c r="AG65" i="1"/>
  <c r="CU65" i="1" s="1"/>
  <c r="T65" i="1" s="1"/>
  <c r="AH65" i="1"/>
  <c r="AI65" i="1"/>
  <c r="AJ65" i="1"/>
  <c r="CX65" i="1" s="1"/>
  <c r="W65" i="1" s="1"/>
  <c r="CR65" i="1"/>
  <c r="Q65" i="1" s="1"/>
  <c r="CP65" i="1" s="1"/>
  <c r="O65" i="1" s="1"/>
  <c r="CS65" i="1"/>
  <c r="R65" i="1" s="1"/>
  <c r="CT65" i="1"/>
  <c r="S65" i="1" s="1"/>
  <c r="CV65" i="1"/>
  <c r="U65" i="1" s="1"/>
  <c r="CW65" i="1"/>
  <c r="V65" i="1" s="1"/>
  <c r="FR65" i="1"/>
  <c r="GL65" i="1"/>
  <c r="GO65" i="1"/>
  <c r="GP65" i="1"/>
  <c r="GV65" i="1"/>
  <c r="HC65" i="1"/>
  <c r="GX65" i="1" s="1"/>
  <c r="I66" i="1"/>
  <c r="P66" i="1" s="1"/>
  <c r="T66" i="1"/>
  <c r="AC66" i="1"/>
  <c r="AE66" i="1"/>
  <c r="AD66" i="1" s="1"/>
  <c r="AF66" i="1"/>
  <c r="CT66" i="1" s="1"/>
  <c r="S66" i="1" s="1"/>
  <c r="AG66" i="1"/>
  <c r="AH66" i="1"/>
  <c r="CV66" i="1" s="1"/>
  <c r="AI66" i="1"/>
  <c r="CW66" i="1" s="1"/>
  <c r="V66" i="1" s="1"/>
  <c r="AJ66" i="1"/>
  <c r="CX66" i="1" s="1"/>
  <c r="W66" i="1" s="1"/>
  <c r="CQ66" i="1"/>
  <c r="CU66" i="1"/>
  <c r="FR66" i="1"/>
  <c r="GL66" i="1"/>
  <c r="GO66" i="1"/>
  <c r="GP66" i="1"/>
  <c r="GV66" i="1"/>
  <c r="HC66" i="1" s="1"/>
  <c r="GX66" i="1" s="1"/>
  <c r="I67" i="1"/>
  <c r="U67" i="1"/>
  <c r="AC67" i="1"/>
  <c r="AE67" i="1"/>
  <c r="CS67" i="1" s="1"/>
  <c r="R67" i="1" s="1"/>
  <c r="AF67" i="1"/>
  <c r="AG67" i="1"/>
  <c r="CU67" i="1" s="1"/>
  <c r="T67" i="1" s="1"/>
  <c r="AH67" i="1"/>
  <c r="AI67" i="1"/>
  <c r="CW67" i="1" s="1"/>
  <c r="V67" i="1" s="1"/>
  <c r="AJ67" i="1"/>
  <c r="CT67" i="1"/>
  <c r="S67" i="1" s="1"/>
  <c r="CZ67" i="1" s="1"/>
  <c r="Y67" i="1" s="1"/>
  <c r="CV67" i="1"/>
  <c r="CX67" i="1"/>
  <c r="W67" i="1" s="1"/>
  <c r="CY67" i="1"/>
  <c r="X67" i="1" s="1"/>
  <c r="FR67" i="1"/>
  <c r="GL67" i="1"/>
  <c r="GO67" i="1"/>
  <c r="GP67" i="1"/>
  <c r="GV67" i="1"/>
  <c r="HC67" i="1" s="1"/>
  <c r="GX67" i="1" s="1"/>
  <c r="AC68" i="1"/>
  <c r="AD68" i="1"/>
  <c r="CR68" i="1" s="1"/>
  <c r="AE68" i="1"/>
  <c r="AF68" i="1"/>
  <c r="AG68" i="1"/>
  <c r="AH68" i="1"/>
  <c r="CV68" i="1" s="1"/>
  <c r="AI68" i="1"/>
  <c r="AJ68" i="1"/>
  <c r="CX68" i="1" s="1"/>
  <c r="CQ68" i="1"/>
  <c r="CS68" i="1"/>
  <c r="CT68" i="1"/>
  <c r="CU68" i="1"/>
  <c r="CW68" i="1"/>
  <c r="FR68" i="1"/>
  <c r="GL68" i="1"/>
  <c r="GO68" i="1"/>
  <c r="GP68" i="1"/>
  <c r="GV68" i="1"/>
  <c r="HC68" i="1" s="1"/>
  <c r="I69" i="1"/>
  <c r="U69" i="1"/>
  <c r="AC69" i="1"/>
  <c r="CQ69" i="1" s="1"/>
  <c r="P69" i="1" s="1"/>
  <c r="AE69" i="1"/>
  <c r="AD69" i="1" s="1"/>
  <c r="AF69" i="1"/>
  <c r="AG69" i="1"/>
  <c r="CU69" i="1" s="1"/>
  <c r="T69" i="1" s="1"/>
  <c r="AH69" i="1"/>
  <c r="AI69" i="1"/>
  <c r="AJ69" i="1"/>
  <c r="CX69" i="1" s="1"/>
  <c r="W69" i="1" s="1"/>
  <c r="CR69" i="1"/>
  <c r="Q69" i="1" s="1"/>
  <c r="CS69" i="1"/>
  <c r="R69" i="1" s="1"/>
  <c r="CT69" i="1"/>
  <c r="S69" i="1" s="1"/>
  <c r="CV69" i="1"/>
  <c r="CW69" i="1"/>
  <c r="V69" i="1" s="1"/>
  <c r="FR69" i="1"/>
  <c r="GL69" i="1"/>
  <c r="GO69" i="1"/>
  <c r="GP69" i="1"/>
  <c r="GV69" i="1"/>
  <c r="HC69" i="1"/>
  <c r="GX69" i="1" s="1"/>
  <c r="I70" i="1"/>
  <c r="P70" i="1"/>
  <c r="CP70" i="1" s="1"/>
  <c r="O70" i="1" s="1"/>
  <c r="T70" i="1"/>
  <c r="AB70" i="1"/>
  <c r="AC70" i="1"/>
  <c r="AE70" i="1"/>
  <c r="AD70" i="1" s="1"/>
  <c r="CR70" i="1" s="1"/>
  <c r="Q70" i="1" s="1"/>
  <c r="AF70" i="1"/>
  <c r="CT70" i="1" s="1"/>
  <c r="S70" i="1" s="1"/>
  <c r="AG70" i="1"/>
  <c r="AH70" i="1"/>
  <c r="CV70" i="1" s="1"/>
  <c r="U70" i="1" s="1"/>
  <c r="AI70" i="1"/>
  <c r="CW70" i="1" s="1"/>
  <c r="V70" i="1" s="1"/>
  <c r="AJ70" i="1"/>
  <c r="CX70" i="1" s="1"/>
  <c r="W70" i="1" s="1"/>
  <c r="CQ70" i="1"/>
  <c r="CS70" i="1"/>
  <c r="R70" i="1" s="1"/>
  <c r="CZ70" i="1" s="1"/>
  <c r="Y70" i="1" s="1"/>
  <c r="CU70" i="1"/>
  <c r="FR70" i="1"/>
  <c r="GL70" i="1"/>
  <c r="GO70" i="1"/>
  <c r="GP70" i="1"/>
  <c r="GV70" i="1"/>
  <c r="HC70" i="1" s="1"/>
  <c r="GX70" i="1"/>
  <c r="I71" i="1"/>
  <c r="T71" i="1"/>
  <c r="AC71" i="1"/>
  <c r="AD71" i="1"/>
  <c r="AE71" i="1"/>
  <c r="CS71" i="1" s="1"/>
  <c r="R71" i="1" s="1"/>
  <c r="AF71" i="1"/>
  <c r="AG71" i="1"/>
  <c r="AH71" i="1"/>
  <c r="CV71" i="1" s="1"/>
  <c r="U71" i="1" s="1"/>
  <c r="AI71" i="1"/>
  <c r="CW71" i="1" s="1"/>
  <c r="V71" i="1" s="1"/>
  <c r="AJ71" i="1"/>
  <c r="CQ71" i="1"/>
  <c r="P71" i="1" s="1"/>
  <c r="CP71" i="1" s="1"/>
  <c r="O71" i="1" s="1"/>
  <c r="CR71" i="1"/>
  <c r="Q71" i="1" s="1"/>
  <c r="CT71" i="1"/>
  <c r="S71" i="1" s="1"/>
  <c r="CZ71" i="1" s="1"/>
  <c r="Y71" i="1" s="1"/>
  <c r="CU71" i="1"/>
  <c r="CX71" i="1"/>
  <c r="W71" i="1" s="1"/>
  <c r="CY71" i="1"/>
  <c r="X71" i="1" s="1"/>
  <c r="FR71" i="1"/>
  <c r="GL71" i="1"/>
  <c r="GO71" i="1"/>
  <c r="GP71" i="1"/>
  <c r="GV71" i="1"/>
  <c r="HC71" i="1" s="1"/>
  <c r="GX71" i="1" s="1"/>
  <c r="C72" i="1"/>
  <c r="D72" i="1"/>
  <c r="I72" i="1"/>
  <c r="I74" i="1" s="1"/>
  <c r="R72" i="1"/>
  <c r="U72" i="1"/>
  <c r="AB72" i="1"/>
  <c r="AC72" i="1"/>
  <c r="AE72" i="1"/>
  <c r="AD72" i="1" s="1"/>
  <c r="AF72" i="1"/>
  <c r="CT72" i="1" s="1"/>
  <c r="AG72" i="1"/>
  <c r="AH72" i="1"/>
  <c r="AI72" i="1"/>
  <c r="AJ72" i="1"/>
  <c r="CX72" i="1" s="1"/>
  <c r="CQ72" i="1"/>
  <c r="P72" i="1" s="1"/>
  <c r="CR72" i="1"/>
  <c r="Q72" i="1" s="1"/>
  <c r="CS72" i="1"/>
  <c r="CU72" i="1"/>
  <c r="CV72" i="1"/>
  <c r="CW72" i="1"/>
  <c r="V72" i="1" s="1"/>
  <c r="FR72" i="1"/>
  <c r="GL72" i="1"/>
  <c r="GO72" i="1"/>
  <c r="GP72" i="1"/>
  <c r="GV72" i="1"/>
  <c r="GX72" i="1"/>
  <c r="HC72" i="1"/>
  <c r="C73" i="1"/>
  <c r="D73" i="1"/>
  <c r="I73" i="1"/>
  <c r="I77" i="1" s="1"/>
  <c r="S77" i="1" s="1"/>
  <c r="V73" i="1"/>
  <c r="AC73" i="1"/>
  <c r="CQ73" i="1" s="1"/>
  <c r="AE73" i="1"/>
  <c r="AD73" i="1" s="1"/>
  <c r="CR73" i="1" s="1"/>
  <c r="Q73" i="1" s="1"/>
  <c r="AF73" i="1"/>
  <c r="AG73" i="1"/>
  <c r="CU73" i="1" s="1"/>
  <c r="AH73" i="1"/>
  <c r="AI73" i="1"/>
  <c r="AJ73" i="1"/>
  <c r="CS73" i="1"/>
  <c r="R73" i="1" s="1"/>
  <c r="CT73" i="1"/>
  <c r="S73" i="1" s="1"/>
  <c r="CV73" i="1"/>
  <c r="CW73" i="1"/>
  <c r="CX73" i="1"/>
  <c r="W73" i="1" s="1"/>
  <c r="FR73" i="1"/>
  <c r="GL73" i="1"/>
  <c r="GO73" i="1"/>
  <c r="GP73" i="1"/>
  <c r="GV73" i="1"/>
  <c r="HC73" i="1"/>
  <c r="AB74" i="1"/>
  <c r="AC74" i="1"/>
  <c r="AE74" i="1"/>
  <c r="AD74" i="1" s="1"/>
  <c r="AF74" i="1"/>
  <c r="CT74" i="1" s="1"/>
  <c r="AG74" i="1"/>
  <c r="AH74" i="1"/>
  <c r="AI74" i="1"/>
  <c r="AJ74" i="1"/>
  <c r="CX74" i="1" s="1"/>
  <c r="CQ74" i="1"/>
  <c r="CR74" i="1"/>
  <c r="CS74" i="1"/>
  <c r="CU74" i="1"/>
  <c r="CV74" i="1"/>
  <c r="U74" i="1" s="1"/>
  <c r="CW74" i="1"/>
  <c r="V74" i="1" s="1"/>
  <c r="FR74" i="1"/>
  <c r="GL74" i="1"/>
  <c r="GO74" i="1"/>
  <c r="GP74" i="1"/>
  <c r="GV74" i="1"/>
  <c r="HC74" i="1"/>
  <c r="AC75" i="1"/>
  <c r="AE75" i="1"/>
  <c r="CS75" i="1" s="1"/>
  <c r="AF75" i="1"/>
  <c r="AG75" i="1"/>
  <c r="AH75" i="1"/>
  <c r="AI75" i="1"/>
  <c r="CW75" i="1" s="1"/>
  <c r="AJ75" i="1"/>
  <c r="CQ75" i="1"/>
  <c r="CT75" i="1"/>
  <c r="CU75" i="1"/>
  <c r="CV75" i="1"/>
  <c r="CX75" i="1"/>
  <c r="FR75" i="1"/>
  <c r="GL75" i="1"/>
  <c r="GO75" i="1"/>
  <c r="GP75" i="1"/>
  <c r="GV75" i="1"/>
  <c r="HC75" i="1" s="1"/>
  <c r="AC76" i="1"/>
  <c r="AD76" i="1"/>
  <c r="CR76" i="1" s="1"/>
  <c r="AE76" i="1"/>
  <c r="AF76" i="1"/>
  <c r="AG76" i="1"/>
  <c r="AH76" i="1"/>
  <c r="CV76" i="1" s="1"/>
  <c r="AI76" i="1"/>
  <c r="AJ76" i="1"/>
  <c r="CQ76" i="1"/>
  <c r="CS76" i="1"/>
  <c r="CT76" i="1"/>
  <c r="CU76" i="1"/>
  <c r="CW76" i="1"/>
  <c r="CX76" i="1"/>
  <c r="FR76" i="1"/>
  <c r="GL76" i="1"/>
  <c r="GO76" i="1"/>
  <c r="GP76" i="1"/>
  <c r="GV76" i="1"/>
  <c r="HC76" i="1" s="1"/>
  <c r="AC77" i="1"/>
  <c r="CQ77" i="1" s="1"/>
  <c r="AE77" i="1"/>
  <c r="AD77" i="1" s="1"/>
  <c r="CR77" i="1" s="1"/>
  <c r="AF77" i="1"/>
  <c r="AG77" i="1"/>
  <c r="CU77" i="1" s="1"/>
  <c r="AH77" i="1"/>
  <c r="AI77" i="1"/>
  <c r="AJ77" i="1"/>
  <c r="CS77" i="1"/>
  <c r="CT77" i="1"/>
  <c r="CV77" i="1"/>
  <c r="CW77" i="1"/>
  <c r="CX77" i="1"/>
  <c r="FR77" i="1"/>
  <c r="GL77" i="1"/>
  <c r="GO77" i="1"/>
  <c r="GP77" i="1"/>
  <c r="GV77" i="1"/>
  <c r="HC77" i="1"/>
  <c r="C78" i="1"/>
  <c r="D78" i="1"/>
  <c r="T78" i="1"/>
  <c r="AC78" i="1"/>
  <c r="AD78" i="1"/>
  <c r="AE78" i="1"/>
  <c r="CS78" i="1" s="1"/>
  <c r="R78" i="1" s="1"/>
  <c r="AF78" i="1"/>
  <c r="AG78" i="1"/>
  <c r="AH78" i="1"/>
  <c r="CV78" i="1" s="1"/>
  <c r="U78" i="1" s="1"/>
  <c r="AI78" i="1"/>
  <c r="CW78" i="1" s="1"/>
  <c r="V78" i="1" s="1"/>
  <c r="AJ78" i="1"/>
  <c r="CQ78" i="1"/>
  <c r="P78" i="1" s="1"/>
  <c r="CP78" i="1" s="1"/>
  <c r="O78" i="1" s="1"/>
  <c r="CR78" i="1"/>
  <c r="Q78" i="1" s="1"/>
  <c r="CT78" i="1"/>
  <c r="S78" i="1" s="1"/>
  <c r="CZ78" i="1" s="1"/>
  <c r="Y78" i="1" s="1"/>
  <c r="CU78" i="1"/>
  <c r="CX78" i="1"/>
  <c r="W78" i="1" s="1"/>
  <c r="CY78" i="1"/>
  <c r="X78" i="1" s="1"/>
  <c r="FR78" i="1"/>
  <c r="GL78" i="1"/>
  <c r="GO78" i="1"/>
  <c r="GP78" i="1"/>
  <c r="GV78" i="1"/>
  <c r="HC78" i="1" s="1"/>
  <c r="GX78" i="1" s="1"/>
  <c r="C79" i="1"/>
  <c r="D79" i="1"/>
  <c r="V79" i="1"/>
  <c r="AC79" i="1"/>
  <c r="CQ79" i="1" s="1"/>
  <c r="P79" i="1" s="1"/>
  <c r="AE79" i="1"/>
  <c r="AD79" i="1" s="1"/>
  <c r="CR79" i="1" s="1"/>
  <c r="Q79" i="1" s="1"/>
  <c r="AF79" i="1"/>
  <c r="AG79" i="1"/>
  <c r="CU79" i="1" s="1"/>
  <c r="T79" i="1" s="1"/>
  <c r="AH79" i="1"/>
  <c r="AI79" i="1"/>
  <c r="AJ79" i="1"/>
  <c r="CS79" i="1"/>
  <c r="R79" i="1" s="1"/>
  <c r="CT79" i="1"/>
  <c r="S79" i="1" s="1"/>
  <c r="CV79" i="1"/>
  <c r="U79" i="1" s="1"/>
  <c r="CW79" i="1"/>
  <c r="CX79" i="1"/>
  <c r="W79" i="1" s="1"/>
  <c r="FR79" i="1"/>
  <c r="GL79" i="1"/>
  <c r="GO79" i="1"/>
  <c r="GP79" i="1"/>
  <c r="GV79" i="1"/>
  <c r="HC79" i="1"/>
  <c r="GX79" i="1" s="1"/>
  <c r="C80" i="1"/>
  <c r="D80" i="1"/>
  <c r="P80" i="1"/>
  <c r="AC80" i="1"/>
  <c r="AE80" i="1"/>
  <c r="CS80" i="1" s="1"/>
  <c r="R80" i="1" s="1"/>
  <c r="AF80" i="1"/>
  <c r="AG80" i="1"/>
  <c r="AH80" i="1"/>
  <c r="CV80" i="1" s="1"/>
  <c r="U80" i="1" s="1"/>
  <c r="AI80" i="1"/>
  <c r="CW80" i="1" s="1"/>
  <c r="V80" i="1" s="1"/>
  <c r="AJ80" i="1"/>
  <c r="CQ80" i="1"/>
  <c r="CT80" i="1"/>
  <c r="S80" i="1" s="1"/>
  <c r="CZ80" i="1" s="1"/>
  <c r="Y80" i="1" s="1"/>
  <c r="CU80" i="1"/>
  <c r="T80" i="1" s="1"/>
  <c r="CX80" i="1"/>
  <c r="W80" i="1" s="1"/>
  <c r="CY80" i="1"/>
  <c r="X80" i="1" s="1"/>
  <c r="FR80" i="1"/>
  <c r="GL80" i="1"/>
  <c r="GO80" i="1"/>
  <c r="GP80" i="1"/>
  <c r="GV80" i="1"/>
  <c r="HC80" i="1" s="1"/>
  <c r="GX80" i="1" s="1"/>
  <c r="C81" i="1"/>
  <c r="D81" i="1"/>
  <c r="R81" i="1"/>
  <c r="V81" i="1"/>
  <c r="AC81" i="1"/>
  <c r="CQ81" i="1" s="1"/>
  <c r="P81" i="1" s="1"/>
  <c r="AE81" i="1"/>
  <c r="AD81" i="1" s="1"/>
  <c r="CR81" i="1" s="1"/>
  <c r="Q81" i="1" s="1"/>
  <c r="AF81" i="1"/>
  <c r="CT81" i="1" s="1"/>
  <c r="S81" i="1" s="1"/>
  <c r="AG81" i="1"/>
  <c r="CU81" i="1" s="1"/>
  <c r="T81" i="1" s="1"/>
  <c r="AH81" i="1"/>
  <c r="AI81" i="1"/>
  <c r="AJ81" i="1"/>
  <c r="CX81" i="1" s="1"/>
  <c r="W81" i="1" s="1"/>
  <c r="CS81" i="1"/>
  <c r="CV81" i="1"/>
  <c r="U81" i="1" s="1"/>
  <c r="CW81" i="1"/>
  <c r="FR81" i="1"/>
  <c r="GL81" i="1"/>
  <c r="GO81" i="1"/>
  <c r="GP81" i="1"/>
  <c r="GV81" i="1"/>
  <c r="HC81" i="1"/>
  <c r="GX81" i="1" s="1"/>
  <c r="I82" i="1"/>
  <c r="R82" i="1"/>
  <c r="U82" i="1"/>
  <c r="AB82" i="1"/>
  <c r="AC82" i="1"/>
  <c r="AE82" i="1"/>
  <c r="AD82" i="1" s="1"/>
  <c r="AF82" i="1"/>
  <c r="CT82" i="1" s="1"/>
  <c r="AG82" i="1"/>
  <c r="AH82" i="1"/>
  <c r="AI82" i="1"/>
  <c r="AJ82" i="1"/>
  <c r="CX82" i="1" s="1"/>
  <c r="CQ82" i="1"/>
  <c r="P82" i="1" s="1"/>
  <c r="CR82" i="1"/>
  <c r="Q82" i="1" s="1"/>
  <c r="CS82" i="1"/>
  <c r="CU82" i="1"/>
  <c r="CV82" i="1"/>
  <c r="CW82" i="1"/>
  <c r="V82" i="1" s="1"/>
  <c r="FR82" i="1"/>
  <c r="GL82" i="1"/>
  <c r="GO82" i="1"/>
  <c r="GP82" i="1"/>
  <c r="GV82" i="1"/>
  <c r="GX82" i="1"/>
  <c r="HC82" i="1"/>
  <c r="I83" i="1"/>
  <c r="P83" i="1"/>
  <c r="AC83" i="1"/>
  <c r="AE83" i="1"/>
  <c r="CS83" i="1" s="1"/>
  <c r="R83" i="1" s="1"/>
  <c r="AF83" i="1"/>
  <c r="AG83" i="1"/>
  <c r="AH83" i="1"/>
  <c r="AI83" i="1"/>
  <c r="CW83" i="1" s="1"/>
  <c r="V83" i="1" s="1"/>
  <c r="AJ83" i="1"/>
  <c r="CQ83" i="1"/>
  <c r="CT83" i="1"/>
  <c r="S83" i="1" s="1"/>
  <c r="CU83" i="1"/>
  <c r="T83" i="1" s="1"/>
  <c r="CV83" i="1"/>
  <c r="U83" i="1" s="1"/>
  <c r="CX83" i="1"/>
  <c r="W83" i="1" s="1"/>
  <c r="CY83" i="1"/>
  <c r="X83" i="1" s="1"/>
  <c r="CZ83" i="1"/>
  <c r="Y83" i="1" s="1"/>
  <c r="FR83" i="1"/>
  <c r="GL83" i="1"/>
  <c r="GO83" i="1"/>
  <c r="GP83" i="1"/>
  <c r="GV83" i="1"/>
  <c r="HC83" i="1" s="1"/>
  <c r="GX83" i="1"/>
  <c r="I84" i="1"/>
  <c r="R84" i="1"/>
  <c r="S84" i="1"/>
  <c r="CY84" i="1" s="1"/>
  <c r="X84" i="1" s="1"/>
  <c r="W84" i="1"/>
  <c r="AC84" i="1"/>
  <c r="AB84" i="1" s="1"/>
  <c r="AD84" i="1"/>
  <c r="CR84" i="1" s="1"/>
  <c r="Q84" i="1" s="1"/>
  <c r="AE84" i="1"/>
  <c r="AF84" i="1"/>
  <c r="AG84" i="1"/>
  <c r="AH84" i="1"/>
  <c r="CV84" i="1" s="1"/>
  <c r="U84" i="1" s="1"/>
  <c r="AI84" i="1"/>
  <c r="AJ84" i="1"/>
  <c r="CQ84" i="1"/>
  <c r="P84" i="1" s="1"/>
  <c r="CP84" i="1" s="1"/>
  <c r="O84" i="1" s="1"/>
  <c r="CS84" i="1"/>
  <c r="CT84" i="1"/>
  <c r="CU84" i="1"/>
  <c r="T84" i="1" s="1"/>
  <c r="CW84" i="1"/>
  <c r="V84" i="1" s="1"/>
  <c r="CX84" i="1"/>
  <c r="FR84" i="1"/>
  <c r="GL84" i="1"/>
  <c r="BZ93" i="1" s="1"/>
  <c r="GO84" i="1"/>
  <c r="GP84" i="1"/>
  <c r="CD93" i="1" s="1"/>
  <c r="GV84" i="1"/>
  <c r="HC84" i="1" s="1"/>
  <c r="GX84" i="1" s="1"/>
  <c r="I85" i="1"/>
  <c r="AC85" i="1"/>
  <c r="CQ85" i="1" s="1"/>
  <c r="P85" i="1" s="1"/>
  <c r="AE85" i="1"/>
  <c r="AD85" i="1" s="1"/>
  <c r="AF85" i="1"/>
  <c r="AG85" i="1"/>
  <c r="CU85" i="1" s="1"/>
  <c r="T85" i="1" s="1"/>
  <c r="AH85" i="1"/>
  <c r="AI85" i="1"/>
  <c r="AJ85" i="1"/>
  <c r="CR85" i="1"/>
  <c r="Q85" i="1" s="1"/>
  <c r="CS85" i="1"/>
  <c r="R85" i="1" s="1"/>
  <c r="CT85" i="1"/>
  <c r="S85" i="1" s="1"/>
  <c r="CV85" i="1"/>
  <c r="U85" i="1" s="1"/>
  <c r="CW85" i="1"/>
  <c r="V85" i="1" s="1"/>
  <c r="CX85" i="1"/>
  <c r="W85" i="1" s="1"/>
  <c r="FR85" i="1"/>
  <c r="GL85" i="1"/>
  <c r="GO85" i="1"/>
  <c r="GP85" i="1"/>
  <c r="GV85" i="1"/>
  <c r="GX85" i="1"/>
  <c r="HC85" i="1"/>
  <c r="C86" i="1"/>
  <c r="D86" i="1"/>
  <c r="S86" i="1"/>
  <c r="CY86" i="1" s="1"/>
  <c r="X86" i="1" s="1"/>
  <c r="T86" i="1"/>
  <c r="AC86" i="1"/>
  <c r="AE86" i="1"/>
  <c r="CS86" i="1" s="1"/>
  <c r="R86" i="1" s="1"/>
  <c r="AF86" i="1"/>
  <c r="AG86" i="1"/>
  <c r="AH86" i="1"/>
  <c r="AI86" i="1"/>
  <c r="CW86" i="1" s="1"/>
  <c r="V86" i="1" s="1"/>
  <c r="AJ86" i="1"/>
  <c r="CQ86" i="1"/>
  <c r="P86" i="1" s="1"/>
  <c r="CT86" i="1"/>
  <c r="CU86" i="1"/>
  <c r="CV86" i="1"/>
  <c r="U86" i="1" s="1"/>
  <c r="CX86" i="1"/>
  <c r="W86" i="1" s="1"/>
  <c r="FR86" i="1"/>
  <c r="GL86" i="1"/>
  <c r="GO86" i="1"/>
  <c r="GP86" i="1"/>
  <c r="GV86" i="1"/>
  <c r="HC86" i="1"/>
  <c r="GX86" i="1" s="1"/>
  <c r="C87" i="1"/>
  <c r="D87" i="1"/>
  <c r="AC87" i="1"/>
  <c r="AE87" i="1"/>
  <c r="AD87" i="1" s="1"/>
  <c r="AF87" i="1"/>
  <c r="CT87" i="1" s="1"/>
  <c r="S87" i="1" s="1"/>
  <c r="AG87" i="1"/>
  <c r="AH87" i="1"/>
  <c r="AI87" i="1"/>
  <c r="CW87" i="1" s="1"/>
  <c r="V87" i="1" s="1"/>
  <c r="AJ87" i="1"/>
  <c r="CX87" i="1" s="1"/>
  <c r="W87" i="1" s="1"/>
  <c r="CQ87" i="1"/>
  <c r="P87" i="1" s="1"/>
  <c r="CU87" i="1"/>
  <c r="T87" i="1" s="1"/>
  <c r="CV87" i="1"/>
  <c r="U87" i="1" s="1"/>
  <c r="FR87" i="1"/>
  <c r="GL87" i="1"/>
  <c r="GO87" i="1"/>
  <c r="GP87" i="1"/>
  <c r="GV87" i="1"/>
  <c r="HC87" i="1" s="1"/>
  <c r="GX87" i="1" s="1"/>
  <c r="O88" i="1"/>
  <c r="P88" i="1"/>
  <c r="Q88" i="1"/>
  <c r="R88" i="1"/>
  <c r="S88" i="1"/>
  <c r="T88" i="1"/>
  <c r="U88" i="1"/>
  <c r="V88" i="1"/>
  <c r="W88" i="1"/>
  <c r="X88" i="1"/>
  <c r="Y88" i="1"/>
  <c r="AB88" i="1"/>
  <c r="CP88" i="1" s="1"/>
  <c r="AC88" i="1"/>
  <c r="AD88" i="1"/>
  <c r="AE88" i="1"/>
  <c r="AF88" i="1"/>
  <c r="AG88" i="1"/>
  <c r="AH88" i="1"/>
  <c r="AI88" i="1"/>
  <c r="AJ88" i="1"/>
  <c r="FR88" i="1"/>
  <c r="GL88" i="1"/>
  <c r="GO88" i="1"/>
  <c r="GP88" i="1"/>
  <c r="GV88" i="1"/>
  <c r="GX88" i="1"/>
  <c r="O89" i="1"/>
  <c r="P89" i="1"/>
  <c r="Q89" i="1"/>
  <c r="R89" i="1"/>
  <c r="S89" i="1"/>
  <c r="T89" i="1"/>
  <c r="U89" i="1"/>
  <c r="V89" i="1"/>
  <c r="W89" i="1"/>
  <c r="X89" i="1"/>
  <c r="Y89" i="1"/>
  <c r="AB89" i="1"/>
  <c r="AC89" i="1"/>
  <c r="AD89" i="1"/>
  <c r="AE89" i="1"/>
  <c r="AF89" i="1"/>
  <c r="AG89" i="1"/>
  <c r="AH89" i="1"/>
  <c r="AI89" i="1"/>
  <c r="AJ89" i="1"/>
  <c r="CP89" i="1"/>
  <c r="GM89" i="1" s="1"/>
  <c r="FR89" i="1"/>
  <c r="GL89" i="1"/>
  <c r="GN89" i="1"/>
  <c r="GO89" i="1"/>
  <c r="GP89" i="1"/>
  <c r="GV89" i="1"/>
  <c r="GX89" i="1"/>
  <c r="O90" i="1"/>
  <c r="P90" i="1"/>
  <c r="Q90" i="1"/>
  <c r="R90" i="1"/>
  <c r="S90" i="1"/>
  <c r="T90" i="1"/>
  <c r="U90" i="1"/>
  <c r="V90" i="1"/>
  <c r="W90" i="1"/>
  <c r="X90" i="1"/>
  <c r="Y90" i="1"/>
  <c r="AB90" i="1"/>
  <c r="AC90" i="1"/>
  <c r="AD90" i="1"/>
  <c r="AE90" i="1"/>
  <c r="AF90" i="1"/>
  <c r="AG90" i="1"/>
  <c r="AH90" i="1"/>
  <c r="AI90" i="1"/>
  <c r="AJ90" i="1"/>
  <c r="CP90" i="1"/>
  <c r="GM90" i="1" s="1"/>
  <c r="FR90" i="1"/>
  <c r="GL90" i="1"/>
  <c r="GN90" i="1"/>
  <c r="GO90" i="1"/>
  <c r="GP90" i="1"/>
  <c r="GV90" i="1"/>
  <c r="GX90" i="1"/>
  <c r="O91" i="1"/>
  <c r="P91" i="1"/>
  <c r="Q91" i="1"/>
  <c r="R91" i="1"/>
  <c r="S91" i="1"/>
  <c r="T91" i="1"/>
  <c r="U91" i="1"/>
  <c r="V91" i="1"/>
  <c r="W91" i="1"/>
  <c r="X91" i="1"/>
  <c r="Y91" i="1"/>
  <c r="AB91" i="1"/>
  <c r="CP91" i="1" s="1"/>
  <c r="AC91" i="1"/>
  <c r="AD91" i="1"/>
  <c r="AE91" i="1"/>
  <c r="AF91" i="1"/>
  <c r="AG91" i="1"/>
  <c r="AH91" i="1"/>
  <c r="AI91" i="1"/>
  <c r="AJ91" i="1"/>
  <c r="FR91" i="1"/>
  <c r="GL91" i="1"/>
  <c r="GO91" i="1"/>
  <c r="GP91" i="1"/>
  <c r="GV91" i="1"/>
  <c r="GX91" i="1"/>
  <c r="B93" i="1"/>
  <c r="B22" i="1" s="1"/>
  <c r="C93" i="1"/>
  <c r="C22" i="1" s="1"/>
  <c r="D93" i="1"/>
  <c r="D22" i="1" s="1"/>
  <c r="F93" i="1"/>
  <c r="F22" i="1" s="1"/>
  <c r="G93" i="1"/>
  <c r="G22" i="1" s="1"/>
  <c r="BC93" i="1"/>
  <c r="BC22" i="1" s="1"/>
  <c r="BX93" i="1"/>
  <c r="BX22" i="1" s="1"/>
  <c r="BY93" i="1"/>
  <c r="BY22" i="1" s="1"/>
  <c r="CC93" i="1"/>
  <c r="CC22" i="1" s="1"/>
  <c r="CK93" i="1"/>
  <c r="CK22" i="1" s="1"/>
  <c r="CL93" i="1"/>
  <c r="CL22" i="1" s="1"/>
  <c r="EI93" i="1"/>
  <c r="EI22" i="1" s="1"/>
  <c r="EM93" i="1"/>
  <c r="EM22" i="1" s="1"/>
  <c r="EU93" i="1"/>
  <c r="EU22" i="1" s="1"/>
  <c r="FP93" i="1"/>
  <c r="FP22" i="1" s="1"/>
  <c r="FQ93" i="1"/>
  <c r="FQ22" i="1" s="1"/>
  <c r="FR93" i="1"/>
  <c r="FR22" i="1" s="1"/>
  <c r="FU93" i="1"/>
  <c r="FV93" i="1"/>
  <c r="FV22" i="1" s="1"/>
  <c r="FY93" i="1"/>
  <c r="GC93" i="1"/>
  <c r="GD93" i="1"/>
  <c r="GD22" i="1" s="1"/>
  <c r="P103" i="1"/>
  <c r="F109" i="1"/>
  <c r="P109" i="1"/>
  <c r="P112" i="1"/>
  <c r="B125" i="1"/>
  <c r="B18" i="1" s="1"/>
  <c r="C125" i="1"/>
  <c r="C18" i="1" s="1"/>
  <c r="D125" i="1"/>
  <c r="D18" i="1" s="1"/>
  <c r="F125" i="1"/>
  <c r="F18" i="1" s="1"/>
  <c r="G125" i="1"/>
  <c r="BC125" i="1"/>
  <c r="BC18" i="1" s="1"/>
  <c r="EI125" i="1"/>
  <c r="EM125" i="1"/>
  <c r="EM18" i="1" s="1"/>
  <c r="EU125" i="1"/>
  <c r="W102" i="5" l="1"/>
  <c r="W169" i="5"/>
  <c r="G68" i="5"/>
  <c r="O68" i="5" s="1"/>
  <c r="J150" i="5"/>
  <c r="P150" i="5" s="1"/>
  <c r="G150" i="5"/>
  <c r="O150" i="5" s="1"/>
  <c r="G102" i="5"/>
  <c r="O102" i="5" s="1"/>
  <c r="G124" i="5"/>
  <c r="O124" i="5" s="1"/>
  <c r="J68" i="5"/>
  <c r="P68" i="5" s="1"/>
  <c r="J182" i="5" s="1"/>
  <c r="W150" i="5"/>
  <c r="G140" i="5"/>
  <c r="O140" i="5" s="1"/>
  <c r="G18" i="1"/>
  <c r="C296" i="6"/>
  <c r="AG296" i="6"/>
  <c r="W140" i="5"/>
  <c r="G22" i="5"/>
  <c r="CY85" i="1"/>
  <c r="X85" i="1" s="1"/>
  <c r="CZ85" i="1"/>
  <c r="Y85" i="1" s="1"/>
  <c r="FU22" i="1"/>
  <c r="EL93" i="1"/>
  <c r="GM91" i="1"/>
  <c r="GN91" i="1"/>
  <c r="CP85" i="1"/>
  <c r="O85" i="1" s="1"/>
  <c r="CZ81" i="1"/>
  <c r="Y81" i="1" s="1"/>
  <c r="CY81" i="1"/>
  <c r="X81" i="1" s="1"/>
  <c r="CZ79" i="1"/>
  <c r="Y79" i="1" s="1"/>
  <c r="CY79" i="1"/>
  <c r="X79" i="1" s="1"/>
  <c r="CP79" i="1"/>
  <c r="O79" i="1" s="1"/>
  <c r="W77" i="1"/>
  <c r="R77" i="1"/>
  <c r="CY77" i="1" s="1"/>
  <c r="X77" i="1" s="1"/>
  <c r="GC22" i="1"/>
  <c r="ET93" i="1"/>
  <c r="BZ22" i="1"/>
  <c r="AQ93" i="1"/>
  <c r="CP81" i="1"/>
  <c r="O81" i="1" s="1"/>
  <c r="V77" i="1"/>
  <c r="CZ73" i="1"/>
  <c r="Y73" i="1" s="1"/>
  <c r="CY73" i="1"/>
  <c r="X73" i="1" s="1"/>
  <c r="Q74" i="1"/>
  <c r="R74" i="1"/>
  <c r="GX74" i="1"/>
  <c r="EU18" i="1"/>
  <c r="P141" i="1"/>
  <c r="FY22" i="1"/>
  <c r="EP93" i="1"/>
  <c r="GM88" i="1"/>
  <c r="GN88" i="1"/>
  <c r="GM78" i="1"/>
  <c r="GN78" i="1"/>
  <c r="T75" i="1"/>
  <c r="GM71" i="1"/>
  <c r="GN71" i="1"/>
  <c r="CP69" i="1"/>
  <c r="O69" i="1" s="1"/>
  <c r="CD22" i="1"/>
  <c r="AU93" i="1"/>
  <c r="GM70" i="1"/>
  <c r="CR87" i="1"/>
  <c r="Q87" i="1" s="1"/>
  <c r="CP87" i="1" s="1"/>
  <c r="O87" i="1" s="1"/>
  <c r="AB87" i="1"/>
  <c r="P144" i="1"/>
  <c r="EI18" i="1"/>
  <c r="P135" i="1"/>
  <c r="GN84" i="1"/>
  <c r="F141" i="1"/>
  <c r="EH93" i="1"/>
  <c r="BB93" i="1"/>
  <c r="AT93" i="1"/>
  <c r="AP93" i="1"/>
  <c r="CZ86" i="1"/>
  <c r="Y86" i="1" s="1"/>
  <c r="AD83" i="1"/>
  <c r="CR83" i="1" s="1"/>
  <c r="Q83" i="1" s="1"/>
  <c r="T82" i="1"/>
  <c r="W82" i="1"/>
  <c r="S82" i="1"/>
  <c r="AB79" i="1"/>
  <c r="GX77" i="1"/>
  <c r="U77" i="1"/>
  <c r="AD75" i="1"/>
  <c r="CR75" i="1" s="1"/>
  <c r="T73" i="1"/>
  <c r="AB73" i="1"/>
  <c r="T72" i="1"/>
  <c r="W72" i="1"/>
  <c r="S72" i="1"/>
  <c r="CY70" i="1"/>
  <c r="X70" i="1" s="1"/>
  <c r="GN70" i="1" s="1"/>
  <c r="AB69" i="1"/>
  <c r="AB68" i="1"/>
  <c r="CS66" i="1"/>
  <c r="R66" i="1" s="1"/>
  <c r="CY66" i="1" s="1"/>
  <c r="X66" i="1" s="1"/>
  <c r="U66" i="1"/>
  <c r="CY65" i="1"/>
  <c r="X65" i="1" s="1"/>
  <c r="GN65" i="1" s="1"/>
  <c r="CZ65" i="1"/>
  <c r="Y65" i="1" s="1"/>
  <c r="AB64" i="1"/>
  <c r="CQ64" i="1"/>
  <c r="T62" i="1"/>
  <c r="CZ58" i="1"/>
  <c r="Y58" i="1" s="1"/>
  <c r="CP49" i="1"/>
  <c r="O49" i="1" s="1"/>
  <c r="EG93" i="1"/>
  <c r="CG93" i="1"/>
  <c r="AO93" i="1"/>
  <c r="CS87" i="1"/>
  <c r="R87" i="1" s="1"/>
  <c r="CY87" i="1" s="1"/>
  <c r="X87" i="1" s="1"/>
  <c r="CZ84" i="1"/>
  <c r="Y84" i="1" s="1"/>
  <c r="GM84" i="1" s="1"/>
  <c r="AB83" i="1"/>
  <c r="AB81" i="1"/>
  <c r="Q77" i="1"/>
  <c r="AB75" i="1"/>
  <c r="GX73" i="1"/>
  <c r="U73" i="1"/>
  <c r="CX182" i="3"/>
  <c r="CX179" i="3"/>
  <c r="CX181" i="3"/>
  <c r="CX180" i="3"/>
  <c r="I76" i="1"/>
  <c r="CY69" i="1"/>
  <c r="X69" i="1" s="1"/>
  <c r="CZ69" i="1"/>
  <c r="Y69" i="1" s="1"/>
  <c r="CR62" i="1"/>
  <c r="Q62" i="1" s="1"/>
  <c r="CP62" i="1" s="1"/>
  <c r="O62" i="1" s="1"/>
  <c r="AB62" i="1"/>
  <c r="CY57" i="1"/>
  <c r="X57" i="1" s="1"/>
  <c r="CZ57" i="1"/>
  <c r="Y57" i="1" s="1"/>
  <c r="CY48" i="1"/>
  <c r="X48" i="1" s="1"/>
  <c r="CZ48" i="1"/>
  <c r="Y48" i="1" s="1"/>
  <c r="GN47" i="1"/>
  <c r="GM47" i="1"/>
  <c r="P77" i="1"/>
  <c r="CP77" i="1" s="1"/>
  <c r="O77" i="1" s="1"/>
  <c r="GX76" i="1"/>
  <c r="V76" i="1"/>
  <c r="U76" i="1"/>
  <c r="Q76" i="1"/>
  <c r="P74" i="1"/>
  <c r="CP74" i="1" s="1"/>
  <c r="O74" i="1" s="1"/>
  <c r="CX186" i="3"/>
  <c r="CX183" i="3"/>
  <c r="CX185" i="3"/>
  <c r="CX184" i="3"/>
  <c r="I75" i="1"/>
  <c r="CQ67" i="1"/>
  <c r="P67" i="1" s="1"/>
  <c r="CY61" i="1"/>
  <c r="X61" i="1" s="1"/>
  <c r="GN61" i="1" s="1"/>
  <c r="CZ61" i="1"/>
  <c r="Y61" i="1" s="1"/>
  <c r="GM61" i="1" s="1"/>
  <c r="AB60" i="1"/>
  <c r="CQ60" i="1"/>
  <c r="CP56" i="1"/>
  <c r="O56" i="1" s="1"/>
  <c r="AB54" i="1"/>
  <c r="CR54" i="1"/>
  <c r="CY53" i="1"/>
  <c r="X53" i="1" s="1"/>
  <c r="CZ53" i="1"/>
  <c r="Y53" i="1" s="1"/>
  <c r="GN50" i="1"/>
  <c r="GA93" i="1"/>
  <c r="CI93" i="1"/>
  <c r="AD86" i="1"/>
  <c r="CR86" i="1" s="1"/>
  <c r="Q86" i="1" s="1"/>
  <c r="CP86" i="1" s="1"/>
  <c r="O86" i="1" s="1"/>
  <c r="AB85" i="1"/>
  <c r="CP83" i="1"/>
  <c r="O83" i="1" s="1"/>
  <c r="CP82" i="1"/>
  <c r="O82" i="1" s="1"/>
  <c r="AD80" i="1"/>
  <c r="CR80" i="1" s="1"/>
  <c r="Q80" i="1" s="1"/>
  <c r="CP80" i="1" s="1"/>
  <c r="O80" i="1" s="1"/>
  <c r="AB78" i="1"/>
  <c r="T77" i="1"/>
  <c r="AB77" i="1"/>
  <c r="AB76" i="1"/>
  <c r="S75" i="1"/>
  <c r="V75" i="1"/>
  <c r="R75" i="1"/>
  <c r="T74" i="1"/>
  <c r="W74" i="1"/>
  <c r="S74" i="1"/>
  <c r="P73" i="1"/>
  <c r="CP73" i="1" s="1"/>
  <c r="O73" i="1" s="1"/>
  <c r="CP72" i="1"/>
  <c r="O72" i="1" s="1"/>
  <c r="AB71" i="1"/>
  <c r="CR66" i="1"/>
  <c r="Q66" i="1" s="1"/>
  <c r="CP66" i="1" s="1"/>
  <c r="O66" i="1" s="1"/>
  <c r="AB66" i="1"/>
  <c r="GX64" i="1"/>
  <c r="CP53" i="1"/>
  <c r="O53" i="1" s="1"/>
  <c r="CP51" i="1"/>
  <c r="O51" i="1" s="1"/>
  <c r="CY49" i="1"/>
  <c r="X49" i="1" s="1"/>
  <c r="CZ49" i="1"/>
  <c r="Y49" i="1" s="1"/>
  <c r="I68" i="1"/>
  <c r="W68" i="1" s="1"/>
  <c r="AD67" i="1"/>
  <c r="CR67" i="1" s="1"/>
  <c r="Q67" i="1" s="1"/>
  <c r="I64" i="1"/>
  <c r="AD63" i="1"/>
  <c r="CR63" i="1" s="1"/>
  <c r="Q63" i="1" s="1"/>
  <c r="CP63" i="1" s="1"/>
  <c r="O63" i="1" s="1"/>
  <c r="I60" i="1"/>
  <c r="AD59" i="1"/>
  <c r="CR59" i="1" s="1"/>
  <c r="Q59" i="1" s="1"/>
  <c r="CP59" i="1" s="1"/>
  <c r="O59" i="1" s="1"/>
  <c r="T57" i="1"/>
  <c r="AB57" i="1"/>
  <c r="CX154" i="3"/>
  <c r="CX151" i="3"/>
  <c r="CX155" i="3"/>
  <c r="CX153" i="3"/>
  <c r="CX152" i="3"/>
  <c r="CX156" i="3"/>
  <c r="I55" i="1"/>
  <c r="W52" i="1"/>
  <c r="S52" i="1"/>
  <c r="CZ51" i="1"/>
  <c r="Y51" i="1" s="1"/>
  <c r="AB48" i="1"/>
  <c r="CP42" i="1"/>
  <c r="O42" i="1" s="1"/>
  <c r="CY36" i="1"/>
  <c r="X36" i="1" s="1"/>
  <c r="CP33" i="1"/>
  <c r="O33" i="1" s="1"/>
  <c r="CY31" i="1"/>
  <c r="X31" i="1" s="1"/>
  <c r="CZ31" i="1"/>
  <c r="Y31" i="1" s="1"/>
  <c r="GN29" i="1"/>
  <c r="GM29" i="1"/>
  <c r="U64" i="1"/>
  <c r="Q64" i="1"/>
  <c r="AB63" i="1"/>
  <c r="W62" i="1"/>
  <c r="S62" i="1"/>
  <c r="Q60" i="1"/>
  <c r="AB59" i="1"/>
  <c r="CY58" i="1"/>
  <c r="X58" i="1" s="1"/>
  <c r="V55" i="1"/>
  <c r="EA93" i="1" s="1"/>
  <c r="R55" i="1"/>
  <c r="CX146" i="3"/>
  <c r="CX150" i="3"/>
  <c r="CX147" i="3"/>
  <c r="CX145" i="3"/>
  <c r="CX149" i="3"/>
  <c r="CX148" i="3"/>
  <c r="CZ50" i="1"/>
  <c r="Y50" i="1" s="1"/>
  <c r="GM50" i="1" s="1"/>
  <c r="CX134" i="3"/>
  <c r="CX132" i="3"/>
  <c r="CX136" i="3"/>
  <c r="CX131" i="3"/>
  <c r="CX135" i="3"/>
  <c r="CX137" i="3"/>
  <c r="CX133" i="3"/>
  <c r="CY46" i="1"/>
  <c r="X46" i="1" s="1"/>
  <c r="CZ46" i="1"/>
  <c r="Y46" i="1" s="1"/>
  <c r="GN45" i="1"/>
  <c r="GM45" i="1"/>
  <c r="GN44" i="1"/>
  <c r="GM44" i="1"/>
  <c r="CY35" i="1"/>
  <c r="X35" i="1" s="1"/>
  <c r="CZ35" i="1"/>
  <c r="Y35" i="1" s="1"/>
  <c r="CP35" i="1"/>
  <c r="O35" i="1" s="1"/>
  <c r="CZ32" i="1"/>
  <c r="Y32" i="1" s="1"/>
  <c r="CY32" i="1"/>
  <c r="X32" i="1" s="1"/>
  <c r="CY28" i="1"/>
  <c r="X28" i="1" s="1"/>
  <c r="CZ28" i="1"/>
  <c r="Y28" i="1" s="1"/>
  <c r="CX158" i="3"/>
  <c r="CX162" i="3"/>
  <c r="CX166" i="3"/>
  <c r="CX159" i="3"/>
  <c r="CX163" i="3"/>
  <c r="CX167" i="3"/>
  <c r="CX157" i="3"/>
  <c r="CX161" i="3"/>
  <c r="CX165" i="3"/>
  <c r="CX160" i="3"/>
  <c r="CX164" i="3"/>
  <c r="CZ56" i="1"/>
  <c r="Y56" i="1" s="1"/>
  <c r="GN41" i="1"/>
  <c r="GM41" i="1"/>
  <c r="CY39" i="1"/>
  <c r="X39" i="1" s="1"/>
  <c r="CZ39" i="1"/>
  <c r="Y39" i="1" s="1"/>
  <c r="CP37" i="1"/>
  <c r="O37" i="1" s="1"/>
  <c r="GN30" i="1"/>
  <c r="GM30" i="1"/>
  <c r="CY27" i="1"/>
  <c r="X27" i="1" s="1"/>
  <c r="CZ27" i="1"/>
  <c r="Y27" i="1" s="1"/>
  <c r="U58" i="1"/>
  <c r="Q58" i="1"/>
  <c r="CP58" i="1" s="1"/>
  <c r="O58" i="1" s="1"/>
  <c r="P57" i="1"/>
  <c r="CP57" i="1" s="1"/>
  <c r="O57" i="1" s="1"/>
  <c r="U56" i="1"/>
  <c r="Q56" i="1"/>
  <c r="AB55" i="1"/>
  <c r="I54" i="1"/>
  <c r="W54" i="1" s="1"/>
  <c r="AB53" i="1"/>
  <c r="AD51" i="1"/>
  <c r="CR51" i="1" s="1"/>
  <c r="Q51" i="1" s="1"/>
  <c r="AB49" i="1"/>
  <c r="T48" i="1"/>
  <c r="P48" i="1"/>
  <c r="CP48" i="1" s="1"/>
  <c r="O48" i="1" s="1"/>
  <c r="CY43" i="1"/>
  <c r="X43" i="1" s="1"/>
  <c r="CZ43" i="1"/>
  <c r="Y43" i="1" s="1"/>
  <c r="CP43" i="1"/>
  <c r="O43" i="1" s="1"/>
  <c r="CZ40" i="1"/>
  <c r="Y40" i="1" s="1"/>
  <c r="CY40" i="1"/>
  <c r="X40" i="1" s="1"/>
  <c r="CY37" i="1"/>
  <c r="X37" i="1" s="1"/>
  <c r="CZ37" i="1"/>
  <c r="Y37" i="1" s="1"/>
  <c r="CY34" i="1"/>
  <c r="X34" i="1" s="1"/>
  <c r="CP28" i="1"/>
  <c r="O28" i="1" s="1"/>
  <c r="CX170" i="3"/>
  <c r="CX174" i="3"/>
  <c r="CX178" i="3"/>
  <c r="CX171" i="3"/>
  <c r="CX175" i="3"/>
  <c r="CX169" i="3"/>
  <c r="CX173" i="3"/>
  <c r="CX177" i="3"/>
  <c r="CX168" i="3"/>
  <c r="CX172" i="3"/>
  <c r="CX176" i="3"/>
  <c r="CX138" i="3"/>
  <c r="CX142" i="3"/>
  <c r="CX139" i="3"/>
  <c r="CX143" i="3"/>
  <c r="CX141" i="3"/>
  <c r="CX140" i="3"/>
  <c r="CX144" i="3"/>
  <c r="CX126" i="3"/>
  <c r="CX130" i="3"/>
  <c r="CX125" i="3"/>
  <c r="CX129" i="3"/>
  <c r="CX124" i="3"/>
  <c r="CX128" i="3"/>
  <c r="CX127" i="3"/>
  <c r="T43" i="1"/>
  <c r="AB43" i="1"/>
  <c r="CX94" i="3"/>
  <c r="CX98" i="3"/>
  <c r="CX102" i="3"/>
  <c r="CX93" i="3"/>
  <c r="CX97" i="3"/>
  <c r="CX101" i="3"/>
  <c r="CX96" i="3"/>
  <c r="CX100" i="3"/>
  <c r="CX104" i="3"/>
  <c r="CX95" i="3"/>
  <c r="CX99" i="3"/>
  <c r="CX103" i="3"/>
  <c r="I38" i="1"/>
  <c r="GX38" i="1" s="1"/>
  <c r="AD37" i="1"/>
  <c r="CR37" i="1" s="1"/>
  <c r="Q37" i="1" s="1"/>
  <c r="T35" i="1"/>
  <c r="AB35" i="1"/>
  <c r="CX50" i="3"/>
  <c r="CX54" i="3"/>
  <c r="CX58" i="3"/>
  <c r="CX49" i="3"/>
  <c r="CX53" i="3"/>
  <c r="CX57" i="3"/>
  <c r="CX52" i="3"/>
  <c r="CX56" i="3"/>
  <c r="CX51" i="3"/>
  <c r="CX55" i="3"/>
  <c r="CX59" i="3"/>
  <c r="CX46" i="3"/>
  <c r="CX45" i="3"/>
  <c r="CX6" i="3"/>
  <c r="CX8" i="3"/>
  <c r="CX7" i="3"/>
  <c r="T26" i="1"/>
  <c r="AB26" i="1"/>
  <c r="CQ46" i="1"/>
  <c r="P46" i="1" s="1"/>
  <c r="CP46" i="1" s="1"/>
  <c r="O46" i="1" s="1"/>
  <c r="AB42" i="1"/>
  <c r="CQ40" i="1"/>
  <c r="P40" i="1" s="1"/>
  <c r="CP40" i="1" s="1"/>
  <c r="O40" i="1" s="1"/>
  <c r="P39" i="1"/>
  <c r="CP39" i="1" s="1"/>
  <c r="O39" i="1" s="1"/>
  <c r="CQ38" i="1"/>
  <c r="U38" i="1"/>
  <c r="AB37" i="1"/>
  <c r="AB36" i="1"/>
  <c r="AB34" i="1"/>
  <c r="CQ32" i="1"/>
  <c r="P32" i="1" s="1"/>
  <c r="CP32" i="1" s="1"/>
  <c r="O32" i="1" s="1"/>
  <c r="P31" i="1"/>
  <c r="CZ42" i="1"/>
  <c r="Y42" i="1" s="1"/>
  <c r="CZ36" i="1"/>
  <c r="Y36" i="1" s="1"/>
  <c r="CX74" i="3"/>
  <c r="CX78" i="3"/>
  <c r="CX73" i="3"/>
  <c r="CX77" i="3"/>
  <c r="CX81" i="3"/>
  <c r="CX72" i="3"/>
  <c r="CX76" i="3"/>
  <c r="CX80" i="3"/>
  <c r="CX71" i="3"/>
  <c r="CX75" i="3"/>
  <c r="CX79" i="3"/>
  <c r="CZ34" i="1"/>
  <c r="Y34" i="1" s="1"/>
  <c r="AB25" i="1"/>
  <c r="CR25" i="1"/>
  <c r="Q25" i="1" s="1"/>
  <c r="CX118" i="3"/>
  <c r="CX122" i="3"/>
  <c r="CX117" i="3"/>
  <c r="CX121" i="3"/>
  <c r="CX120" i="3"/>
  <c r="CX119" i="3"/>
  <c r="CX123" i="3"/>
  <c r="AB45" i="1"/>
  <c r="AB44" i="1"/>
  <c r="U42" i="1"/>
  <c r="Q42" i="1"/>
  <c r="AB41" i="1"/>
  <c r="U36" i="1"/>
  <c r="Q36" i="1"/>
  <c r="CP36" i="1" s="1"/>
  <c r="O36" i="1" s="1"/>
  <c r="U34" i="1"/>
  <c r="Q34" i="1"/>
  <c r="AB33" i="1"/>
  <c r="CX48" i="3"/>
  <c r="CX47" i="3"/>
  <c r="AB30" i="1"/>
  <c r="AB29" i="1"/>
  <c r="CS26" i="1"/>
  <c r="R26" i="1" s="1"/>
  <c r="CZ26" i="1" s="1"/>
  <c r="Y26" i="1" s="1"/>
  <c r="CX5" i="3"/>
  <c r="CX4" i="3"/>
  <c r="CX3" i="3"/>
  <c r="CS25" i="1"/>
  <c r="R25" i="1" s="1"/>
  <c r="CZ24" i="1"/>
  <c r="Y24" i="1" s="1"/>
  <c r="CP24" i="1"/>
  <c r="O24" i="1" s="1"/>
  <c r="CY24" i="1"/>
  <c r="X24" i="1" s="1"/>
  <c r="CX106" i="3"/>
  <c r="CX110" i="3"/>
  <c r="CX114" i="3"/>
  <c r="CX105" i="3"/>
  <c r="CX109" i="3"/>
  <c r="CX113" i="3"/>
  <c r="CX108" i="3"/>
  <c r="CX112" i="3"/>
  <c r="CX116" i="3"/>
  <c r="CX107" i="3"/>
  <c r="CX111" i="3"/>
  <c r="CX115" i="3"/>
  <c r="CX82" i="3"/>
  <c r="CX86" i="3"/>
  <c r="CX90" i="3"/>
  <c r="CX85" i="3"/>
  <c r="CX89" i="3"/>
  <c r="CX84" i="3"/>
  <c r="CX88" i="3"/>
  <c r="CX92" i="3"/>
  <c r="CX83" i="3"/>
  <c r="CX87" i="3"/>
  <c r="CX91" i="3"/>
  <c r="CX62" i="3"/>
  <c r="CX66" i="3"/>
  <c r="CX70" i="3"/>
  <c r="CX61" i="3"/>
  <c r="CX65" i="3"/>
  <c r="CX69" i="3"/>
  <c r="CX60" i="3"/>
  <c r="CX64" i="3"/>
  <c r="CX68" i="3"/>
  <c r="CX63" i="3"/>
  <c r="CX67" i="3"/>
  <c r="U27" i="1"/>
  <c r="Q27" i="1"/>
  <c r="CP27" i="1" s="1"/>
  <c r="O27" i="1" s="1"/>
  <c r="P26" i="1"/>
  <c r="AB24" i="1"/>
  <c r="G17" i="5" l="1"/>
  <c r="G16" i="5"/>
  <c r="G182" i="5"/>
  <c r="GN36" i="1"/>
  <c r="GM36" i="1"/>
  <c r="GM27" i="1"/>
  <c r="GN27" i="1"/>
  <c r="GN58" i="1"/>
  <c r="GM58" i="1"/>
  <c r="GN59" i="1"/>
  <c r="GM59" i="1"/>
  <c r="GN63" i="1"/>
  <c r="GM63" i="1"/>
  <c r="GM80" i="1"/>
  <c r="GN80" i="1"/>
  <c r="GM86" i="1"/>
  <c r="GN86" i="1"/>
  <c r="CP26" i="1"/>
  <c r="O26" i="1" s="1"/>
  <c r="CZ25" i="1"/>
  <c r="Y25" i="1" s="1"/>
  <c r="CY25" i="1"/>
  <c r="X25" i="1" s="1"/>
  <c r="DW93" i="1"/>
  <c r="GM28" i="1"/>
  <c r="GN28" i="1"/>
  <c r="GM46" i="1"/>
  <c r="GN46" i="1"/>
  <c r="W38" i="1"/>
  <c r="CY26" i="1"/>
  <c r="X26" i="1" s="1"/>
  <c r="CY52" i="1"/>
  <c r="X52" i="1" s="1"/>
  <c r="CZ52" i="1"/>
  <c r="Y52" i="1" s="1"/>
  <c r="R60" i="1"/>
  <c r="V60" i="1"/>
  <c r="GM39" i="1"/>
  <c r="GN39" i="1"/>
  <c r="GN32" i="1"/>
  <c r="GM32" i="1"/>
  <c r="Q38" i="1"/>
  <c r="AD93" i="1" s="1"/>
  <c r="GN40" i="1"/>
  <c r="GM40" i="1"/>
  <c r="GM48" i="1"/>
  <c r="GN48" i="1"/>
  <c r="CP34" i="1"/>
  <c r="O34" i="1" s="1"/>
  <c r="CZ62" i="1"/>
  <c r="Y62" i="1" s="1"/>
  <c r="CY62" i="1"/>
  <c r="X62" i="1" s="1"/>
  <c r="GM62" i="1" s="1"/>
  <c r="AB51" i="1"/>
  <c r="GX55" i="1"/>
  <c r="GB93" i="1" s="1"/>
  <c r="W55" i="1"/>
  <c r="S55" i="1"/>
  <c r="R64" i="1"/>
  <c r="V64" i="1"/>
  <c r="U55" i="1"/>
  <c r="CY75" i="1"/>
  <c r="X75" i="1" s="1"/>
  <c r="CZ75" i="1"/>
  <c r="Y75" i="1" s="1"/>
  <c r="Q54" i="1"/>
  <c r="P55" i="1"/>
  <c r="P60" i="1"/>
  <c r="CP60" i="1" s="1"/>
  <c r="O60" i="1" s="1"/>
  <c r="S64" i="1"/>
  <c r="P75" i="1"/>
  <c r="GX75" i="1"/>
  <c r="Q55" i="1"/>
  <c r="T64" i="1"/>
  <c r="S76" i="1"/>
  <c r="T76" i="1"/>
  <c r="R76" i="1"/>
  <c r="EG22" i="1"/>
  <c r="EG125" i="1"/>
  <c r="P97" i="1"/>
  <c r="P64" i="1"/>
  <c r="W75" i="1"/>
  <c r="AB80" i="1"/>
  <c r="AT22" i="1"/>
  <c r="F111" i="1"/>
  <c r="F16" i="2" s="1"/>
  <c r="F18" i="2" s="1"/>
  <c r="AT125" i="1"/>
  <c r="GM65" i="1"/>
  <c r="CZ77" i="1"/>
  <c r="Y77" i="1" s="1"/>
  <c r="W76" i="1"/>
  <c r="GN79" i="1"/>
  <c r="GM79" i="1"/>
  <c r="EL22" i="1"/>
  <c r="P111" i="1"/>
  <c r="U16" i="2" s="1"/>
  <c r="U18" i="2" s="1"/>
  <c r="EL125" i="1"/>
  <c r="GM43" i="1"/>
  <c r="GN43" i="1"/>
  <c r="P54" i="1"/>
  <c r="CP54" i="1" s="1"/>
  <c r="O54" i="1" s="1"/>
  <c r="U54" i="1"/>
  <c r="AH93" i="1" s="1"/>
  <c r="GX54" i="1"/>
  <c r="GM57" i="1"/>
  <c r="GN57" i="1"/>
  <c r="GM37" i="1"/>
  <c r="GN37" i="1"/>
  <c r="S38" i="1"/>
  <c r="T38" i="1"/>
  <c r="GM51" i="1"/>
  <c r="GN51" i="1"/>
  <c r="W60" i="1"/>
  <c r="GN56" i="1"/>
  <c r="GM56" i="1"/>
  <c r="CP67" i="1"/>
  <c r="O67" i="1" s="1"/>
  <c r="GM74" i="1"/>
  <c r="S68" i="1"/>
  <c r="GM49" i="1"/>
  <c r="GN49" i="1"/>
  <c r="S60" i="1"/>
  <c r="CY82" i="1"/>
  <c r="X82" i="1" s="1"/>
  <c r="GN82" i="1" s="1"/>
  <c r="CZ82" i="1"/>
  <c r="Y82" i="1" s="1"/>
  <c r="AB86" i="1"/>
  <c r="BB22" i="1"/>
  <c r="BB125" i="1"/>
  <c r="F106" i="1"/>
  <c r="AU22" i="1"/>
  <c r="AU125" i="1"/>
  <c r="F112" i="1"/>
  <c r="CZ66" i="1"/>
  <c r="Y66" i="1" s="1"/>
  <c r="GM66" i="1" s="1"/>
  <c r="GM85" i="1"/>
  <c r="GN85" i="1"/>
  <c r="GM35" i="1"/>
  <c r="GN35" i="1"/>
  <c r="GN42" i="1"/>
  <c r="GM42" i="1"/>
  <c r="R68" i="1"/>
  <c r="V68" i="1"/>
  <c r="GN73" i="1"/>
  <c r="GM73" i="1"/>
  <c r="GM82" i="1"/>
  <c r="CI22" i="1"/>
  <c r="AZ93" i="1"/>
  <c r="V54" i="1"/>
  <c r="AB67" i="1"/>
  <c r="GN77" i="1"/>
  <c r="GM77" i="1"/>
  <c r="AO22" i="1"/>
  <c r="F97" i="1"/>
  <c r="AO125" i="1"/>
  <c r="CP52" i="1"/>
  <c r="O52" i="1" s="1"/>
  <c r="CY72" i="1"/>
  <c r="X72" i="1" s="1"/>
  <c r="GM72" i="1" s="1"/>
  <c r="CZ72" i="1"/>
  <c r="Y72" i="1" s="1"/>
  <c r="EH22" i="1"/>
  <c r="P102" i="1"/>
  <c r="V16" i="2" s="1"/>
  <c r="V18" i="2" s="1"/>
  <c r="EH125" i="1"/>
  <c r="P68" i="1"/>
  <c r="CZ87" i="1"/>
  <c r="Y87" i="1" s="1"/>
  <c r="GN87" i="1" s="1"/>
  <c r="EP22" i="1"/>
  <c r="P100" i="1"/>
  <c r="EP125" i="1"/>
  <c r="GN81" i="1"/>
  <c r="GM81" i="1"/>
  <c r="V38" i="1"/>
  <c r="AI93" i="1" s="1"/>
  <c r="R38" i="1"/>
  <c r="P38" i="1"/>
  <c r="GM53" i="1"/>
  <c r="GN53" i="1"/>
  <c r="Q68" i="1"/>
  <c r="GN24" i="1"/>
  <c r="GM24" i="1"/>
  <c r="CP31" i="1"/>
  <c r="O31" i="1" s="1"/>
  <c r="CP25" i="1"/>
  <c r="O25" i="1" s="1"/>
  <c r="DY93" i="1"/>
  <c r="S54" i="1"/>
  <c r="EA22" i="1"/>
  <c r="DN93" i="1"/>
  <c r="U60" i="1"/>
  <c r="GN33" i="1"/>
  <c r="GM33" i="1"/>
  <c r="R54" i="1"/>
  <c r="AE93" i="1" s="1"/>
  <c r="U68" i="1"/>
  <c r="CY74" i="1"/>
  <c r="X74" i="1" s="1"/>
  <c r="GN74" i="1" s="1"/>
  <c r="CZ74" i="1"/>
  <c r="Y74" i="1" s="1"/>
  <c r="GM83" i="1"/>
  <c r="GN83" i="1"/>
  <c r="GA22" i="1"/>
  <c r="ER93" i="1"/>
  <c r="T54" i="1"/>
  <c r="AG93" i="1" s="1"/>
  <c r="GX68" i="1"/>
  <c r="CJ93" i="1" s="1"/>
  <c r="GX60" i="1"/>
  <c r="W64" i="1"/>
  <c r="CG22" i="1"/>
  <c r="AX93" i="1"/>
  <c r="T55" i="1"/>
  <c r="T68" i="1"/>
  <c r="Q75" i="1"/>
  <c r="DV93" i="1" s="1"/>
  <c r="AP22" i="1"/>
  <c r="AP125" i="1"/>
  <c r="F102" i="1"/>
  <c r="G16" i="2" s="1"/>
  <c r="G18" i="2" s="1"/>
  <c r="T60" i="1"/>
  <c r="GM69" i="1"/>
  <c r="GN69" i="1"/>
  <c r="P76" i="1"/>
  <c r="U75" i="1"/>
  <c r="DZ93" i="1" s="1"/>
  <c r="AQ22" i="1"/>
  <c r="F103" i="1"/>
  <c r="AQ125" i="1"/>
  <c r="ET22" i="1"/>
  <c r="P106" i="1"/>
  <c r="ET125" i="1"/>
  <c r="CJ22" i="1" l="1"/>
  <c r="BA93" i="1"/>
  <c r="AD22" i="1"/>
  <c r="Q93" i="1"/>
  <c r="DZ22" i="1"/>
  <c r="DM93" i="1"/>
  <c r="DV22" i="1"/>
  <c r="DI93" i="1"/>
  <c r="AG22" i="1"/>
  <c r="T93" i="1"/>
  <c r="AE22" i="1"/>
  <c r="R93" i="1"/>
  <c r="AH22" i="1"/>
  <c r="U93" i="1"/>
  <c r="AX22" i="1"/>
  <c r="AX125" i="1"/>
  <c r="F100" i="1"/>
  <c r="GN25" i="1"/>
  <c r="GM25" i="1"/>
  <c r="GM67" i="1"/>
  <c r="GN67" i="1"/>
  <c r="EL18" i="1"/>
  <c r="P143" i="1"/>
  <c r="AT18" i="1"/>
  <c r="F143" i="1"/>
  <c r="CZ64" i="1"/>
  <c r="Y64" i="1" s="1"/>
  <c r="CY64" i="1"/>
  <c r="X64" i="1" s="1"/>
  <c r="CP76" i="1"/>
  <c r="O76" i="1" s="1"/>
  <c r="ER22" i="1"/>
  <c r="P104" i="1"/>
  <c r="ER125" i="1"/>
  <c r="CP38" i="1"/>
  <c r="O38" i="1" s="1"/>
  <c r="AO18" i="1"/>
  <c r="F129" i="1"/>
  <c r="CZ68" i="1"/>
  <c r="Y68" i="1" s="1"/>
  <c r="CY68" i="1"/>
  <c r="X68" i="1" s="1"/>
  <c r="CZ38" i="1"/>
  <c r="Y38" i="1" s="1"/>
  <c r="CY38" i="1"/>
  <c r="X38" i="1" s="1"/>
  <c r="AF93" i="1"/>
  <c r="CP64" i="1"/>
  <c r="O64" i="1" s="1"/>
  <c r="CZ55" i="1"/>
  <c r="Y55" i="1" s="1"/>
  <c r="CY55" i="1"/>
  <c r="X55" i="1" s="1"/>
  <c r="EC93" i="1" s="1"/>
  <c r="DX93" i="1"/>
  <c r="ET18" i="1"/>
  <c r="P138" i="1"/>
  <c r="AP18" i="1"/>
  <c r="F134" i="1"/>
  <c r="CY54" i="1"/>
  <c r="X54" i="1" s="1"/>
  <c r="CZ54" i="1"/>
  <c r="Y54" i="1" s="1"/>
  <c r="GM31" i="1"/>
  <c r="GN31" i="1"/>
  <c r="EP18" i="1"/>
  <c r="P132" i="1"/>
  <c r="CP68" i="1"/>
  <c r="O68" i="1" s="1"/>
  <c r="AU18" i="1"/>
  <c r="F144" i="1"/>
  <c r="CZ60" i="1"/>
  <c r="Y60" i="1" s="1"/>
  <c r="CY60" i="1"/>
  <c r="X60" i="1" s="1"/>
  <c r="GN60" i="1" s="1"/>
  <c r="CP55" i="1"/>
  <c r="O55" i="1" s="1"/>
  <c r="EB93" i="1"/>
  <c r="ED93" i="1"/>
  <c r="GN62" i="1"/>
  <c r="GM87" i="1"/>
  <c r="AI22" i="1"/>
  <c r="V93" i="1"/>
  <c r="GN72" i="1"/>
  <c r="EG18" i="1"/>
  <c r="P129" i="1"/>
  <c r="CZ76" i="1"/>
  <c r="Y76" i="1" s="1"/>
  <c r="CY76" i="1"/>
  <c r="X76" i="1" s="1"/>
  <c r="CP75" i="1"/>
  <c r="O75" i="1" s="1"/>
  <c r="GB22" i="1"/>
  <c r="ES93" i="1"/>
  <c r="GN34" i="1"/>
  <c r="GM34" i="1"/>
  <c r="AJ93" i="1"/>
  <c r="AC93" i="1"/>
  <c r="EH18" i="1"/>
  <c r="P134" i="1"/>
  <c r="DN22" i="1"/>
  <c r="DN125" i="1"/>
  <c r="P116" i="1"/>
  <c r="AZ22" i="1"/>
  <c r="F104" i="1"/>
  <c r="AZ125" i="1"/>
  <c r="DW22" i="1"/>
  <c r="DJ93" i="1"/>
  <c r="GM26" i="1"/>
  <c r="GN26" i="1"/>
  <c r="GN66" i="1"/>
  <c r="DY22" i="1"/>
  <c r="DL93" i="1"/>
  <c r="GM52" i="1"/>
  <c r="GN52" i="1"/>
  <c r="GM54" i="1"/>
  <c r="GN54" i="1"/>
  <c r="AQ18" i="1"/>
  <c r="F135" i="1"/>
  <c r="DU93" i="1"/>
  <c r="BB18" i="1"/>
  <c r="F138" i="1"/>
  <c r="EC22" i="1" l="1"/>
  <c r="DP93" i="1"/>
  <c r="CB93" i="1"/>
  <c r="DU22" i="1"/>
  <c r="FW93" i="1"/>
  <c r="FX93" i="1"/>
  <c r="FZ93" i="1"/>
  <c r="DH93" i="1"/>
  <c r="DL22" i="1"/>
  <c r="P114" i="1"/>
  <c r="DL125" i="1"/>
  <c r="EB22" i="1"/>
  <c r="DO93" i="1"/>
  <c r="GM60" i="1"/>
  <c r="AK93" i="1"/>
  <c r="GN76" i="1"/>
  <c r="GM76" i="1"/>
  <c r="DJ22" i="1"/>
  <c r="DJ125" i="1"/>
  <c r="P107" i="1"/>
  <c r="GM75" i="1"/>
  <c r="GN75" i="1"/>
  <c r="GN55" i="1"/>
  <c r="FT93" i="1" s="1"/>
  <c r="GM55" i="1"/>
  <c r="DX22" i="1"/>
  <c r="DK93" i="1"/>
  <c r="AL93" i="1"/>
  <c r="ER18" i="1"/>
  <c r="P136" i="1"/>
  <c r="DT93" i="1"/>
  <c r="AX18" i="1"/>
  <c r="F132" i="1"/>
  <c r="R22" i="1"/>
  <c r="F107" i="1"/>
  <c r="R125" i="1"/>
  <c r="DI22" i="1"/>
  <c r="P105" i="1"/>
  <c r="DI125" i="1"/>
  <c r="Q22" i="1"/>
  <c r="F105" i="1"/>
  <c r="Q125" i="1"/>
  <c r="GN68" i="1"/>
  <c r="GM68" i="1"/>
  <c r="GN64" i="1"/>
  <c r="GM64" i="1"/>
  <c r="FS93" i="1"/>
  <c r="AZ18" i="1"/>
  <c r="F136" i="1"/>
  <c r="DN18" i="1"/>
  <c r="P148" i="1"/>
  <c r="AC22" i="1"/>
  <c r="CE93" i="1"/>
  <c r="P93" i="1"/>
  <c r="CF93" i="1"/>
  <c r="CH93" i="1"/>
  <c r="ES22" i="1"/>
  <c r="ES125" i="1"/>
  <c r="P113" i="1"/>
  <c r="W16" i="2" s="1"/>
  <c r="W18" i="2" s="1"/>
  <c r="V22" i="1"/>
  <c r="F116" i="1"/>
  <c r="V125" i="1"/>
  <c r="ED22" i="1"/>
  <c r="DQ93" i="1"/>
  <c r="AF22" i="1"/>
  <c r="S93" i="1"/>
  <c r="GN38" i="1"/>
  <c r="GM38" i="1"/>
  <c r="CA93" i="1" s="1"/>
  <c r="AB93" i="1"/>
  <c r="U22" i="1"/>
  <c r="F115" i="1"/>
  <c r="U125" i="1"/>
  <c r="T22" i="1"/>
  <c r="T125" i="1"/>
  <c r="F114" i="1"/>
  <c r="DM22" i="1"/>
  <c r="P115" i="1"/>
  <c r="DM125" i="1"/>
  <c r="BA22" i="1"/>
  <c r="F113" i="1"/>
  <c r="H16" i="2" s="1"/>
  <c r="H18" i="2" s="1"/>
  <c r="BA125" i="1"/>
  <c r="AJ22" i="1"/>
  <c r="W93" i="1"/>
  <c r="FT22" i="1" l="1"/>
  <c r="EK93" i="1"/>
  <c r="W22" i="1"/>
  <c r="F117" i="1"/>
  <c r="W125" i="1"/>
  <c r="DQ22" i="1"/>
  <c r="DQ125" i="1"/>
  <c r="P119" i="1"/>
  <c r="AK22" i="1"/>
  <c r="X93" i="1"/>
  <c r="DL18" i="1"/>
  <c r="P146" i="1"/>
  <c r="FZ22" i="1"/>
  <c r="EQ93" i="1"/>
  <c r="FS22" i="1"/>
  <c r="EJ93" i="1"/>
  <c r="BA18" i="1"/>
  <c r="F145" i="1"/>
  <c r="S22" i="1"/>
  <c r="S125" i="1"/>
  <c r="F108" i="1"/>
  <c r="J16" i="2" s="1"/>
  <c r="J18" i="2" s="1"/>
  <c r="V18" i="1"/>
  <c r="F148" i="1"/>
  <c r="ES18" i="1"/>
  <c r="P145" i="1"/>
  <c r="P22" i="1"/>
  <c r="P125" i="1"/>
  <c r="F96" i="1"/>
  <c r="Q18" i="1"/>
  <c r="F137" i="1"/>
  <c r="DO22" i="1"/>
  <c r="P117" i="1"/>
  <c r="DO125" i="1"/>
  <c r="FW22" i="1"/>
  <c r="EN93" i="1"/>
  <c r="U18" i="1"/>
  <c r="F147" i="1"/>
  <c r="AB22" i="1"/>
  <c r="O93" i="1"/>
  <c r="CE22" i="1"/>
  <c r="AV93" i="1"/>
  <c r="DH22" i="1"/>
  <c r="P96" i="1"/>
  <c r="DH125" i="1"/>
  <c r="AL22" i="1"/>
  <c r="Y93" i="1"/>
  <c r="DJ18" i="1"/>
  <c r="P139" i="1"/>
  <c r="CB22" i="1"/>
  <c r="AS93" i="1"/>
  <c r="DM18" i="1"/>
  <c r="P147" i="1"/>
  <c r="T18" i="1"/>
  <c r="F146" i="1"/>
  <c r="CF22" i="1"/>
  <c r="AW93" i="1"/>
  <c r="DI18" i="1"/>
  <c r="P137" i="1"/>
  <c r="DT22" i="1"/>
  <c r="DG93" i="1"/>
  <c r="DK22" i="1"/>
  <c r="P108" i="1"/>
  <c r="Y16" i="2" s="1"/>
  <c r="Y18" i="2" s="1"/>
  <c r="DK125" i="1"/>
  <c r="FX22" i="1"/>
  <c r="EO93" i="1"/>
  <c r="DP22" i="1"/>
  <c r="P118" i="1"/>
  <c r="DP125" i="1"/>
  <c r="CA22" i="1"/>
  <c r="AR93" i="1"/>
  <c r="CH22" i="1"/>
  <c r="AY93" i="1"/>
  <c r="R18" i="1"/>
  <c r="F139" i="1"/>
  <c r="DK18" i="1" l="1"/>
  <c r="P140" i="1"/>
  <c r="O22" i="1"/>
  <c r="F95" i="1"/>
  <c r="O125" i="1"/>
  <c r="EN22" i="1"/>
  <c r="P98" i="1"/>
  <c r="EN125" i="1"/>
  <c r="P18" i="1"/>
  <c r="F128" i="1"/>
  <c r="DQ18" i="1"/>
  <c r="P151" i="1"/>
  <c r="AR22" i="1"/>
  <c r="AR125" i="1"/>
  <c r="F120" i="1"/>
  <c r="F121" i="1" s="1"/>
  <c r="AS22" i="1"/>
  <c r="F110" i="1"/>
  <c r="E16" i="2" s="1"/>
  <c r="AS125" i="1"/>
  <c r="Y22" i="1"/>
  <c r="F119" i="1"/>
  <c r="Y125" i="1"/>
  <c r="EQ22" i="1"/>
  <c r="P101" i="1"/>
  <c r="EQ125" i="1"/>
  <c r="X22" i="1"/>
  <c r="X125" i="1"/>
  <c r="F118" i="1"/>
  <c r="EK22" i="1"/>
  <c r="EK125" i="1"/>
  <c r="P110" i="1"/>
  <c r="T16" i="2" s="1"/>
  <c r="EO22" i="1"/>
  <c r="EO125" i="1"/>
  <c r="P99" i="1"/>
  <c r="AV22" i="1"/>
  <c r="AV125" i="1"/>
  <c r="F98" i="1"/>
  <c r="DO18" i="1"/>
  <c r="P149" i="1"/>
  <c r="W18" i="1"/>
  <c r="F149" i="1"/>
  <c r="AY22" i="1"/>
  <c r="F101" i="1"/>
  <c r="AY125" i="1"/>
  <c r="DP18" i="1"/>
  <c r="P150" i="1"/>
  <c r="DG22" i="1"/>
  <c r="P95" i="1"/>
  <c r="DG125" i="1"/>
  <c r="AW22" i="1"/>
  <c r="F99" i="1"/>
  <c r="AW125" i="1"/>
  <c r="DH18" i="1"/>
  <c r="P128" i="1"/>
  <c r="S18" i="1"/>
  <c r="F140" i="1"/>
  <c r="EJ22" i="1"/>
  <c r="P120" i="1"/>
  <c r="P121" i="1" s="1"/>
  <c r="EJ125" i="1"/>
  <c r="AW18" i="1" l="1"/>
  <c r="F131" i="1"/>
  <c r="AY18" i="1"/>
  <c r="F133" i="1"/>
  <c r="AV18" i="1"/>
  <c r="F130" i="1"/>
  <c r="F123" i="1"/>
  <c r="F122" i="1"/>
  <c r="EJ18" i="1"/>
  <c r="P152" i="1"/>
  <c r="P153" i="1" s="1"/>
  <c r="X16" i="2"/>
  <c r="X18" i="2" s="1"/>
  <c r="T18" i="2"/>
  <c r="X18" i="1"/>
  <c r="F150" i="1"/>
  <c r="AS18" i="1"/>
  <c r="F142" i="1"/>
  <c r="AR18" i="1"/>
  <c r="F152" i="1"/>
  <c r="F153" i="1" s="1"/>
  <c r="P122" i="1"/>
  <c r="P123" i="1" s="1"/>
  <c r="EK18" i="1"/>
  <c r="P142" i="1"/>
  <c r="Y18" i="1"/>
  <c r="F151" i="1"/>
  <c r="I16" i="2"/>
  <c r="I18" i="2" s="1"/>
  <c r="E18" i="2"/>
  <c r="O18" i="1"/>
  <c r="F127" i="1"/>
  <c r="DG18" i="1"/>
  <c r="P127" i="1"/>
  <c r="EO18" i="1"/>
  <c r="P131" i="1"/>
  <c r="EQ18" i="1"/>
  <c r="P133" i="1"/>
  <c r="EN18" i="1"/>
  <c r="P130" i="1"/>
  <c r="F154" i="1" l="1"/>
  <c r="F155" i="1" s="1"/>
  <c r="P155" i="1"/>
  <c r="P154" i="1"/>
</calcChain>
</file>

<file path=xl/sharedStrings.xml><?xml version="1.0" encoding="utf-8"?>
<sst xmlns="http://schemas.openxmlformats.org/spreadsheetml/2006/main" count="6910" uniqueCount="574">
  <si>
    <t>Smeta.RU  (495) 974-1589</t>
  </si>
  <si>
    <t>_PS_</t>
  </si>
  <si>
    <t>Smeta.RU</t>
  </si>
  <si>
    <t>НИЯУ МИФИ  Доп. раб. место  MCCS-0027251</t>
  </si>
  <si>
    <t>Новый объект_(Копия)_(Копия)_(Копия)_(Копия)_(Копия)</t>
  </si>
  <si>
    <t>Капитальный ремонт окооных проемов 3-4-го этажа корпуса А НИЯУ МИФИ__цена поставщика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</si>
  <si>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</si>
  <si>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</si>
  <si>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</si>
  <si>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</si>
  <si>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</si>
  <si>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</si>
  <si>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</si>
  <si>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</si>
  <si>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20-06-018-01</t>
  </si>
  <si>
    <t>Демонтаж: Установка кондиционеров оконных мощностью до 3 кВт</t>
  </si>
  <si>
    <t>ШТ</t>
  </si>
  <si>
    <t>ФЕР-2001, 20-06-018-01, приказ Минстроя России №1039/пр от 30.12.2016г.</t>
  </si>
  <si>
    <t>Поправка: Табл.2, п.3  Наименование: При демонтаже (разборке) систем инженерно-технического обеспечения</t>
  </si>
  <si>
    <t>)*0</t>
  </si>
  <si>
    <t>)*0,4</t>
  </si>
  <si>
    <t>Общестроительные работы</t>
  </si>
  <si>
    <t>Вентиляция и кондиционирование</t>
  </si>
  <si>
    <t>ФЕР-20</t>
  </si>
  <si>
    <t>Поправка: Табл.2, п.3</t>
  </si>
  <si>
    <t>*0,9</t>
  </si>
  <si>
    <t>*0,85</t>
  </si>
  <si>
    <t>2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</si>
  <si>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</si>
  <si>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</si>
  <si>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</si>
  <si>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</si>
  <si>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Реконструкция зданий и сооружений</t>
  </si>
  <si>
    <t>ФЕР-46</t>
  </si>
  <si>
    <t>3</t>
  </si>
  <si>
    <t>09-04-009-03</t>
  </si>
  <si>
    <t>Демонтаж: Монтаж оконных блоков алюминиевых с нащельниками из алюминия</t>
  </si>
  <si>
    <t>т</t>
  </si>
  <si>
    <t>ФЕР-2001, 09-04-009-03, приказ Минстроя России №1039/пр от 30.12.2016г.</t>
  </si>
  <si>
    <t>Поправка: Прил. 9.3, п.5  Наименование: Разборка (демонтаж) металлических конструкций</t>
  </si>
  <si>
    <t>)*0,7</t>
  </si>
  <si>
    <t>Металлические конструкции</t>
  </si>
  <si>
    <t>ФЕР-09</t>
  </si>
  <si>
    <t>Поправка: Прил. 9.3, п.5</t>
  </si>
  <si>
    <t>4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</si>
  <si>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</si>
  <si>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</si>
  <si>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</t>
  </si>
  <si>
    <t>ФЕРр-2001, 58-3-1, приказ Минстроя России №1039/пр от 30.12.2016г.</t>
  </si>
  <si>
    <t>Ремонтно-строительные работы</t>
  </si>
  <si>
    <t>Крыши, кровля</t>
  </si>
  <si>
    <t>рФЕР-58</t>
  </si>
  <si>
    <t>5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</si>
  <si>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</si>
  <si>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</si>
  <si>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</si>
  <si>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</si>
  <si>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</si>
  <si>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</si>
  <si>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</si>
  <si>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</si>
  <si>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5,1</t>
  </si>
  <si>
    <t>Цена поставщика</t>
  </si>
  <si>
    <t>Блок оконный из ПВХ трехстворчатый</t>
  </si>
  <si>
    <t>м2</t>
  </si>
  <si>
    <t>[14 141,67 / 1,18 /  6,77]</t>
  </si>
  <si>
    <t>6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</si>
  <si>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</si>
  <si>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</si>
  <si>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</si>
  <si>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6,1</t>
  </si>
  <si>
    <t>Блок оконный из ПВХ двустворчатый</t>
  </si>
  <si>
    <t>[12 502,85 / 1,18 /  6,77]</t>
  </si>
  <si>
    <t>7</t>
  </si>
  <si>
    <t>10-01-034-02</t>
  </si>
  <si>
    <t>Установка в жилых и общественных зданиях оконных блоков из ПВХ профилей глухих с площадью проема более 2 м2</t>
  </si>
  <si>
    <t>ФЕР-2001, 10-01-034-02, приказ Минстроя России №1039/пр от 30.12.2016г.</t>
  </si>
  <si>
    <t>7,1</t>
  </si>
  <si>
    <t>11.3.02.03</t>
  </si>
  <si>
    <t>Блоки оконные пластиковые</t>
  </si>
  <si>
    <t>7,2</t>
  </si>
  <si>
    <t>Блок оконный из ПВХ одностворчатый</t>
  </si>
  <si>
    <t>[6 502,31 / 1,18 /  6,77]</t>
  </si>
  <si>
    <t>8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</si>
  <si>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</si>
  <si>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</si>
  <si>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</si>
  <si>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8,1</t>
  </si>
  <si>
    <t>11.3.03.01-0010</t>
  </si>
  <si>
    <t>Доски подоконные ПВХ, шириной 500 мм</t>
  </si>
  <si>
    <t>м</t>
  </si>
  <si>
    <t>ФССЦ-2001, 11.3.03.01-0010, приказ Минстроя России №1039/пр от 30.12.2016г.</t>
  </si>
  <si>
    <t>9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</si>
  <si>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</si>
  <si>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</si>
  <si>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</si>
  <si>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</si>
  <si>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</si>
  <si>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10</t>
  </si>
  <si>
    <t>61-7-1</t>
  </si>
  <si>
    <t>Ремонт штукатурки откосов внутри здания по камню и бетону цементно-известковым раствором прямолинейных</t>
  </si>
  <si>
    <t>ФЕРр-2001, 61-7-1, приказ Минстроя России №1039/пр от 30.12.2016г.</t>
  </si>
  <si>
    <t>Штукатрурные работы</t>
  </si>
  <si>
    <t>рФЕР-61</t>
  </si>
  <si>
    <t>10,1</t>
  </si>
  <si>
    <t>04.3.01.12-0111</t>
  </si>
  <si>
    <t>Раствор готовый отделочный тяжелый, цементно-известковый 1:1:6</t>
  </si>
  <si>
    <t>м3</t>
  </si>
  <si>
    <t>ФССЦ-2001, 04.3.01.12-0111, приказ Минстроя России №1039/пр от 30.12.2016г.</t>
  </si>
  <si>
    <t>10,2</t>
  </si>
  <si>
    <t>04.3.01.12-0006</t>
  </si>
  <si>
    <t>Раствор готовый кладочный цементно-известковый марки 150</t>
  </si>
  <si>
    <t>ФССЦ-2001, 04.3.01.12-0006, приказ Минстроя России №1039/пр от 30.12.2016г.</t>
  </si>
  <si>
    <t>11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</si>
  <si>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</si>
  <si>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</si>
  <si>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</si>
  <si>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</si>
  <si>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</si>
  <si>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11,1</t>
  </si>
  <si>
    <t>01.6.01.11</t>
  </si>
  <si>
    <t>Листы облицовочные декоративные</t>
  </si>
  <si>
    <t>11,2</t>
  </si>
  <si>
    <t>11.3.03.05-0011</t>
  </si>
  <si>
    <t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t>
  </si>
  <si>
    <t>ФССЦ-2001, 11.3.03.05-0011, приказ Минстроя России №1039/пр от 30.12.2016г.</t>
  </si>
  <si>
    <t>11,3</t>
  </si>
  <si>
    <t>14.1.06.05</t>
  </si>
  <si>
    <t>Клей</t>
  </si>
  <si>
    <t>кг</t>
  </si>
  <si>
    <t>11,4</t>
  </si>
  <si>
    <t>14.1.02.04-0102</t>
  </si>
  <si>
    <t>Клей Forbo 522, для укладки ПВХ-покрытий</t>
  </si>
  <si>
    <t>ФССЦ-2001, 14.1.02.04-0102, приказ Минстроя России №1039/пр от 30.12.2016г.</t>
  </si>
  <si>
    <t>11,5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</si>
  <si>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</si>
  <si>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</si>
  <si>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</si>
  <si>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11,6</t>
  </si>
  <si>
    <t>14.4.01.21</t>
  </si>
  <si>
    <t>Грунтовка</t>
  </si>
  <si>
    <t>12</t>
  </si>
  <si>
    <t>10-01-036-01</t>
  </si>
  <si>
    <t>Установка уголков ПВХ на клее</t>
  </si>
  <si>
    <t>ФЕР-2001, 10-01-036-01, приказ Минстроя России №1039/пр от 30.12.2016г.</t>
  </si>
  <si>
    <t>12,1</t>
  </si>
  <si>
    <t>11.3.03.13</t>
  </si>
  <si>
    <t>Уголок ПВХ</t>
  </si>
  <si>
    <t>П.М</t>
  </si>
  <si>
    <t>12,2</t>
  </si>
  <si>
    <t>11.3.03.13-0047</t>
  </si>
  <si>
    <t>Уголок ПВХ, размером 40х40 мм</t>
  </si>
  <si>
    <t>10 м</t>
  </si>
  <si>
    <t>ФССЦ-2001, 11.3.03.13-0047, приказ Минстроя России №1039/пр от 30.12.2016г.</t>
  </si>
  <si>
    <t>13</t>
  </si>
  <si>
    <t>09-06-001-02</t>
  </si>
  <si>
    <t>Демонтаж: Монтаж лотков, решеток, затворов из полосовой и тонколистовой стали</t>
  </si>
  <si>
    <t>ФЕР-2001, 09-06-001-02, приказ Минстроя России №1039/пр от 30.12.2016г.</t>
  </si>
  <si>
    <t>14</t>
  </si>
  <si>
    <t>Монтаж лотков, решеток, затворов из полосовой и тонколистовой стали</t>
  </si>
  <si>
    <t>14,1</t>
  </si>
  <si>
    <t>07.2.07.13</t>
  </si>
  <si>
    <t>Конструкции стальные</t>
  </si>
  <si>
    <t>14,2</t>
  </si>
  <si>
    <t>09.2.01.05-0061</t>
  </si>
  <si>
    <t>Решетки металлическая окрашенная распашная размером 1700х1300 мм  (прим.)</t>
  </si>
  <si>
    <t>шт.</t>
  </si>
  <si>
    <t>ФССЦ-2001, 09.2.01.05-0061, приказ Минстроя России №1039/пр от 30.12.2016г.</t>
  </si>
  <si>
    <t>15</t>
  </si>
  <si>
    <t>69-15-1</t>
  </si>
  <si>
    <t>Затаривание строительного мусора в мешки</t>
  </si>
  <si>
    <t>ФЕРр-2001, 69-15-1, приказ Минстроя России №1039/пр от 30.12.2016г.</t>
  </si>
  <si>
    <t>Прочие ремонтно-строительные работы</t>
  </si>
  <si>
    <t>рФЕР-69</t>
  </si>
  <si>
    <t>16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</si>
  <si>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</si>
  <si>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</si>
  <si>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</si>
  <si>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</si>
  <si>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</si>
  <si>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</si>
  <si>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</si>
  <si>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17</t>
  </si>
  <si>
    <t>т03-01-01-035</t>
  </si>
  <si>
    <t>Перевозка грузов I класса автомобилями бортовыми грузоподъемностью до 15 т на расстояние до 35 км</t>
  </si>
  <si>
    <t>ФССЦпг-2001, т03-01-01-035,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</si>
  <si>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</si>
  <si>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</si>
  <si>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</si>
  <si>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</si>
  <si>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</si>
  <si>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</si>
  <si>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</si>
  <si>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</si>
  <si>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</si>
  <si>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</si>
  <si>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</si>
  <si>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</si>
  <si>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</si>
  <si>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</si>
  <si>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</si>
  <si>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</si>
  <si>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</si>
  <si>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</si>
  <si>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</si>
  <si>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</si>
  <si>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</si>
  <si>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</si>
  <si>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</si>
  <si>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</si>
  <si>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</si>
  <si>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</si>
  <si>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</si>
  <si>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</si>
  <si>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</si>
  <si>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</si>
  <si>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</si>
  <si>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</si>
  <si>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</si>
  <si>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</si>
  <si>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</si>
  <si>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</si>
  <si>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</si>
  <si>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</si>
  <si>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</si>
  <si>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</si>
  <si>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</si>
  <si>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</si>
  <si>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</si>
  <si>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</si>
  <si>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</si>
  <si>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</si>
  <si>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</si>
  <si>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</si>
  <si>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</si>
  <si>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</si>
  <si>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</si>
  <si>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</si>
  <si>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</si>
  <si>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</si>
  <si>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</si>
  <si>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</si>
  <si>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</si>
  <si>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20 %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</si>
  <si>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</si>
  <si>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</si>
  <si>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</si>
  <si>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</si>
  <si>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</si>
  <si>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</si>
  <si>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</si>
  <si>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</si>
  <si>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</si>
  <si>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</si>
  <si>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</si>
  <si>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</si>
  <si>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</si>
  <si>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</si>
  <si>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</si>
  <si>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</si>
  <si>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</si>
  <si>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</si>
  <si>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</si>
  <si>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</si>
  <si>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</si>
  <si>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</si>
  <si>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</si>
  <si>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</si>
  <si>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</si>
  <si>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</si>
  <si>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</si>
  <si>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</si>
  <si>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</si>
  <si>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</si>
  <si>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</si>
  <si>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</si>
  <si>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</si>
  <si>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</si>
  <si>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</si>
  <si>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</si>
  <si>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</si>
  <si>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</si>
  <si>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</si>
  <si>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</si>
  <si>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</si>
  <si>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</si>
  <si>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</si>
  <si>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</si>
  <si>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</si>
  <si>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</si>
  <si>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</si>
  <si>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</si>
  <si>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</si>
  <si>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</si>
  <si>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</si>
  <si>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</si>
  <si>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</si>
  <si>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</si>
  <si>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</si>
  <si>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</si>
  <si>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</si>
  <si>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</si>
  <si>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</si>
  <si>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</si>
  <si>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</si>
  <si>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</si>
  <si>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</si>
  <si>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</si>
  <si>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</si>
  <si>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</si>
  <si>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</si>
  <si>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1-100-34</t>
  </si>
  <si>
    <t>Рабочий среднего разряда 3.4</t>
  </si>
  <si>
    <t>чел.-ч.</t>
  </si>
  <si>
    <t>1-100-24</t>
  </si>
  <si>
    <t>Рабочий среднего разряда 2.4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</si>
  <si>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</si>
  <si>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</si>
  <si>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</si>
  <si>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</si>
  <si>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</si>
  <si>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</si>
  <si>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1-100-35</t>
  </si>
  <si>
    <t>Рабочий среднего разряда 3.5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</si>
  <si>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</si>
  <si>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</si>
  <si>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</si>
  <si>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91.05.08-007</t>
  </si>
  <si>
    <t>ФСЭМ-2001, 91.05.08-007, приказ Минстроя России №1039/пр от 30.12.2016г.</t>
  </si>
  <si>
    <t>Краны на пневмоколесном ходу, грузоподъемность 25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</si>
  <si>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</si>
  <si>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</si>
  <si>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</si>
  <si>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</si>
  <si>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</si>
  <si>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</si>
  <si>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</si>
  <si>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</si>
  <si>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</si>
  <si>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</si>
  <si>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</si>
  <si>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</si>
  <si>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</si>
  <si>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</si>
  <si>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</si>
  <si>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</si>
  <si>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</si>
  <si>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</si>
  <si>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</si>
  <si>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</si>
  <si>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</si>
  <si>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01.7.15.06-0111</t>
  </si>
  <si>
    <t>ФССЦ-2001, 01.7.15.06-0111, приказ Минстроя России №1039/пр от 30.12.2016г.</t>
  </si>
  <si>
    <t>Гвозди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</si>
  <si>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</si>
  <si>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</si>
  <si>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</si>
  <si>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</si>
  <si>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</si>
  <si>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</si>
  <si>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</si>
  <si>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</si>
  <si>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</si>
  <si>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</si>
  <si>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</si>
  <si>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</si>
  <si>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</si>
  <si>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</si>
  <si>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</si>
  <si>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</si>
  <si>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</si>
  <si>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</si>
  <si>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1-100-20</t>
  </si>
  <si>
    <t>Рабочий среднего разряда 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</si>
  <si>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</si>
  <si>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</si>
  <si>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</si>
  <si>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1-100-32</t>
  </si>
  <si>
    <t>Рабочий среднего разряда 3.2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</si>
  <si>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</si>
  <si>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</si>
  <si>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</si>
  <si>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</si>
  <si>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</si>
  <si>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</si>
  <si>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</si>
  <si>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</si>
  <si>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</si>
  <si>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</si>
  <si>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</si>
  <si>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</si>
  <si>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</si>
  <si>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</si>
  <si>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</si>
  <si>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</si>
  <si>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</si>
  <si>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</si>
  <si>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</si>
  <si>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</si>
  <si>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1-100-30</t>
  </si>
  <si>
    <t>Рабочий среднего разряда 3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</si>
  <si>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</si>
  <si>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</si>
  <si>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</si>
  <si>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</si>
  <si>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</si>
  <si>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</si>
  <si>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</si>
  <si>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</si>
  <si>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</si>
  <si>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</si>
  <si>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</si>
  <si>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</si>
  <si>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01.7.03.01-0001</t>
  </si>
  <si>
    <t>ФССЦ-2001, 01.7.03.01-0001, приказ Минстроя России №1039/пр от 30.12.2016г.</t>
  </si>
  <si>
    <t>Вода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</si>
  <si>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</si>
  <si>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</si>
  <si>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</si>
  <si>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</si>
  <si>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</si>
  <si>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14.1.04.02-0011</t>
  </si>
  <si>
    <t>ФССЦ-2001, 14.1.04.02-0011, приказ Минстроя России №1039/пр от 30.12.2016г.</t>
  </si>
  <si>
    <t>Клей резиновый № 88-Н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</si>
  <si>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</si>
  <si>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</si>
  <si>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</si>
  <si>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</si>
  <si>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</si>
  <si>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</si>
  <si>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</si>
  <si>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</si>
  <si>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</si>
  <si>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</si>
  <si>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</si>
  <si>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</si>
  <si>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21.1.05.04</t>
  </si>
  <si>
    <t>Кабель для систем кондиционирования</t>
  </si>
  <si>
    <t>1000 м</t>
  </si>
  <si>
    <t>1000 М</t>
  </si>
  <si>
    <t>08.1.02.03</t>
  </si>
  <si>
    <t>Элементы крепления нащельников и деталей обрамления (самонарезающиеся винты, заклепки т.д.)</t>
  </si>
  <si>
    <t>09.4.03.06</t>
  </si>
  <si>
    <t>Блоки оконные из алюминиевых сплавов</t>
  </si>
  <si>
    <t>09.4.03.11</t>
  </si>
  <si>
    <t>Нащельники и детали обрамления из алюминиевых сплавов</t>
  </si>
  <si>
    <t>01.7.07.07</t>
  </si>
  <si>
    <t>Строительный мусор</t>
  </si>
  <si>
    <t>11.3.03.01</t>
  </si>
  <si>
    <t>Доски подоконные ПВХ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</si>
  <si>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</si>
  <si>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</si>
  <si>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</si>
  <si>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</si>
  <si>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</si>
  <si>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</si>
  <si>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</si>
  <si>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</si>
  <si>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</si>
  <si>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</si>
  <si>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</si>
  <si>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</si>
  <si>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</si>
  <si>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</si>
  <si>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</si>
  <si>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</si>
  <si>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</si>
  <si>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</si>
  <si>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</si>
  <si>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</si>
  <si>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</si>
  <si>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</si>
  <si>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</si>
  <si>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</si>
  <si>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</si>
  <si>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</si>
  <si>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</si>
  <si>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</si>
  <si>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</si>
  <si>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</si>
  <si>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</si>
  <si>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</si>
  <si>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</si>
  <si>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r>
      <t>Блок оконный из ПВХ трехстворчатый</t>
    </r>
    <r>
      <rPr>
        <i/>
        <sz val="10"/>
        <rFont val="Arial"/>
        <family val="2"/>
        <charset val="204"/>
      </rPr>
      <t xml:space="preserve">
Базисная стоимость: 1 770,23 = [14 141,67 / 1,18 /  6,77]</t>
    </r>
  </si>
  <si>
    <r>
      <t>Блок оконный из ПВХ двустворчатый</t>
    </r>
    <r>
      <rPr>
        <i/>
        <sz val="10"/>
        <rFont val="Arial"/>
        <family val="2"/>
        <charset val="204"/>
      </rPr>
      <t xml:space="preserve">
Базисная стоимость: 1 565,09 = [12 502,85 / 1,18 /  6,77]</t>
    </r>
  </si>
  <si>
    <r>
      <t>Блок оконный из ПВХ одностворчатый</t>
    </r>
    <r>
      <rPr>
        <i/>
        <sz val="10"/>
        <rFont val="Arial"/>
        <family val="2"/>
        <charset val="204"/>
      </rPr>
      <t xml:space="preserve">
Базисная стоимость: 813,95 = [6 502,31 / 1,18 /  6,77]</t>
    </r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</si>
  <si>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</si>
  <si>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</si>
  <si>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</si>
  <si>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</si>
  <si>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</si>
  <si>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</si>
  <si>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</si>
  <si>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</si>
  <si>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</si>
  <si>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</si>
  <si>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</si>
  <si>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</si>
  <si>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</si>
  <si>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</si>
  <si>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</si>
  <si>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</si>
  <si>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</si>
  <si>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</si>
  <si>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</si>
  <si>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</si>
  <si>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</si>
  <si>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</si>
  <si>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</si>
  <si>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</si>
  <si>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</si>
  <si>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</si>
  <si>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</si>
  <si>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</si>
  <si>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</si>
  <si>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</si>
  <si>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</si>
  <si>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</si>
  <si>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</si>
  <si>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</si>
  <si>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</si>
  <si>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</si>
  <si>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</si>
  <si>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</si>
  <si>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</si>
  <si>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</si>
  <si>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</si>
  <si>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</si>
  <si>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</si>
  <si>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</si>
  <si>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</si>
  <si>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</si>
  <si>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</si>
  <si>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</si>
  <si>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</si>
  <si>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</t>
  </si>
  <si>
    <t>% НР с поправкой</t>
  </si>
  <si>
    <t>% СП</t>
  </si>
  <si>
    <t>СП с поправкой</t>
  </si>
  <si>
    <t xml:space="preserve">Итого с НР и СП </t>
  </si>
  <si>
    <t>Исключен
Раствор готовый отделочный тяжелый, цементно-известковый 1:1:6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</si>
  <si>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</si>
  <si>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</si>
  <si>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</si>
  <si>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</si>
  <si>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</si>
  <si>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</si>
  <si>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</si>
  <si>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</si>
  <si>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</si>
  <si>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</si>
  <si>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</si>
  <si>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</si>
  <si>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</si>
  <si>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</si>
  <si>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</si>
  <si>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</si>
  <si>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</si>
  <si>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</si>
  <si>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</si>
  <si>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</si>
  <si>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</si>
  <si>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</si>
  <si>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</si>
  <si>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</si>
  <si>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</si>
  <si>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>Итого</t>
  </si>
  <si>
    <t xml:space="preserve">Сумма НДС </t>
  </si>
  <si>
    <t xml:space="preserve">Всего с учетом НДС </t>
  </si>
  <si>
    <t>МП</t>
  </si>
  <si>
    <t>СМЕТА</t>
  </si>
  <si>
    <t>Составлена в ценах IV квартал 2018 года</t>
  </si>
  <si>
    <t>на  ремонт  оконных проёмов с заменой оконных блоков на оконные блоки из ПВХ в помещениях  подвала, 2-го этажа,  3-го этажа,  4-го этажа лабораторного корпуса  А НИЯУ МИФИ по адресу: г. Москва, Каширское шоссе, д. 31, стр. 2</t>
  </si>
  <si>
    <t>Приложение 1 к Приложению 4 к извещению о проведении открытого аукциона в электронной форме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</si>
</sst>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164" fontId="0" fillId="0" borderId="0" xfId="0" applyNumberFormat="1"/>
    <xf numFmtId="0" fontId="13" fillId="0" borderId="2" xfId="0" applyFont="1" applyBorder="1"/>
    <xf numFmtId="0" fontId="11" fillId="0" borderId="0" xfId="0" applyFont="1" applyAlignment="1">
      <alignment wrapText="1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6" xfId="0" applyFont="1" applyBorder="1" applyAlignment="1">
      <alignment horizontal="center"/>
    </xf>
    <xf numFmtId="14" fontId="13" fillId="0" borderId="0" xfId="0" applyNumberFormat="1" applyFont="1"/>
    <xf numFmtId="0" fontId="13" fillId="0" borderId="5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3" fillId="0" borderId="2" xfId="0" applyFont="1" applyBorder="1" applyAlignment="1">
      <alignment horizontal="left"/>
    </xf>
    <xf numFmtId="0" fontId="12" fillId="0" borderId="0" xfId="0" applyFont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5" xfId="0" quotePrefix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1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2" fillId="0" borderId="15" xfId="0" applyFont="1" applyBorder="1" applyAlignment="1">
      <alignment horizontal="center" vertical="top" shrinkToFit="1"/>
    </xf>
    <xf numFmtId="0" fontId="12" fillId="0" borderId="0" xfId="0" applyFont="1"/>
    <xf numFmtId="0" fontId="13" fillId="0" borderId="2" xfId="0" applyFont="1" applyBorder="1"/>
    <xf numFmtId="0" fontId="13" fillId="0" borderId="5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13" fillId="0" borderId="16" xfId="0" applyFont="1" applyBorder="1" applyAlignment="1">
      <alignment horizontal="right"/>
    </xf>
    <xf numFmtId="0" fontId="13" fillId="0" borderId="4" xfId="0" applyFont="1" applyBorder="1"/>
    <xf numFmtId="0" fontId="13" fillId="0" borderId="11" xfId="0" applyFont="1" applyBorder="1"/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14" fontId="13" fillId="0" borderId="16" xfId="0" applyNumberFormat="1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right" vertical="center" wrapText="1" shrinkToFit="1"/>
    </xf>
    <xf numFmtId="164" fontId="13" fillId="0" borderId="4" xfId="0" applyNumberFormat="1" applyFont="1" applyBorder="1" applyAlignment="1">
      <alignment horizontal="right" vertical="center" wrapText="1" shrinkToFit="1"/>
    </xf>
    <xf numFmtId="0" fontId="13" fillId="0" borderId="11" xfId="0" applyFont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justify" vertical="top" wrapText="1" shrinkToFit="1"/>
    </xf>
    <xf numFmtId="164" fontId="13" fillId="0" borderId="5" xfId="0" applyNumberFormat="1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wrapText="1" shrinkToFit="1"/>
    </xf>
    <xf numFmtId="0" fontId="13" fillId="0" borderId="6" xfId="0" applyFont="1" applyBorder="1" applyAlignment="1">
      <alignment horizontal="right" wrapText="1" shrinkToFit="1"/>
    </xf>
    <xf numFmtId="0" fontId="13" fillId="0" borderId="4" xfId="0" applyFont="1" applyBorder="1" applyAlignment="1">
      <alignment horizontal="justify" vertical="top" wrapText="1" shrinkToFit="1"/>
    </xf>
    <xf numFmtId="0" fontId="13" fillId="0" borderId="1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right"/>
    </xf>
    <xf numFmtId="164" fontId="13" fillId="0" borderId="5" xfId="0" applyNumberFormat="1" applyFont="1" applyBorder="1" applyAlignment="1">
      <alignment horizontal="right"/>
    </xf>
    <xf numFmtId="164" fontId="13" fillId="0" borderId="5" xfId="0" applyNumberFormat="1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right" vertical="center" wrapText="1" shrinkToFit="1"/>
    </xf>
    <xf numFmtId="0" fontId="13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top" shrinkToFit="1"/>
    </xf>
    <xf numFmtId="0" fontId="0" fillId="0" borderId="0" xfId="0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85"/>
  <sheetViews>
    <sheetView tabSelected="1" zoomScaleNormal="100" workbookViewId="0">
      <selection activeCell="L6" sqref="L6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ht="25.5" customHeight="1" x14ac:dyDescent="0.2">
      <c r="A1" s="12" t="str">
        <f>Source!B1</f>
        <v>Smeta.RU  (495) 974-1589</v>
      </c>
      <c r="I1" s="164" t="s">
        <v>573</v>
      </c>
      <c r="J1" s="164"/>
      <c r="K1" s="164"/>
    </row>
    <row r="2" spans="1:30" ht="14.25" x14ac:dyDescent="0.2">
      <c r="A2" s="13"/>
      <c r="B2" s="13"/>
      <c r="C2" s="13"/>
      <c r="D2" s="13"/>
      <c r="E2" s="13"/>
      <c r="F2" s="13"/>
      <c r="G2" s="13"/>
      <c r="H2" s="13"/>
      <c r="I2" s="164"/>
      <c r="J2" s="164"/>
      <c r="K2" s="164"/>
      <c r="L2" s="14"/>
    </row>
    <row r="6" spans="1:30" ht="15.75" x14ac:dyDescent="0.25">
      <c r="A6" s="17"/>
      <c r="B6" s="78" t="s">
        <v>570</v>
      </c>
      <c r="C6" s="78"/>
      <c r="D6" s="78"/>
      <c r="E6" s="78"/>
      <c r="F6" s="78"/>
      <c r="G6" s="78"/>
      <c r="H6" s="78"/>
      <c r="I6" s="78"/>
      <c r="J6" s="78"/>
      <c r="K6" s="78"/>
      <c r="L6" s="17"/>
    </row>
    <row r="7" spans="1:30" ht="15.75" x14ac:dyDescent="0.25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7"/>
    </row>
    <row r="8" spans="1:30" ht="18" hidden="1" x14ac:dyDescent="0.25">
      <c r="A8" s="17"/>
      <c r="B8" s="79" t="str">
        <f>IF(Source!G20&lt;&gt;"Новая локальная смета", Source!G20, "")</f>
        <v/>
      </c>
      <c r="C8" s="79"/>
      <c r="D8" s="79"/>
      <c r="E8" s="79"/>
      <c r="F8" s="79"/>
      <c r="G8" s="79"/>
      <c r="H8" s="79"/>
      <c r="I8" s="79"/>
      <c r="J8" s="79"/>
      <c r="K8" s="79"/>
      <c r="L8" s="17"/>
    </row>
    <row r="9" spans="1:30" ht="14.25" hidden="1" x14ac:dyDescent="0.2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spans="1:30" ht="54" x14ac:dyDescent="0.25">
      <c r="A10" s="14"/>
      <c r="B10" s="80" t="str">
        <f>IF(Source!G12&lt;&gt;"Новый объект", Source!G12, "")</f>
        <v>на  ремонт  оконных проёмов с заменой оконных блоков на оконные блоки из ПВХ в помещениях  подвала, 2-го этажа,  3-го этажа,  4-го этажа лабораторного корпуса  А НИЯУ МИФИ по адресу: г. Москва, Каширское шоссе, д. 31, стр. 2</v>
      </c>
      <c r="C10" s="80"/>
      <c r="D10" s="80"/>
      <c r="E10" s="80"/>
      <c r="F10" s="80"/>
      <c r="G10" s="80"/>
      <c r="H10" s="80"/>
      <c r="I10" s="80"/>
      <c r="J10" s="80"/>
      <c r="K10" s="80"/>
      <c r="L10" s="19"/>
      <c r="AD10" s="55" t="str">
        <f>IF(Source!G12&lt;&gt;"Новый объект", Source!G12, "")</f>
        <v>на  ремонт  оконных проёмов с заменой оконных блоков на оконные блоки из ПВХ в помещениях  подвала, 2-го этажа,  3-го этажа,  4-го этажа лабораторного корпуса  А НИЯУ МИФИ по адресу: г. Москва, Каширское шоссе, д. 31, стр. 2</v>
      </c>
    </row>
    <row r="11" spans="1:30" ht="14.25" x14ac:dyDescent="0.2">
      <c r="A11" s="14"/>
      <c r="B11" s="81" t="s">
        <v>451</v>
      </c>
      <c r="C11" s="81"/>
      <c r="D11" s="81"/>
      <c r="E11" s="81"/>
      <c r="F11" s="81"/>
      <c r="G11" s="81"/>
      <c r="H11" s="81"/>
      <c r="I11" s="81"/>
      <c r="J11" s="81"/>
      <c r="K11" s="81"/>
      <c r="L11" s="16"/>
    </row>
    <row r="12" spans="1:30" ht="14.25" x14ac:dyDescent="0.2">
      <c r="A12" s="82" t="str">
        <f>CONCATENATE("Основание: ", Source!J20)</f>
        <v xml:space="preserve">Основание: 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30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30" ht="14.25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30" ht="14.25" x14ac:dyDescent="0.2">
      <c r="A15" s="14"/>
      <c r="B15" s="14"/>
      <c r="C15" s="14"/>
      <c r="D15" s="14"/>
      <c r="E15" s="20"/>
      <c r="F15" s="20"/>
      <c r="G15" s="83" t="s">
        <v>452</v>
      </c>
      <c r="H15" s="83"/>
      <c r="I15" s="83" t="s">
        <v>453</v>
      </c>
      <c r="J15" s="83"/>
      <c r="K15" s="14"/>
      <c r="L15" s="14"/>
    </row>
    <row r="16" spans="1:30" ht="15" x14ac:dyDescent="0.25">
      <c r="A16" s="14"/>
      <c r="B16" s="14"/>
      <c r="C16" s="75" t="s">
        <v>454</v>
      </c>
      <c r="D16" s="75"/>
      <c r="E16" s="75"/>
      <c r="F16" s="75"/>
      <c r="G16" s="76">
        <f>SUM(O27:O182)/1000</f>
        <v>779.52945999999997</v>
      </c>
      <c r="H16" s="76"/>
      <c r="I16" s="76">
        <f>(Source!P123/1000)</f>
        <v>6333.3054400000001</v>
      </c>
      <c r="J16" s="76"/>
      <c r="K16" s="77" t="s">
        <v>455</v>
      </c>
      <c r="L16" s="77"/>
    </row>
    <row r="17" spans="1:26" ht="14.25" x14ac:dyDescent="0.2">
      <c r="A17" s="14"/>
      <c r="B17" s="14"/>
      <c r="C17" s="84" t="s">
        <v>456</v>
      </c>
      <c r="D17" s="84"/>
      <c r="E17" s="84"/>
      <c r="F17" s="84"/>
      <c r="G17" s="76">
        <f>SUM(W27:W182)/1000</f>
        <v>779.52946000000009</v>
      </c>
      <c r="H17" s="76"/>
      <c r="I17" s="76">
        <f>(Source!P110)/1000</f>
        <v>5277.7545300000002</v>
      </c>
      <c r="J17" s="76"/>
      <c r="K17" s="77" t="s">
        <v>455</v>
      </c>
      <c r="L17" s="77"/>
    </row>
    <row r="18" spans="1:26" ht="14.25" x14ac:dyDescent="0.2">
      <c r="A18" s="14"/>
      <c r="B18" s="14"/>
      <c r="C18" s="84" t="s">
        <v>457</v>
      </c>
      <c r="D18" s="84"/>
      <c r="E18" s="84"/>
      <c r="F18" s="84"/>
      <c r="G18" s="76">
        <f>SUM(X27:X182)/1000</f>
        <v>0</v>
      </c>
      <c r="H18" s="76"/>
      <c r="I18" s="76">
        <f>(Source!P111)/1000</f>
        <v>0</v>
      </c>
      <c r="J18" s="76"/>
      <c r="K18" s="77" t="s">
        <v>455</v>
      </c>
      <c r="L18" s="77"/>
    </row>
    <row r="19" spans="1:26" ht="14.25" x14ac:dyDescent="0.2">
      <c r="A19" s="14"/>
      <c r="B19" s="14"/>
      <c r="C19" s="84" t="s">
        <v>458</v>
      </c>
      <c r="D19" s="84"/>
      <c r="E19" s="84"/>
      <c r="F19" s="84"/>
      <c r="G19" s="76">
        <f>SUM(Y27:Y182)/1000</f>
        <v>0</v>
      </c>
      <c r="H19" s="76"/>
      <c r="I19" s="76">
        <f>(Source!P102)/1000</f>
        <v>0</v>
      </c>
      <c r="J19" s="76"/>
      <c r="K19" s="77" t="s">
        <v>455</v>
      </c>
      <c r="L19" s="77"/>
    </row>
    <row r="20" spans="1:26" ht="14.25" x14ac:dyDescent="0.2">
      <c r="A20" s="14"/>
      <c r="B20" s="14"/>
      <c r="C20" s="84" t="s">
        <v>459</v>
      </c>
      <c r="D20" s="84"/>
      <c r="E20" s="84"/>
      <c r="F20" s="84"/>
      <c r="G20" s="76">
        <f>SUM(Z27:Z182)/1000</f>
        <v>0</v>
      </c>
      <c r="H20" s="76"/>
      <c r="I20" s="76">
        <f>(Source!P112+Source!P113)/1000</f>
        <v>0</v>
      </c>
      <c r="J20" s="76"/>
      <c r="K20" s="77" t="s">
        <v>455</v>
      </c>
      <c r="L20" s="77"/>
    </row>
    <row r="21" spans="1:26" ht="15" x14ac:dyDescent="0.25">
      <c r="A21" s="14"/>
      <c r="B21" s="14"/>
      <c r="C21" s="75" t="s">
        <v>460</v>
      </c>
      <c r="D21" s="75"/>
      <c r="E21" s="75"/>
      <c r="F21" s="75"/>
      <c r="G21" s="76">
        <f>I21</f>
        <v>2214.8040923700005</v>
      </c>
      <c r="H21" s="76"/>
      <c r="I21" s="76">
        <f>(Source!P115+Source!P116)</f>
        <v>2214.8040923700005</v>
      </c>
      <c r="J21" s="76"/>
      <c r="K21" s="77" t="s">
        <v>461</v>
      </c>
      <c r="L21" s="77"/>
    </row>
    <row r="22" spans="1:26" ht="15" x14ac:dyDescent="0.25">
      <c r="A22" s="14"/>
      <c r="B22" s="14"/>
      <c r="C22" s="75" t="s">
        <v>462</v>
      </c>
      <c r="D22" s="75"/>
      <c r="E22" s="75"/>
      <c r="F22" s="75"/>
      <c r="G22" s="76">
        <f>SUM(R27:R182)/1000</f>
        <v>19.622669999999999</v>
      </c>
      <c r="H22" s="76"/>
      <c r="I22" s="76">
        <f>((Source!P108 + Source!P107)/1000)</f>
        <v>132.84542999999999</v>
      </c>
      <c r="J22" s="76"/>
      <c r="K22" s="77" t="s">
        <v>455</v>
      </c>
      <c r="L22" s="77"/>
    </row>
    <row r="23" spans="1:26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26" ht="14.25" x14ac:dyDescent="0.2">
      <c r="A24" s="90" t="s">
        <v>571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</row>
    <row r="25" spans="1:26" ht="57" x14ac:dyDescent="0.2">
      <c r="A25" s="21" t="s">
        <v>463</v>
      </c>
      <c r="B25" s="21" t="s">
        <v>464</v>
      </c>
      <c r="C25" s="21" t="s">
        <v>465</v>
      </c>
      <c r="D25" s="21" t="s">
        <v>466</v>
      </c>
      <c r="E25" s="21" t="s">
        <v>467</v>
      </c>
      <c r="F25" s="21" t="s">
        <v>468</v>
      </c>
      <c r="G25" s="21" t="s">
        <v>469</v>
      </c>
      <c r="H25" s="21" t="s">
        <v>470</v>
      </c>
      <c r="I25" s="21" t="s">
        <v>471</v>
      </c>
      <c r="J25" s="21" t="s">
        <v>472</v>
      </c>
      <c r="K25" s="21" t="s">
        <v>473</v>
      </c>
      <c r="L25" s="21" t="s">
        <v>474</v>
      </c>
    </row>
    <row r="26" spans="1:26" ht="14.25" x14ac:dyDescent="0.2">
      <c r="A26" s="22">
        <v>1</v>
      </c>
      <c r="B26" s="22">
        <v>2</v>
      </c>
      <c r="C26" s="22">
        <v>3</v>
      </c>
      <c r="D26" s="22">
        <v>4</v>
      </c>
      <c r="E26" s="22">
        <v>5</v>
      </c>
      <c r="F26" s="22">
        <v>6</v>
      </c>
      <c r="G26" s="22">
        <v>7</v>
      </c>
      <c r="H26" s="22">
        <v>8</v>
      </c>
      <c r="I26" s="22">
        <v>9</v>
      </c>
      <c r="J26" s="22">
        <v>10</v>
      </c>
      <c r="K26" s="22">
        <v>11</v>
      </c>
      <c r="L26" s="23">
        <v>12</v>
      </c>
    </row>
    <row r="27" spans="1:26" ht="28.5" x14ac:dyDescent="0.2">
      <c r="A27" s="50" t="str">
        <f>Source!E25</f>
        <v>1</v>
      </c>
      <c r="B27" s="51" t="str">
        <f>Source!F25</f>
        <v>20-06-018-01</v>
      </c>
      <c r="C27" s="51" t="str">
        <f>Source!G25</f>
        <v>Демонтаж: Установка кондиционеров оконных мощностью до 3 кВт</v>
      </c>
      <c r="D27" s="32" t="str">
        <f>Source!H25</f>
        <v>ШТ</v>
      </c>
      <c r="E27" s="13">
        <f>Source!I25</f>
        <v>4</v>
      </c>
      <c r="F27" s="33">
        <f>Source!AL25+Source!AM25+Source!AO25</f>
        <v>17.04</v>
      </c>
      <c r="G27" s="34"/>
      <c r="H27" s="35"/>
      <c r="I27" s="34" t="str">
        <f>Source!BO25</f>
        <v/>
      </c>
      <c r="J27" s="34"/>
      <c r="K27" s="35"/>
      <c r="L27" s="36"/>
      <c r="S27">
        <f>ROUND((Source!FX25/100)*((ROUND(Source!AF25*Source!I25, 2)+ROUND(Source!AE25*Source!I25, 2))), 2)</f>
        <v>31.4</v>
      </c>
      <c r="T27">
        <f>Source!X25</f>
        <v>212.27</v>
      </c>
      <c r="U27">
        <f>ROUND((Source!FY25/100)*((ROUND(Source!AF25*Source!I25, 2)+ROUND(Source!AE25*Source!I25, 2))), 2)</f>
        <v>19.23</v>
      </c>
      <c r="V27">
        <f>Source!Y25</f>
        <v>131.05000000000001</v>
      </c>
    </row>
    <row r="28" spans="1:26" ht="14.25" x14ac:dyDescent="0.2">
      <c r="A28" s="50"/>
      <c r="B28" s="51"/>
      <c r="C28" s="51" t="s">
        <v>475</v>
      </c>
      <c r="D28" s="32"/>
      <c r="E28" s="13"/>
      <c r="F28" s="33">
        <f>Source!AO25</f>
        <v>17.04</v>
      </c>
      <c r="G28" s="34" t="str">
        <f>Source!DG25</f>
        <v>)*0,4</v>
      </c>
      <c r="H28" s="35">
        <f>ROUND(Source!AF25*Source!I25, 2)</f>
        <v>27.26</v>
      </c>
      <c r="I28" s="34"/>
      <c r="J28" s="34">
        <f>IF(Source!BA25&lt;&gt; 0, Source!BA25, 1)</f>
        <v>6.77</v>
      </c>
      <c r="K28" s="35">
        <f>Source!S25</f>
        <v>184.58</v>
      </c>
      <c r="L28" s="36"/>
      <c r="R28">
        <f>H28</f>
        <v>27.26</v>
      </c>
    </row>
    <row r="29" spans="1:26" ht="14.25" x14ac:dyDescent="0.2">
      <c r="A29" s="50"/>
      <c r="B29" s="51"/>
      <c r="C29" s="51" t="s">
        <v>476</v>
      </c>
      <c r="D29" s="32" t="s">
        <v>477</v>
      </c>
      <c r="E29" s="13">
        <f>Source!BZ25</f>
        <v>128</v>
      </c>
      <c r="F29" s="85" t="str">
        <f>CONCATENATE(" )", Source!DL25, Source!FT25, "=", Source!FX25)</f>
        <v xml:space="preserve"> )*0,9=115,2</v>
      </c>
      <c r="G29" s="86"/>
      <c r="H29" s="35">
        <f>SUM(S27:S31)</f>
        <v>31.4</v>
      </c>
      <c r="I29" s="37"/>
      <c r="J29" s="30">
        <f>Source!AT25</f>
        <v>115</v>
      </c>
      <c r="K29" s="35">
        <f>SUM(T27:T31)</f>
        <v>212.27</v>
      </c>
      <c r="L29" s="36"/>
    </row>
    <row r="30" spans="1:26" ht="14.25" x14ac:dyDescent="0.2">
      <c r="A30" s="50"/>
      <c r="B30" s="51"/>
      <c r="C30" s="51" t="s">
        <v>478</v>
      </c>
      <c r="D30" s="32" t="s">
        <v>477</v>
      </c>
      <c r="E30" s="13">
        <f>Source!CA25</f>
        <v>83</v>
      </c>
      <c r="F30" s="85" t="str">
        <f>CONCATENATE(" )", Source!DM25, Source!FU25, "=", Source!FY25)</f>
        <v xml:space="preserve"> )*0,85=70,55</v>
      </c>
      <c r="G30" s="86"/>
      <c r="H30" s="35">
        <f>SUM(U27:U31)</f>
        <v>19.23</v>
      </c>
      <c r="I30" s="37"/>
      <c r="J30" s="30">
        <f>Source!AU25</f>
        <v>71</v>
      </c>
      <c r="K30" s="35">
        <f>SUM(V27:V31)</f>
        <v>131.05000000000001</v>
      </c>
      <c r="L30" s="36"/>
    </row>
    <row r="31" spans="1:26" ht="14.25" x14ac:dyDescent="0.2">
      <c r="A31" s="52"/>
      <c r="B31" s="53"/>
      <c r="C31" s="53" t="s">
        <v>479</v>
      </c>
      <c r="D31" s="38" t="s">
        <v>480</v>
      </c>
      <c r="E31" s="39">
        <f>Source!AQ25</f>
        <v>1.9</v>
      </c>
      <c r="F31" s="40"/>
      <c r="G31" s="41" t="str">
        <f>Source!DI25</f>
        <v>)*0,4</v>
      </c>
      <c r="H31" s="42"/>
      <c r="I31" s="41"/>
      <c r="J31" s="41"/>
      <c r="K31" s="42"/>
      <c r="L31" s="43">
        <f>Source!U25</f>
        <v>3.04</v>
      </c>
    </row>
    <row r="32" spans="1:26" ht="15" x14ac:dyDescent="0.25">
      <c r="G32" s="87">
        <f>H28+H29+H30</f>
        <v>77.89</v>
      </c>
      <c r="H32" s="87"/>
      <c r="J32" s="87">
        <f>K28+K29+K30</f>
        <v>527.90000000000009</v>
      </c>
      <c r="K32" s="87"/>
      <c r="L32" s="44">
        <f>Source!U25</f>
        <v>3.04</v>
      </c>
      <c r="O32" s="26">
        <f>G32</f>
        <v>77.89</v>
      </c>
      <c r="P32" s="26">
        <f>J32</f>
        <v>527.90000000000009</v>
      </c>
      <c r="Q32" s="26">
        <f>L32</f>
        <v>3.04</v>
      </c>
      <c r="W32">
        <f>IF(Source!BI25&lt;=1,H28+H29+H30, 0)</f>
        <v>77.89</v>
      </c>
      <c r="X32">
        <f>IF(Source!BI25=2,H28+H29+H30, 0)</f>
        <v>0</v>
      </c>
      <c r="Y32">
        <f>IF(Source!BI25=3,H28+H29+H30, 0)</f>
        <v>0</v>
      </c>
      <c r="Z32">
        <f>IF(Source!BI25=4,H28+H29+H30, 0)</f>
        <v>0</v>
      </c>
    </row>
    <row r="33" spans="1:26" ht="42.75" x14ac:dyDescent="0.2">
      <c r="A33" s="50" t="str">
        <f>Source!E27</f>
        <v>2</v>
      </c>
      <c r="B33" s="51" t="str">
        <f>Source!F27</f>
        <v>46-04-012-01</v>
      </c>
      <c r="C33" s="51" t="str">
        <f>Source!G27</f>
        <v>Разборка деревянных заполнений проемов оконных с подоконными досками</v>
      </c>
      <c r="D33" s="32" t="str">
        <f>Source!H27</f>
        <v>100 м2</v>
      </c>
      <c r="E33" s="13">
        <f>Source!I27</f>
        <v>1.6119000000000001</v>
      </c>
      <c r="F33" s="33">
        <f>Source!AL27+Source!AM27+Source!AO27</f>
        <v>1767.24</v>
      </c>
      <c r="G33" s="34"/>
      <c r="H33" s="35"/>
      <c r="I33" s="34" t="str">
        <f>Source!BO27</f>
        <v/>
      </c>
      <c r="J33" s="34"/>
      <c r="K33" s="35"/>
      <c r="L33" s="36"/>
      <c r="S33">
        <f>ROUND((Source!FX27/100)*((ROUND(Source!AF27*Source!I27, 2)+ROUND(Source!AE27*Source!I27, 2))), 2)</f>
        <v>2600.77</v>
      </c>
      <c r="T33">
        <f>Source!X27</f>
        <v>17607.22</v>
      </c>
      <c r="U33">
        <f>ROUND((Source!FY27/100)*((ROUND(Source!AF27*Source!I27, 2)+ROUND(Source!AE27*Source!I27, 2))), 2)</f>
        <v>1563.09</v>
      </c>
      <c r="V33">
        <f>Source!Y27</f>
        <v>10671.04</v>
      </c>
    </row>
    <row r="34" spans="1:26" x14ac:dyDescent="0.2">
      <c r="C34" s="28" t="str">
        <f>"Объем: "&amp;Source!I27&amp;"=161,19/"&amp;"100"</f>
        <v>Объем: 1,6119=161,19/100</v>
      </c>
    </row>
    <row r="35" spans="1:26" ht="14.25" x14ac:dyDescent="0.2">
      <c r="A35" s="50"/>
      <c r="B35" s="51"/>
      <c r="C35" s="51" t="s">
        <v>475</v>
      </c>
      <c r="D35" s="32"/>
      <c r="E35" s="13"/>
      <c r="F35" s="33">
        <f>Source!AO27</f>
        <v>1525.29</v>
      </c>
      <c r="G35" s="34" t="str">
        <f>Source!DG27</f>
        <v/>
      </c>
      <c r="H35" s="35">
        <f>ROUND(Source!AF27*Source!I27, 2)</f>
        <v>2458.61</v>
      </c>
      <c r="I35" s="34"/>
      <c r="J35" s="34">
        <f>IF(Source!BA27&lt;&gt; 0, Source!BA27, 1)</f>
        <v>6.77</v>
      </c>
      <c r="K35" s="35">
        <f>Source!S27</f>
        <v>16644.82</v>
      </c>
      <c r="L35" s="36"/>
      <c r="R35">
        <f>H35</f>
        <v>2458.61</v>
      </c>
    </row>
    <row r="36" spans="1:26" ht="14.25" x14ac:dyDescent="0.2">
      <c r="A36" s="50"/>
      <c r="B36" s="51"/>
      <c r="C36" s="51" t="s">
        <v>210</v>
      </c>
      <c r="D36" s="32"/>
      <c r="E36" s="13"/>
      <c r="F36" s="33">
        <f>Source!AM27</f>
        <v>241.95</v>
      </c>
      <c r="G36" s="34" t="str">
        <f>Source!DE27</f>
        <v/>
      </c>
      <c r="H36" s="35">
        <f>ROUND(Source!AD27*Source!I27, 2)</f>
        <v>390</v>
      </c>
      <c r="I36" s="34"/>
      <c r="J36" s="34">
        <f>IF(Source!BB27&lt;&gt; 0, Source!BB27, 1)</f>
        <v>6.77</v>
      </c>
      <c r="K36" s="35">
        <f>Source!Q27</f>
        <v>2640.29</v>
      </c>
      <c r="L36" s="36"/>
    </row>
    <row r="37" spans="1:26" ht="14.25" x14ac:dyDescent="0.2">
      <c r="A37" s="50"/>
      <c r="B37" s="51"/>
      <c r="C37" s="51" t="s">
        <v>481</v>
      </c>
      <c r="D37" s="32"/>
      <c r="E37" s="13"/>
      <c r="F37" s="33">
        <f>Source!AN27</f>
        <v>104.49</v>
      </c>
      <c r="G37" s="34" t="str">
        <f>Source!DF27</f>
        <v/>
      </c>
      <c r="H37" s="45">
        <f>ROUND(Source!AE27*Source!I27, 2)</f>
        <v>168.43</v>
      </c>
      <c r="I37" s="34"/>
      <c r="J37" s="34">
        <f>IF(Source!BS27&lt;&gt; 0, Source!BS27, 1)</f>
        <v>6.77</v>
      </c>
      <c r="K37" s="45">
        <f>Source!R27</f>
        <v>1140.25</v>
      </c>
      <c r="L37" s="36"/>
      <c r="R37">
        <f>H37</f>
        <v>168.43</v>
      </c>
    </row>
    <row r="38" spans="1:26" ht="14.25" x14ac:dyDescent="0.2">
      <c r="A38" s="50"/>
      <c r="B38" s="51"/>
      <c r="C38" s="51" t="s">
        <v>476</v>
      </c>
      <c r="D38" s="32" t="s">
        <v>477</v>
      </c>
      <c r="E38" s="13">
        <f>Source!BZ27</f>
        <v>110</v>
      </c>
      <c r="F38" s="85" t="str">
        <f>CONCATENATE(" )", Source!DL27, Source!FT27, "=", Source!FX27)</f>
        <v xml:space="preserve"> )*0,9=99</v>
      </c>
      <c r="G38" s="86"/>
      <c r="H38" s="35">
        <f>SUM(S33:S40)</f>
        <v>2600.77</v>
      </c>
      <c r="I38" s="37"/>
      <c r="J38" s="30">
        <f>Source!AT27</f>
        <v>99</v>
      </c>
      <c r="K38" s="35">
        <f>SUM(T33:T40)</f>
        <v>17607.22</v>
      </c>
      <c r="L38" s="36"/>
    </row>
    <row r="39" spans="1:26" ht="14.25" x14ac:dyDescent="0.2">
      <c r="A39" s="50"/>
      <c r="B39" s="51"/>
      <c r="C39" s="51" t="s">
        <v>478</v>
      </c>
      <c r="D39" s="32" t="s">
        <v>477</v>
      </c>
      <c r="E39" s="13">
        <f>Source!CA27</f>
        <v>70</v>
      </c>
      <c r="F39" s="85" t="str">
        <f>CONCATENATE(" )", Source!DM27, Source!FU27, "=", Source!FY27)</f>
        <v xml:space="preserve"> )*0,85=59,5</v>
      </c>
      <c r="G39" s="86"/>
      <c r="H39" s="35">
        <f>SUM(U33:U40)</f>
        <v>1563.09</v>
      </c>
      <c r="I39" s="37"/>
      <c r="J39" s="30">
        <f>Source!AU27</f>
        <v>60</v>
      </c>
      <c r="K39" s="35">
        <f>SUM(V33:V40)</f>
        <v>10671.04</v>
      </c>
      <c r="L39" s="36"/>
    </row>
    <row r="40" spans="1:26" ht="14.25" x14ac:dyDescent="0.2">
      <c r="A40" s="52"/>
      <c r="B40" s="53"/>
      <c r="C40" s="53" t="s">
        <v>479</v>
      </c>
      <c r="D40" s="38" t="s">
        <v>480</v>
      </c>
      <c r="E40" s="39">
        <f>Source!AQ27</f>
        <v>188.54</v>
      </c>
      <c r="F40" s="40"/>
      <c r="G40" s="41" t="str">
        <f>Source!DI27</f>
        <v/>
      </c>
      <c r="H40" s="42"/>
      <c r="I40" s="41"/>
      <c r="J40" s="41"/>
      <c r="K40" s="42"/>
      <c r="L40" s="43">
        <f>Source!U27</f>
        <v>303.90762599999999</v>
      </c>
    </row>
    <row r="41" spans="1:26" ht="15" x14ac:dyDescent="0.25">
      <c r="G41" s="87">
        <f>H35+H36+H38+H39</f>
        <v>7012.47</v>
      </c>
      <c r="H41" s="87"/>
      <c r="J41" s="87">
        <f>K35+K36+K38+K39</f>
        <v>47563.37</v>
      </c>
      <c r="K41" s="87"/>
      <c r="L41" s="44">
        <f>Source!U27</f>
        <v>303.90762599999999</v>
      </c>
      <c r="O41" s="26">
        <f>G41</f>
        <v>7012.47</v>
      </c>
      <c r="P41" s="26">
        <f>J41</f>
        <v>47563.37</v>
      </c>
      <c r="Q41" s="26">
        <f>L41</f>
        <v>303.90762599999999</v>
      </c>
      <c r="W41">
        <f>IF(Source!BI27&lt;=1,H35+H36+H38+H39, 0)</f>
        <v>7012.47</v>
      </c>
      <c r="X41">
        <f>IF(Source!BI27=2,H35+H36+H38+H39, 0)</f>
        <v>0</v>
      </c>
      <c r="Y41">
        <f>IF(Source!BI27=3,H35+H36+H38+H39, 0)</f>
        <v>0</v>
      </c>
      <c r="Z41">
        <f>IF(Source!BI27=4,H35+H36+H38+H39, 0)</f>
        <v>0</v>
      </c>
    </row>
    <row r="42" spans="1:26" ht="42.75" x14ac:dyDescent="0.2">
      <c r="A42" s="50" t="str">
        <f>Source!E29</f>
        <v>3</v>
      </c>
      <c r="B42" s="51" t="str">
        <f>Source!F29</f>
        <v>09-04-009-03</v>
      </c>
      <c r="C42" s="51" t="str">
        <f>Source!G29</f>
        <v>Демонтаж: Монтаж оконных блоков алюминиевых с нащельниками из алюминия</v>
      </c>
      <c r="D42" s="32" t="str">
        <f>Source!H29</f>
        <v>т</v>
      </c>
      <c r="E42" s="13">
        <f>Source!I29</f>
        <v>1.4127400000000001</v>
      </c>
      <c r="F42" s="33">
        <f>Source!AL29+Source!AM29+Source!AO29</f>
        <v>4025.25</v>
      </c>
      <c r="G42" s="34"/>
      <c r="H42" s="35"/>
      <c r="I42" s="34" t="str">
        <f>Source!BO29</f>
        <v/>
      </c>
      <c r="J42" s="34"/>
      <c r="K42" s="35"/>
      <c r="L42" s="36"/>
      <c r="S42">
        <f>ROUND((Source!FX29/100)*((ROUND(Source!AF29*Source!I29, 2)+ROUND(Source!AE29*Source!I29, 2))), 2)</f>
        <v>1773.98</v>
      </c>
      <c r="T42">
        <f>Source!X29</f>
        <v>12009.84</v>
      </c>
      <c r="U42">
        <f>ROUND((Source!FY29/100)*((ROUND(Source!AF29*Source!I29, 2)+ROUND(Source!AE29*Source!I29, 2))), 2)</f>
        <v>1582.35</v>
      </c>
      <c r="V42">
        <f>Source!Y29</f>
        <v>10675.41</v>
      </c>
    </row>
    <row r="43" spans="1:26" ht="14.25" x14ac:dyDescent="0.2">
      <c r="A43" s="50"/>
      <c r="B43" s="51"/>
      <c r="C43" s="51" t="s">
        <v>475</v>
      </c>
      <c r="D43" s="32"/>
      <c r="E43" s="13"/>
      <c r="F43" s="33">
        <f>Source!AO29</f>
        <v>1992.23</v>
      </c>
      <c r="G43" s="34" t="str">
        <f>Source!DG29</f>
        <v>)*0,7</v>
      </c>
      <c r="H43" s="35">
        <f>ROUND(Source!AF29*Source!I29, 2)</f>
        <v>1970.15</v>
      </c>
      <c r="I43" s="34"/>
      <c r="J43" s="34">
        <f>IF(Source!BA29&lt;&gt; 0, Source!BA29, 1)</f>
        <v>6.77</v>
      </c>
      <c r="K43" s="35">
        <f>Source!S29</f>
        <v>13337.93</v>
      </c>
      <c r="L43" s="36"/>
      <c r="R43">
        <f>H43</f>
        <v>1970.15</v>
      </c>
    </row>
    <row r="44" spans="1:26" ht="14.25" x14ac:dyDescent="0.2">
      <c r="A44" s="50"/>
      <c r="B44" s="51"/>
      <c r="C44" s="51" t="s">
        <v>210</v>
      </c>
      <c r="D44" s="32"/>
      <c r="E44" s="13"/>
      <c r="F44" s="33">
        <f>Source!AM29</f>
        <v>1799.96</v>
      </c>
      <c r="G44" s="34" t="str">
        <f>Source!DE29</f>
        <v>)*0,7</v>
      </c>
      <c r="H44" s="35">
        <f>ROUND(Source!AD29*Source!I29, 2)</f>
        <v>1780.01</v>
      </c>
      <c r="I44" s="34"/>
      <c r="J44" s="34">
        <f>IF(Source!BB29&lt;&gt; 0, Source!BB29, 1)</f>
        <v>6.77</v>
      </c>
      <c r="K44" s="35">
        <f>Source!Q29</f>
        <v>12050.69</v>
      </c>
      <c r="L44" s="36"/>
    </row>
    <row r="45" spans="1:26" ht="14.25" x14ac:dyDescent="0.2">
      <c r="A45" s="50"/>
      <c r="B45" s="51"/>
      <c r="C45" s="51" t="s">
        <v>481</v>
      </c>
      <c r="D45" s="32"/>
      <c r="E45" s="13"/>
      <c r="F45" s="33">
        <f>Source!AN29</f>
        <v>222.41</v>
      </c>
      <c r="G45" s="34" t="str">
        <f>Source!DF29</f>
        <v>)*0,7</v>
      </c>
      <c r="H45" s="45">
        <f>ROUND(Source!AE29*Source!I29, 2)</f>
        <v>219.95</v>
      </c>
      <c r="I45" s="34"/>
      <c r="J45" s="34">
        <f>IF(Source!BS29&lt;&gt; 0, Source!BS29, 1)</f>
        <v>6.77</v>
      </c>
      <c r="K45" s="45">
        <f>Source!R29</f>
        <v>1489.03</v>
      </c>
      <c r="L45" s="36"/>
      <c r="R45">
        <f>H45</f>
        <v>219.95</v>
      </c>
    </row>
    <row r="46" spans="1:26" ht="14.25" x14ac:dyDescent="0.2">
      <c r="A46" s="50"/>
      <c r="B46" s="51"/>
      <c r="C46" s="51" t="s">
        <v>476</v>
      </c>
      <c r="D46" s="32" t="s">
        <v>477</v>
      </c>
      <c r="E46" s="13">
        <f>Source!BZ29</f>
        <v>90</v>
      </c>
      <c r="F46" s="85" t="str">
        <f>CONCATENATE(" )", Source!DL29, Source!FT29, "=", Source!FX29)</f>
        <v xml:space="preserve"> )*0,9=81</v>
      </c>
      <c r="G46" s="86"/>
      <c r="H46" s="35">
        <f>SUM(S42:S48)</f>
        <v>1773.98</v>
      </c>
      <c r="I46" s="37"/>
      <c r="J46" s="30">
        <f>Source!AT29</f>
        <v>81</v>
      </c>
      <c r="K46" s="35">
        <f>SUM(T42:T48)</f>
        <v>12009.84</v>
      </c>
      <c r="L46" s="36"/>
    </row>
    <row r="47" spans="1:26" ht="14.25" x14ac:dyDescent="0.2">
      <c r="A47" s="50"/>
      <c r="B47" s="51"/>
      <c r="C47" s="51" t="s">
        <v>478</v>
      </c>
      <c r="D47" s="32" t="s">
        <v>477</v>
      </c>
      <c r="E47" s="13">
        <f>Source!CA29</f>
        <v>85</v>
      </c>
      <c r="F47" s="85" t="str">
        <f>CONCATENATE(" )", Source!DM29, Source!FU29, "=", Source!FY29)</f>
        <v xml:space="preserve"> )*0,85=72,25</v>
      </c>
      <c r="G47" s="86"/>
      <c r="H47" s="35">
        <f>SUM(U42:U48)</f>
        <v>1582.35</v>
      </c>
      <c r="I47" s="37"/>
      <c r="J47" s="30">
        <f>Source!AU29</f>
        <v>72</v>
      </c>
      <c r="K47" s="35">
        <f>SUM(V42:V48)</f>
        <v>10675.41</v>
      </c>
      <c r="L47" s="36"/>
    </row>
    <row r="48" spans="1:26" ht="14.25" x14ac:dyDescent="0.2">
      <c r="A48" s="52"/>
      <c r="B48" s="53"/>
      <c r="C48" s="53" t="s">
        <v>479</v>
      </c>
      <c r="D48" s="38" t="s">
        <v>480</v>
      </c>
      <c r="E48" s="39">
        <f>Source!AQ29</f>
        <v>219.65</v>
      </c>
      <c r="F48" s="40"/>
      <c r="G48" s="41" t="str">
        <f>Source!DI29</f>
        <v>)*0,7</v>
      </c>
      <c r="H48" s="42"/>
      <c r="I48" s="41"/>
      <c r="J48" s="41"/>
      <c r="K48" s="42"/>
      <c r="L48" s="43">
        <f>Source!U29</f>
        <v>217.21583870000001</v>
      </c>
    </row>
    <row r="49" spans="1:26" ht="15" x14ac:dyDescent="0.25">
      <c r="G49" s="87">
        <f>H43+H44+H46+H47</f>
        <v>7106.49</v>
      </c>
      <c r="H49" s="87"/>
      <c r="J49" s="87">
        <f>K43+K44+K46+K47</f>
        <v>48073.87000000001</v>
      </c>
      <c r="K49" s="87"/>
      <c r="L49" s="44">
        <f>Source!U29</f>
        <v>217.21583870000001</v>
      </c>
      <c r="O49" s="26">
        <f>G49</f>
        <v>7106.49</v>
      </c>
      <c r="P49" s="26">
        <f>J49</f>
        <v>48073.87000000001</v>
      </c>
      <c r="Q49" s="26">
        <f>L49</f>
        <v>217.21583870000001</v>
      </c>
      <c r="W49">
        <f>IF(Source!BI29&lt;=1,H43+H44+H46+H47, 0)</f>
        <v>7106.49</v>
      </c>
      <c r="X49">
        <f>IF(Source!BI29=2,H43+H44+H46+H47, 0)</f>
        <v>0</v>
      </c>
      <c r="Y49">
        <f>IF(Source!BI29=3,H43+H44+H46+H47, 0)</f>
        <v>0</v>
      </c>
      <c r="Z49">
        <f>IF(Source!BI29=4,H43+H44+H46+H47, 0)</f>
        <v>0</v>
      </c>
    </row>
    <row r="50" spans="1:26" ht="42.75" x14ac:dyDescent="0.2">
      <c r="A50" s="50" t="str">
        <f>Source!E31</f>
        <v>4</v>
      </c>
      <c r="B50" s="51" t="str">
        <f>Source!F31</f>
        <v>58-3-1</v>
      </c>
      <c r="C50" s="51" t="str">
        <f>Source!G31</f>
        <v>Разборка мелких покрытий и обделок из листовой стали поясков, сандриков, желобов, отливов, свесов и т.п.</v>
      </c>
      <c r="D50" s="32" t="str">
        <f>Source!H31</f>
        <v>100 м</v>
      </c>
      <c r="E50" s="13">
        <f>Source!I31</f>
        <v>1.7632000000000001</v>
      </c>
      <c r="F50" s="33">
        <f>Source!AL31+Source!AM31+Source!AO31</f>
        <v>71.180000000000007</v>
      </c>
      <c r="G50" s="34"/>
      <c r="H50" s="35"/>
      <c r="I50" s="34" t="str">
        <f>Source!BO31</f>
        <v/>
      </c>
      <c r="J50" s="34"/>
      <c r="K50" s="35"/>
      <c r="L50" s="36"/>
      <c r="S50">
        <f>ROUND((Source!FX31/100)*((ROUND(Source!AF31*Source!I31, 2)+ROUND(Source!AE31*Source!I31, 2))), 2)</f>
        <v>103.87</v>
      </c>
      <c r="T50">
        <f>Source!X31</f>
        <v>703.24</v>
      </c>
      <c r="U50">
        <f>ROUND((Source!FY31/100)*((ROUND(Source!AF31*Source!I31, 2)+ROUND(Source!AE31*Source!I31, 2))), 2)</f>
        <v>81.349999999999994</v>
      </c>
      <c r="V50">
        <f>Source!Y31</f>
        <v>550.73</v>
      </c>
    </row>
    <row r="51" spans="1:26" x14ac:dyDescent="0.2">
      <c r="C51" s="28" t="str">
        <f>"Объем: "&amp;Source!I31&amp;"=176,32/"&amp;"100"</f>
        <v>Объем: 1,7632=176,32/100</v>
      </c>
    </row>
    <row r="52" spans="1:26" ht="14.25" x14ac:dyDescent="0.2">
      <c r="A52" s="50"/>
      <c r="B52" s="51"/>
      <c r="C52" s="51" t="s">
        <v>475</v>
      </c>
      <c r="D52" s="32"/>
      <c r="E52" s="13"/>
      <c r="F52" s="33">
        <f>Source!AO31</f>
        <v>70.98</v>
      </c>
      <c r="G52" s="34" t="str">
        <f>Source!DG31</f>
        <v/>
      </c>
      <c r="H52" s="35">
        <f>ROUND(Source!AF31*Source!I31, 2)</f>
        <v>125.15</v>
      </c>
      <c r="I52" s="34"/>
      <c r="J52" s="34">
        <f>IF(Source!BA31&lt;&gt; 0, Source!BA31, 1)</f>
        <v>6.77</v>
      </c>
      <c r="K52" s="35">
        <f>Source!S31</f>
        <v>847.28</v>
      </c>
      <c r="L52" s="36"/>
      <c r="R52">
        <f>H52</f>
        <v>125.15</v>
      </c>
    </row>
    <row r="53" spans="1:26" ht="14.25" x14ac:dyDescent="0.2">
      <c r="A53" s="50"/>
      <c r="B53" s="51"/>
      <c r="C53" s="51" t="s">
        <v>210</v>
      </c>
      <c r="D53" s="32"/>
      <c r="E53" s="13"/>
      <c r="F53" s="33">
        <f>Source!AM31</f>
        <v>0.2</v>
      </c>
      <c r="G53" s="34" t="str">
        <f>Source!DE31</f>
        <v/>
      </c>
      <c r="H53" s="35">
        <f>ROUND(Source!AD31*Source!I31, 2)</f>
        <v>0.35</v>
      </c>
      <c r="I53" s="34"/>
      <c r="J53" s="34">
        <f>IF(Source!BB31&lt;&gt; 0, Source!BB31, 1)</f>
        <v>6.77</v>
      </c>
      <c r="K53" s="35">
        <f>Source!Q31</f>
        <v>2.39</v>
      </c>
      <c r="L53" s="36"/>
    </row>
    <row r="54" spans="1:26" ht="14.25" x14ac:dyDescent="0.2">
      <c r="A54" s="50"/>
      <c r="B54" s="51"/>
      <c r="C54" s="51" t="s">
        <v>476</v>
      </c>
      <c r="D54" s="32" t="s">
        <v>477</v>
      </c>
      <c r="E54" s="13">
        <f>Source!BZ31</f>
        <v>83</v>
      </c>
      <c r="F54" s="54"/>
      <c r="G54" s="34"/>
      <c r="H54" s="35">
        <f>SUM(S50:S56)</f>
        <v>103.87</v>
      </c>
      <c r="I54" s="37"/>
      <c r="J54" s="30">
        <f>Source!AT31</f>
        <v>83</v>
      </c>
      <c r="K54" s="35">
        <f>SUM(T50:T56)</f>
        <v>703.24</v>
      </c>
      <c r="L54" s="36"/>
    </row>
    <row r="55" spans="1:26" ht="14.25" x14ac:dyDescent="0.2">
      <c r="A55" s="50"/>
      <c r="B55" s="51"/>
      <c r="C55" s="51" t="s">
        <v>478</v>
      </c>
      <c r="D55" s="32" t="s">
        <v>477</v>
      </c>
      <c r="E55" s="13">
        <f>Source!CA31</f>
        <v>65</v>
      </c>
      <c r="F55" s="54"/>
      <c r="G55" s="34"/>
      <c r="H55" s="35">
        <f>SUM(U50:U56)</f>
        <v>81.349999999999994</v>
      </c>
      <c r="I55" s="37"/>
      <c r="J55" s="30">
        <f>Source!AU31</f>
        <v>65</v>
      </c>
      <c r="K55" s="35">
        <f>SUM(V50:V56)</f>
        <v>550.73</v>
      </c>
      <c r="L55" s="36"/>
    </row>
    <row r="56" spans="1:26" ht="14.25" x14ac:dyDescent="0.2">
      <c r="A56" s="52"/>
      <c r="B56" s="53"/>
      <c r="C56" s="53" t="s">
        <v>479</v>
      </c>
      <c r="D56" s="38" t="s">
        <v>480</v>
      </c>
      <c r="E56" s="39">
        <f>Source!AQ31</f>
        <v>9.1</v>
      </c>
      <c r="F56" s="40"/>
      <c r="G56" s="41" t="str">
        <f>Source!DI31</f>
        <v/>
      </c>
      <c r="H56" s="42"/>
      <c r="I56" s="41"/>
      <c r="J56" s="41"/>
      <c r="K56" s="42"/>
      <c r="L56" s="43">
        <f>Source!U31</f>
        <v>16.045120000000001</v>
      </c>
    </row>
    <row r="57" spans="1:26" ht="15" x14ac:dyDescent="0.25">
      <c r="G57" s="87">
        <f>H52+H53+H54+H55</f>
        <v>310.72000000000003</v>
      </c>
      <c r="H57" s="87"/>
      <c r="J57" s="87">
        <f>K52+K53+K54+K55</f>
        <v>2103.64</v>
      </c>
      <c r="K57" s="87"/>
      <c r="L57" s="44">
        <f>Source!U31</f>
        <v>16.045120000000001</v>
      </c>
      <c r="O57" s="26">
        <f>G57</f>
        <v>310.72000000000003</v>
      </c>
      <c r="P57" s="26">
        <f>J57</f>
        <v>2103.64</v>
      </c>
      <c r="Q57" s="26">
        <f>L57</f>
        <v>16.045120000000001</v>
      </c>
      <c r="W57">
        <f>IF(Source!BI31&lt;=1,H52+H53+H54+H55, 0)</f>
        <v>310.72000000000003</v>
      </c>
      <c r="X57">
        <f>IF(Source!BI31=2,H52+H53+H54+H55, 0)</f>
        <v>0</v>
      </c>
      <c r="Y57">
        <f>IF(Source!BI31=3,H52+H53+H54+H55, 0)</f>
        <v>0</v>
      </c>
      <c r="Z57">
        <f>IF(Source!BI31=4,H52+H53+H54+H55, 0)</f>
        <v>0</v>
      </c>
    </row>
    <row r="58" spans="1:26" ht="99.75" x14ac:dyDescent="0.2">
      <c r="A58" s="50" t="str">
        <f>Source!E33</f>
        <v>5</v>
      </c>
      <c r="B58" s="51" t="str">
        <f>Source!F33</f>
        <v>10-01-034-08</v>
      </c>
      <c r="C58" s="51" t="str">
        <f>Source!G33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58" s="32" t="str">
        <f>Source!H33</f>
        <v>100 м2</v>
      </c>
      <c r="E58" s="13">
        <f>Source!I33</f>
        <v>2.944</v>
      </c>
      <c r="F58" s="33">
        <f>Source!AL33+Source!AM33+Source!AO33</f>
        <v>10107.89</v>
      </c>
      <c r="G58" s="34"/>
      <c r="H58" s="35"/>
      <c r="I58" s="34" t="str">
        <f>Source!BO33</f>
        <v/>
      </c>
      <c r="J58" s="34"/>
      <c r="K58" s="35"/>
      <c r="L58" s="36"/>
      <c r="S58">
        <f>ROUND((Source!FX33/100)*((ROUND(Source!AF33*Source!I33, 2)+ROUND(Source!AE33*Source!I33, 2))), 2)</f>
        <v>4883.9799999999996</v>
      </c>
      <c r="T58">
        <f>Source!X33</f>
        <v>33002.25</v>
      </c>
      <c r="U58">
        <f>ROUND((Source!FY33/100)*((ROUND(Source!AF33*Source!I33, 2)+ROUND(Source!AE33*Source!I33, 2))), 2)</f>
        <v>2462.6799999999998</v>
      </c>
      <c r="V58">
        <f>Source!Y33</f>
        <v>16812.47</v>
      </c>
    </row>
    <row r="59" spans="1:26" x14ac:dyDescent="0.2">
      <c r="C59" s="28" t="str">
        <f>"Объем: "&amp;Source!I33&amp;"=294,4/"&amp;"100"</f>
        <v>Объем: 2,944=294,4/100</v>
      </c>
    </row>
    <row r="60" spans="1:26" ht="14.25" x14ac:dyDescent="0.2">
      <c r="A60" s="50"/>
      <c r="B60" s="51"/>
      <c r="C60" s="51" t="s">
        <v>475</v>
      </c>
      <c r="D60" s="32"/>
      <c r="E60" s="13"/>
      <c r="F60" s="33">
        <f>Source!AO33</f>
        <v>1303.6600000000001</v>
      </c>
      <c r="G60" s="34" t="str">
        <f>Source!DG33</f>
        <v>)*1,15</v>
      </c>
      <c r="H60" s="35">
        <f>ROUND(Source!AF33*Source!I33, 2)</f>
        <v>4413.67</v>
      </c>
      <c r="I60" s="34"/>
      <c r="J60" s="34">
        <f>IF(Source!BA33&lt;&gt; 0, Source!BA33, 1)</f>
        <v>6.77</v>
      </c>
      <c r="K60" s="35">
        <f>Source!S33</f>
        <v>29880.55</v>
      </c>
      <c r="L60" s="36"/>
      <c r="R60">
        <f>H60</f>
        <v>4413.67</v>
      </c>
    </row>
    <row r="61" spans="1:26" ht="14.25" x14ac:dyDescent="0.2">
      <c r="A61" s="50"/>
      <c r="B61" s="51"/>
      <c r="C61" s="51" t="s">
        <v>210</v>
      </c>
      <c r="D61" s="32"/>
      <c r="E61" s="13"/>
      <c r="F61" s="33">
        <f>Source!AM33</f>
        <v>255.21</v>
      </c>
      <c r="G61" s="34" t="str">
        <f>Source!DE33</f>
        <v>)*1,25</v>
      </c>
      <c r="H61" s="35">
        <f>ROUND(Source!AD33*Source!I33, 2)</f>
        <v>939.17</v>
      </c>
      <c r="I61" s="34"/>
      <c r="J61" s="34">
        <f>IF(Source!BB33&lt;&gt; 0, Source!BB33, 1)</f>
        <v>6.77</v>
      </c>
      <c r="K61" s="35">
        <f>Source!Q33</f>
        <v>6358.2</v>
      </c>
      <c r="L61" s="36"/>
    </row>
    <row r="62" spans="1:26" ht="14.25" x14ac:dyDescent="0.2">
      <c r="A62" s="50"/>
      <c r="B62" s="51"/>
      <c r="C62" s="51" t="s">
        <v>481</v>
      </c>
      <c r="D62" s="32"/>
      <c r="E62" s="13"/>
      <c r="F62" s="33">
        <f>Source!AN33</f>
        <v>50.32</v>
      </c>
      <c r="G62" s="34" t="str">
        <f>Source!DF33</f>
        <v>)*1,25</v>
      </c>
      <c r="H62" s="45">
        <f>ROUND(Source!AE33*Source!I33, 2)</f>
        <v>185.18</v>
      </c>
      <c r="I62" s="34"/>
      <c r="J62" s="34">
        <f>IF(Source!BS33&lt;&gt; 0, Source!BS33, 1)</f>
        <v>6.77</v>
      </c>
      <c r="K62" s="45">
        <f>Source!R33</f>
        <v>1253.6500000000001</v>
      </c>
      <c r="L62" s="36"/>
      <c r="R62">
        <f>H62</f>
        <v>185.18</v>
      </c>
    </row>
    <row r="63" spans="1:26" ht="14.25" x14ac:dyDescent="0.2">
      <c r="A63" s="50"/>
      <c r="B63" s="51"/>
      <c r="C63" s="51" t="s">
        <v>482</v>
      </c>
      <c r="D63" s="32"/>
      <c r="E63" s="13"/>
      <c r="F63" s="33">
        <f>Source!AL33</f>
        <v>8549.02</v>
      </c>
      <c r="G63" s="34" t="str">
        <f>Source!DD33</f>
        <v/>
      </c>
      <c r="H63" s="35">
        <f>ROUND(Source!AC33*Source!I33, 2)</f>
        <v>25168.31</v>
      </c>
      <c r="I63" s="34"/>
      <c r="J63" s="34">
        <f>IF(Source!BC33&lt;&gt; 0, Source!BC33, 1)</f>
        <v>6.77</v>
      </c>
      <c r="K63" s="35">
        <f>Source!P33</f>
        <v>170389.49</v>
      </c>
      <c r="L63" s="36"/>
    </row>
    <row r="64" spans="1:26" ht="14.25" x14ac:dyDescent="0.2">
      <c r="A64" s="50"/>
      <c r="B64" s="51"/>
      <c r="C64" s="51" t="s">
        <v>476</v>
      </c>
      <c r="D64" s="32" t="s">
        <v>477</v>
      </c>
      <c r="E64" s="13">
        <f>Source!BZ33</f>
        <v>118</v>
      </c>
      <c r="F64" s="85" t="str">
        <f>CONCATENATE(" )", Source!DL33, Source!FT33, "=", Source!FX33)</f>
        <v xml:space="preserve"> )*0,9=106,2</v>
      </c>
      <c r="G64" s="86"/>
      <c r="H64" s="35">
        <f>SUM(S58:S67)</f>
        <v>4883.9799999999996</v>
      </c>
      <c r="I64" s="37"/>
      <c r="J64" s="30">
        <f>Source!AT33</f>
        <v>106</v>
      </c>
      <c r="K64" s="35">
        <f>SUM(T58:T67)</f>
        <v>33002.25</v>
      </c>
      <c r="L64" s="36"/>
    </row>
    <row r="65" spans="1:26" ht="14.25" x14ac:dyDescent="0.2">
      <c r="A65" s="50"/>
      <c r="B65" s="51"/>
      <c r="C65" s="51" t="s">
        <v>478</v>
      </c>
      <c r="D65" s="32" t="s">
        <v>477</v>
      </c>
      <c r="E65" s="13">
        <f>Source!CA33</f>
        <v>63</v>
      </c>
      <c r="F65" s="85" t="str">
        <f>CONCATENATE(" )", Source!DM33, Source!FU33, "=", Source!FY33)</f>
        <v xml:space="preserve"> )*0,85=53,55</v>
      </c>
      <c r="G65" s="86"/>
      <c r="H65" s="35">
        <f>SUM(U58:U67)</f>
        <v>2462.6799999999998</v>
      </c>
      <c r="I65" s="37"/>
      <c r="J65" s="30">
        <f>Source!AU33</f>
        <v>54</v>
      </c>
      <c r="K65" s="35">
        <f>SUM(V58:V67)</f>
        <v>16812.47</v>
      </c>
      <c r="L65" s="36"/>
    </row>
    <row r="66" spans="1:26" ht="14.25" x14ac:dyDescent="0.2">
      <c r="A66" s="50"/>
      <c r="B66" s="51"/>
      <c r="C66" s="51" t="s">
        <v>479</v>
      </c>
      <c r="D66" s="32" t="s">
        <v>480</v>
      </c>
      <c r="E66" s="13">
        <f>Source!AQ33</f>
        <v>149.16</v>
      </c>
      <c r="F66" s="33"/>
      <c r="G66" s="34" t="str">
        <f>Source!DI33</f>
        <v>)*1,15</v>
      </c>
      <c r="H66" s="35"/>
      <c r="I66" s="34"/>
      <c r="J66" s="34"/>
      <c r="K66" s="35"/>
      <c r="L66" s="46">
        <f>Source!U33</f>
        <v>504.99609599999997</v>
      </c>
    </row>
    <row r="67" spans="1:26" ht="42.75" x14ac:dyDescent="0.2">
      <c r="A67" s="52" t="str">
        <f>Source!E35</f>
        <v>5,1</v>
      </c>
      <c r="B67" s="53" t="str">
        <f>Source!F35</f>
        <v>Цена поставщика</v>
      </c>
      <c r="C67" s="53" t="s">
        <v>483</v>
      </c>
      <c r="D67" s="38" t="str">
        <f>Source!H35</f>
        <v>м2</v>
      </c>
      <c r="E67" s="39">
        <f>Source!I35</f>
        <v>294.39999999999998</v>
      </c>
      <c r="F67" s="40">
        <f>Source!AL35+Source!AM35+Source!AO35</f>
        <v>1770.23</v>
      </c>
      <c r="G67" s="47" t="s">
        <v>6</v>
      </c>
      <c r="H67" s="42">
        <f>ROUND(Source!AC35*Source!I35, 2)+ROUND(Source!AD35*Source!I35, 2)+ROUND(Source!AF35*Source!I35, 2)</f>
        <v>521155.71</v>
      </c>
      <c r="I67" s="41"/>
      <c r="J67" s="41">
        <f>IF(Source!BC35&lt;&gt; 0, Source!BC35, 1)</f>
        <v>6.77</v>
      </c>
      <c r="K67" s="42">
        <f>Source!O35</f>
        <v>3528224.17</v>
      </c>
      <c r="L67" s="48"/>
      <c r="S67">
        <f>ROUND((Source!FX35/100)*((ROUND(Source!AF35*Source!I35, 2)+ROUND(Source!AE35*Source!I35, 2))), 2)</f>
        <v>0</v>
      </c>
      <c r="T67">
        <f>Source!X35</f>
        <v>0</v>
      </c>
      <c r="U67">
        <f>ROUND((Source!FY35/100)*((ROUND(Source!AF35*Source!I35, 2)+ROUND(Source!AE35*Source!I35, 2))), 2)</f>
        <v>0</v>
      </c>
      <c r="V67">
        <f>Source!Y35</f>
        <v>0</v>
      </c>
      <c r="W67">
        <f>IF(Source!BI35&lt;=1,H67, 0)</f>
        <v>521155.71</v>
      </c>
      <c r="X67">
        <f>IF(Source!BI35=2,H67, 0)</f>
        <v>0</v>
      </c>
      <c r="Y67">
        <f>IF(Source!BI35=3,H67, 0)</f>
        <v>0</v>
      </c>
      <c r="Z67">
        <f>IF(Source!BI35=4,H67, 0)</f>
        <v>0</v>
      </c>
    </row>
    <row r="68" spans="1:26" ht="15" x14ac:dyDescent="0.25">
      <c r="G68" s="87">
        <f>H60+H61+H63+H64+H65+SUM(H67:H67)</f>
        <v>559023.52</v>
      </c>
      <c r="H68" s="87"/>
      <c r="J68" s="87">
        <f>K60+K61+K63+K64+K65+SUM(K67:K67)</f>
        <v>3784667.13</v>
      </c>
      <c r="K68" s="87"/>
      <c r="L68" s="44">
        <f>Source!U33</f>
        <v>504.99609599999997</v>
      </c>
      <c r="O68" s="26">
        <f>G68</f>
        <v>559023.52</v>
      </c>
      <c r="P68" s="26">
        <f>J68</f>
        <v>3784667.13</v>
      </c>
      <c r="Q68" s="26">
        <f>L68</f>
        <v>504.99609599999997</v>
      </c>
      <c r="W68">
        <f>IF(Source!BI33&lt;=1,H60+H61+H63+H64+H65, 0)</f>
        <v>37867.810000000005</v>
      </c>
      <c r="X68">
        <f>IF(Source!BI33=2,H60+H61+H63+H64+H65, 0)</f>
        <v>0</v>
      </c>
      <c r="Y68">
        <f>IF(Source!BI33=3,H60+H61+H63+H64+H65, 0)</f>
        <v>0</v>
      </c>
      <c r="Z68">
        <f>IF(Source!BI33=4,H60+H61+H63+H64+H65, 0)</f>
        <v>0</v>
      </c>
    </row>
    <row r="69" spans="1:26" ht="71.25" x14ac:dyDescent="0.2">
      <c r="A69" s="50" t="str">
        <f>Source!E37</f>
        <v>6</v>
      </c>
      <c r="B69" s="51" t="str">
        <f>Source!F37</f>
        <v>10-01-034-06</v>
      </c>
      <c r="C69" s="51" t="str">
        <f>Source!G37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69" s="32" t="str">
        <f>Source!H37</f>
        <v>100 м2</v>
      </c>
      <c r="E69" s="13">
        <f>Source!I37</f>
        <v>0.61980000000000002</v>
      </c>
      <c r="F69" s="33">
        <f>Source!AL37+Source!AM37+Source!AO37</f>
        <v>9827.15</v>
      </c>
      <c r="G69" s="34"/>
      <c r="H69" s="35"/>
      <c r="I69" s="34" t="str">
        <f>Source!BO37</f>
        <v/>
      </c>
      <c r="J69" s="34"/>
      <c r="K69" s="35"/>
      <c r="L69" s="36"/>
      <c r="S69">
        <f>ROUND((Source!FX37/100)*((ROUND(Source!AF37*Source!I37, 2)+ROUND(Source!AE37*Source!I37, 2))), 2)</f>
        <v>1005.47</v>
      </c>
      <c r="T69">
        <f>Source!X37</f>
        <v>6794.15</v>
      </c>
      <c r="U69">
        <f>ROUND((Source!FY37/100)*((ROUND(Source!AF37*Source!I37, 2)+ROUND(Source!AE37*Source!I37, 2))), 2)</f>
        <v>507</v>
      </c>
      <c r="V69">
        <f>Source!Y37</f>
        <v>3461.17</v>
      </c>
    </row>
    <row r="70" spans="1:26" x14ac:dyDescent="0.2">
      <c r="C70" s="28" t="str">
        <f>"Объем: "&amp;Source!I37&amp;"=61,98/"&amp;"100"</f>
        <v>Объем: 0,6198=61,98/100</v>
      </c>
    </row>
    <row r="71" spans="1:26" ht="14.25" x14ac:dyDescent="0.2">
      <c r="A71" s="50"/>
      <c r="B71" s="51"/>
      <c r="C71" s="51" t="s">
        <v>475</v>
      </c>
      <c r="D71" s="32"/>
      <c r="E71" s="13"/>
      <c r="F71" s="33">
        <f>Source!AO37</f>
        <v>1273.5899999999999</v>
      </c>
      <c r="G71" s="34" t="str">
        <f>Source!DG37</f>
        <v>)*1,15</v>
      </c>
      <c r="H71" s="35">
        <f>ROUND(Source!AF37*Source!I37, 2)</f>
        <v>907.78</v>
      </c>
      <c r="I71" s="34"/>
      <c r="J71" s="34">
        <f>IF(Source!BA37&lt;&gt; 0, Source!BA37, 1)</f>
        <v>6.77</v>
      </c>
      <c r="K71" s="35">
        <f>Source!S37</f>
        <v>6145.65</v>
      </c>
      <c r="L71" s="36"/>
      <c r="R71">
        <f>H71</f>
        <v>907.78</v>
      </c>
    </row>
    <row r="72" spans="1:26" ht="14.25" x14ac:dyDescent="0.2">
      <c r="A72" s="50"/>
      <c r="B72" s="51"/>
      <c r="C72" s="51" t="s">
        <v>210</v>
      </c>
      <c r="D72" s="32"/>
      <c r="E72" s="13"/>
      <c r="F72" s="33">
        <f>Source!AM37</f>
        <v>255.21</v>
      </c>
      <c r="G72" s="34" t="str">
        <f>Source!DE37</f>
        <v>)*1,25</v>
      </c>
      <c r="H72" s="35">
        <f>ROUND(Source!AD37*Source!I37, 2)</f>
        <v>197.72</v>
      </c>
      <c r="I72" s="34"/>
      <c r="J72" s="34">
        <f>IF(Source!BB37&lt;&gt; 0, Source!BB37, 1)</f>
        <v>6.77</v>
      </c>
      <c r="K72" s="35">
        <f>Source!Q37</f>
        <v>1338.59</v>
      </c>
      <c r="L72" s="36"/>
    </row>
    <row r="73" spans="1:26" ht="14.25" x14ac:dyDescent="0.2">
      <c r="A73" s="50"/>
      <c r="B73" s="51"/>
      <c r="C73" s="51" t="s">
        <v>481</v>
      </c>
      <c r="D73" s="32"/>
      <c r="E73" s="13"/>
      <c r="F73" s="33">
        <f>Source!AN37</f>
        <v>50.32</v>
      </c>
      <c r="G73" s="34" t="str">
        <f>Source!DF37</f>
        <v>)*1,25</v>
      </c>
      <c r="H73" s="45">
        <f>ROUND(Source!AE37*Source!I37, 2)</f>
        <v>38.99</v>
      </c>
      <c r="I73" s="34"/>
      <c r="J73" s="34">
        <f>IF(Source!BS37&lt;&gt; 0, Source!BS37, 1)</f>
        <v>6.77</v>
      </c>
      <c r="K73" s="45">
        <f>Source!R37</f>
        <v>263.93</v>
      </c>
      <c r="L73" s="36"/>
      <c r="R73">
        <f>H73</f>
        <v>38.99</v>
      </c>
    </row>
    <row r="74" spans="1:26" ht="14.25" x14ac:dyDescent="0.2">
      <c r="A74" s="50"/>
      <c r="B74" s="51"/>
      <c r="C74" s="51" t="s">
        <v>482</v>
      </c>
      <c r="D74" s="32"/>
      <c r="E74" s="13"/>
      <c r="F74" s="33">
        <f>Source!AL37</f>
        <v>8298.35</v>
      </c>
      <c r="G74" s="34" t="str">
        <f>Source!DD37</f>
        <v/>
      </c>
      <c r="H74" s="35">
        <f>ROUND(Source!AC37*Source!I37, 2)</f>
        <v>5143.32</v>
      </c>
      <c r="I74" s="34"/>
      <c r="J74" s="34">
        <f>IF(Source!BC37&lt;&gt; 0, Source!BC37, 1)</f>
        <v>6.77</v>
      </c>
      <c r="K74" s="35">
        <f>Source!P37</f>
        <v>34820.26</v>
      </c>
      <c r="L74" s="36"/>
    </row>
    <row r="75" spans="1:26" ht="14.25" x14ac:dyDescent="0.2">
      <c r="A75" s="50"/>
      <c r="B75" s="51"/>
      <c r="C75" s="51" t="s">
        <v>476</v>
      </c>
      <c r="D75" s="32" t="s">
        <v>477</v>
      </c>
      <c r="E75" s="13">
        <f>Source!BZ37</f>
        <v>118</v>
      </c>
      <c r="F75" s="85" t="str">
        <f>CONCATENATE(" )", Source!DL37, Source!FT37, "=", Source!FX37)</f>
        <v xml:space="preserve"> )*0,9=106,2</v>
      </c>
      <c r="G75" s="86"/>
      <c r="H75" s="35">
        <f>SUM(S69:S78)</f>
        <v>1005.47</v>
      </c>
      <c r="I75" s="37"/>
      <c r="J75" s="30">
        <f>Source!AT37</f>
        <v>106</v>
      </c>
      <c r="K75" s="35">
        <f>SUM(T69:T78)</f>
        <v>6794.15</v>
      </c>
      <c r="L75" s="36"/>
    </row>
    <row r="76" spans="1:26" ht="14.25" x14ac:dyDescent="0.2">
      <c r="A76" s="50"/>
      <c r="B76" s="51"/>
      <c r="C76" s="51" t="s">
        <v>478</v>
      </c>
      <c r="D76" s="32" t="s">
        <v>477</v>
      </c>
      <c r="E76" s="13">
        <f>Source!CA37</f>
        <v>63</v>
      </c>
      <c r="F76" s="85" t="str">
        <f>CONCATENATE(" )", Source!DM37, Source!FU37, "=", Source!FY37)</f>
        <v xml:space="preserve"> )*0,85=53,55</v>
      </c>
      <c r="G76" s="86"/>
      <c r="H76" s="35">
        <f>SUM(U69:U78)</f>
        <v>507</v>
      </c>
      <c r="I76" s="37"/>
      <c r="J76" s="30">
        <f>Source!AU37</f>
        <v>54</v>
      </c>
      <c r="K76" s="35">
        <f>SUM(V69:V78)</f>
        <v>3461.17</v>
      </c>
      <c r="L76" s="36"/>
    </row>
    <row r="77" spans="1:26" ht="14.25" x14ac:dyDescent="0.2">
      <c r="A77" s="50"/>
      <c r="B77" s="51"/>
      <c r="C77" s="51" t="s">
        <v>479</v>
      </c>
      <c r="D77" s="32" t="s">
        <v>480</v>
      </c>
      <c r="E77" s="13">
        <f>Source!AQ37</f>
        <v>145.72</v>
      </c>
      <c r="F77" s="33"/>
      <c r="G77" s="34" t="str">
        <f>Source!DI37</f>
        <v>)*1,15</v>
      </c>
      <c r="H77" s="35"/>
      <c r="I77" s="34"/>
      <c r="J77" s="34"/>
      <c r="K77" s="35"/>
      <c r="L77" s="46">
        <f>Source!U37</f>
        <v>103.86484439999998</v>
      </c>
    </row>
    <row r="78" spans="1:26" ht="42.75" x14ac:dyDescent="0.2">
      <c r="A78" s="52" t="str">
        <f>Source!E39</f>
        <v>6,1</v>
      </c>
      <c r="B78" s="53" t="str">
        <f>Source!F39</f>
        <v>Цена поставщика</v>
      </c>
      <c r="C78" s="53" t="s">
        <v>484</v>
      </c>
      <c r="D78" s="38" t="str">
        <f>Source!H39</f>
        <v>м2</v>
      </c>
      <c r="E78" s="39">
        <f>Source!I39</f>
        <v>61.990000000000009</v>
      </c>
      <c r="F78" s="40">
        <f>Source!AL39+Source!AM39+Source!AO39</f>
        <v>1565.09</v>
      </c>
      <c r="G78" s="47" t="s">
        <v>6</v>
      </c>
      <c r="H78" s="42">
        <f>ROUND(Source!AC39*Source!I39, 2)+ROUND(Source!AD39*Source!I39, 2)+ROUND(Source!AF39*Source!I39, 2)</f>
        <v>97019.93</v>
      </c>
      <c r="I78" s="41"/>
      <c r="J78" s="41">
        <f>IF(Source!BC39&lt;&gt; 0, Source!BC39, 1)</f>
        <v>6.77</v>
      </c>
      <c r="K78" s="42">
        <f>Source!O39</f>
        <v>656824.92000000004</v>
      </c>
      <c r="L78" s="48"/>
      <c r="S78">
        <f>ROUND((Source!FX39/100)*((ROUND(Source!AF39*Source!I39, 2)+ROUND(Source!AE39*Source!I39, 2))), 2)</f>
        <v>0</v>
      </c>
      <c r="T78">
        <f>Source!X39</f>
        <v>0</v>
      </c>
      <c r="U78">
        <f>ROUND((Source!FY39/100)*((ROUND(Source!AF39*Source!I39, 2)+ROUND(Source!AE39*Source!I39, 2))), 2)</f>
        <v>0</v>
      </c>
      <c r="V78">
        <f>Source!Y39</f>
        <v>0</v>
      </c>
      <c r="W78">
        <f>IF(Source!BI39&lt;=1,H78, 0)</f>
        <v>97019.93</v>
      </c>
      <c r="X78">
        <f>IF(Source!BI39=2,H78, 0)</f>
        <v>0</v>
      </c>
      <c r="Y78">
        <f>IF(Source!BI39=3,H78, 0)</f>
        <v>0</v>
      </c>
      <c r="Z78">
        <f>IF(Source!BI39=4,H78, 0)</f>
        <v>0</v>
      </c>
    </row>
    <row r="79" spans="1:26" ht="15" x14ac:dyDescent="0.25">
      <c r="G79" s="87">
        <f>H71+H72+H74+H75+H76+SUM(H78:H78)</f>
        <v>104781.21999999999</v>
      </c>
      <c r="H79" s="87"/>
      <c r="J79" s="87">
        <f>K71+K72+K74+K75+K76+SUM(K78:K78)</f>
        <v>709384.74</v>
      </c>
      <c r="K79" s="87"/>
      <c r="L79" s="44">
        <f>Source!U37</f>
        <v>103.86484439999998</v>
      </c>
      <c r="O79" s="26">
        <f>G79</f>
        <v>104781.21999999999</v>
      </c>
      <c r="P79" s="26">
        <f>J79</f>
        <v>709384.74</v>
      </c>
      <c r="Q79" s="26">
        <f>L79</f>
        <v>103.86484439999998</v>
      </c>
      <c r="W79">
        <f>IF(Source!BI37&lt;=1,H71+H72+H74+H75+H76, 0)</f>
        <v>7761.29</v>
      </c>
      <c r="X79">
        <f>IF(Source!BI37=2,H71+H72+H74+H75+H76, 0)</f>
        <v>0</v>
      </c>
      <c r="Y79">
        <f>IF(Source!BI37=3,H71+H72+H74+H75+H76, 0)</f>
        <v>0</v>
      </c>
      <c r="Z79">
        <f>IF(Source!BI37=4,H71+H72+H74+H75+H76, 0)</f>
        <v>0</v>
      </c>
    </row>
    <row r="80" spans="1:26" ht="57" x14ac:dyDescent="0.2">
      <c r="A80" s="50" t="str">
        <f>Source!E41</f>
        <v>7</v>
      </c>
      <c r="B80" s="51" t="str">
        <f>Source!F41</f>
        <v>10-01-034-02</v>
      </c>
      <c r="C80" s="51" t="str">
        <f>Source!G41</f>
        <v>Установка в жилых и общественных зданиях оконных блоков из ПВХ профилей глухих с площадью проема более 2 м2</v>
      </c>
      <c r="D80" s="32" t="str">
        <f>Source!H41</f>
        <v>100 м2</v>
      </c>
      <c r="E80" s="13">
        <f>Source!I41</f>
        <v>6.6299999999999998E-2</v>
      </c>
      <c r="F80" s="33">
        <f>Source!AL41+Source!AM41+Source!AO41</f>
        <v>9315.65</v>
      </c>
      <c r="G80" s="34"/>
      <c r="H80" s="35"/>
      <c r="I80" s="34" t="str">
        <f>Source!BO41</f>
        <v/>
      </c>
      <c r="J80" s="34"/>
      <c r="K80" s="35"/>
      <c r="L80" s="36"/>
      <c r="S80">
        <f>ROUND((Source!FX41/100)*((ROUND(Source!AF41*Source!I41, 2)+ROUND(Source!AE41*Source!I41, 2))), 2)</f>
        <v>101.69</v>
      </c>
      <c r="T80">
        <f>Source!X41</f>
        <v>687.12</v>
      </c>
      <c r="U80">
        <f>ROUND((Source!FY41/100)*((ROUND(Source!AF41*Source!I41, 2)+ROUND(Source!AE41*Source!I41, 2))), 2)</f>
        <v>51.27</v>
      </c>
      <c r="V80">
        <f>Source!Y41</f>
        <v>350.04</v>
      </c>
    </row>
    <row r="81" spans="1:26" x14ac:dyDescent="0.2">
      <c r="C81" s="28" t="str">
        <f>"Объем: "&amp;Source!I41&amp;"=6,63/"&amp;"100"</f>
        <v>Объем: 0,0663=6,63/100</v>
      </c>
    </row>
    <row r="82" spans="1:26" ht="14.25" x14ac:dyDescent="0.2">
      <c r="A82" s="50"/>
      <c r="B82" s="51"/>
      <c r="C82" s="51" t="s">
        <v>475</v>
      </c>
      <c r="D82" s="32"/>
      <c r="E82" s="13"/>
      <c r="F82" s="33">
        <f>Source!AO41</f>
        <v>1201.1400000000001</v>
      </c>
      <c r="G82" s="34" t="str">
        <f>Source!DG41</f>
        <v>)*1,15</v>
      </c>
      <c r="H82" s="35">
        <f>ROUND(Source!AF41*Source!I41, 2)</f>
        <v>91.58</v>
      </c>
      <c r="I82" s="34"/>
      <c r="J82" s="34">
        <f>IF(Source!BA41&lt;&gt; 0, Source!BA41, 1)</f>
        <v>6.77</v>
      </c>
      <c r="K82" s="35">
        <f>Source!S41</f>
        <v>620</v>
      </c>
      <c r="L82" s="36"/>
      <c r="R82">
        <f>H82</f>
        <v>91.58</v>
      </c>
    </row>
    <row r="83" spans="1:26" ht="14.25" x14ac:dyDescent="0.2">
      <c r="A83" s="50"/>
      <c r="B83" s="51"/>
      <c r="C83" s="51" t="s">
        <v>210</v>
      </c>
      <c r="D83" s="32"/>
      <c r="E83" s="13"/>
      <c r="F83" s="33">
        <f>Source!AM41</f>
        <v>255.21</v>
      </c>
      <c r="G83" s="34" t="str">
        <f>Source!DE41</f>
        <v>)*1,25</v>
      </c>
      <c r="H83" s="35">
        <f>ROUND(Source!AD41*Source!I41, 2)</f>
        <v>21.15</v>
      </c>
      <c r="I83" s="34"/>
      <c r="J83" s="34">
        <f>IF(Source!BB41&lt;&gt; 0, Source!BB41, 1)</f>
        <v>6.77</v>
      </c>
      <c r="K83" s="35">
        <f>Source!Q41</f>
        <v>143.19</v>
      </c>
      <c r="L83" s="36"/>
    </row>
    <row r="84" spans="1:26" ht="14.25" x14ac:dyDescent="0.2">
      <c r="A84" s="50"/>
      <c r="B84" s="51"/>
      <c r="C84" s="51" t="s">
        <v>481</v>
      </c>
      <c r="D84" s="32"/>
      <c r="E84" s="13"/>
      <c r="F84" s="33">
        <f>Source!AN41</f>
        <v>50.32</v>
      </c>
      <c r="G84" s="34" t="str">
        <f>Source!DF41</f>
        <v>)*1,25</v>
      </c>
      <c r="H84" s="45">
        <f>ROUND(Source!AE41*Source!I41, 2)</f>
        <v>4.17</v>
      </c>
      <c r="I84" s="34"/>
      <c r="J84" s="34">
        <f>IF(Source!BS41&lt;&gt; 0, Source!BS41, 1)</f>
        <v>6.77</v>
      </c>
      <c r="K84" s="45">
        <f>Source!R41</f>
        <v>28.23</v>
      </c>
      <c r="L84" s="36"/>
      <c r="R84">
        <f>H84</f>
        <v>4.17</v>
      </c>
    </row>
    <row r="85" spans="1:26" ht="14.25" x14ac:dyDescent="0.2">
      <c r="A85" s="50"/>
      <c r="B85" s="51"/>
      <c r="C85" s="51" t="s">
        <v>482</v>
      </c>
      <c r="D85" s="32"/>
      <c r="E85" s="13"/>
      <c r="F85" s="33">
        <f>Source!AL41</f>
        <v>7859.3</v>
      </c>
      <c r="G85" s="34" t="str">
        <f>Source!DD41</f>
        <v/>
      </c>
      <c r="H85" s="35">
        <f>ROUND(Source!AC41*Source!I41, 2)</f>
        <v>521.07000000000005</v>
      </c>
      <c r="I85" s="34"/>
      <c r="J85" s="34">
        <f>IF(Source!BC41&lt;&gt; 0, Source!BC41, 1)</f>
        <v>6.77</v>
      </c>
      <c r="K85" s="35">
        <f>Source!P41</f>
        <v>3527.65</v>
      </c>
      <c r="L85" s="36"/>
    </row>
    <row r="86" spans="1:26" ht="14.25" x14ac:dyDescent="0.2">
      <c r="A86" s="50"/>
      <c r="B86" s="51"/>
      <c r="C86" s="51" t="s">
        <v>476</v>
      </c>
      <c r="D86" s="32" t="s">
        <v>477</v>
      </c>
      <c r="E86" s="13">
        <f>Source!BZ41</f>
        <v>118</v>
      </c>
      <c r="F86" s="85" t="str">
        <f>CONCATENATE(" )", Source!DL41, Source!FT41, "=", Source!FX41)</f>
        <v xml:space="preserve"> )*0,9=106,2</v>
      </c>
      <c r="G86" s="86"/>
      <c r="H86" s="35">
        <f>SUM(S80:S90)</f>
        <v>101.69</v>
      </c>
      <c r="I86" s="37"/>
      <c r="J86" s="30">
        <f>Source!AT41</f>
        <v>106</v>
      </c>
      <c r="K86" s="35">
        <f>SUM(T80:T90)</f>
        <v>687.12</v>
      </c>
      <c r="L86" s="36"/>
    </row>
    <row r="87" spans="1:26" ht="14.25" x14ac:dyDescent="0.2">
      <c r="A87" s="50"/>
      <c r="B87" s="51"/>
      <c r="C87" s="51" t="s">
        <v>478</v>
      </c>
      <c r="D87" s="32" t="s">
        <v>477</v>
      </c>
      <c r="E87" s="13">
        <f>Source!CA41</f>
        <v>63</v>
      </c>
      <c r="F87" s="85" t="str">
        <f>CONCATENATE(" )", Source!DM41, Source!FU41, "=", Source!FY41)</f>
        <v xml:space="preserve"> )*0,85=53,55</v>
      </c>
      <c r="G87" s="86"/>
      <c r="H87" s="35">
        <f>SUM(U80:U90)</f>
        <v>51.27</v>
      </c>
      <c r="I87" s="37"/>
      <c r="J87" s="30">
        <f>Source!AU41</f>
        <v>54</v>
      </c>
      <c r="K87" s="35">
        <f>SUM(V80:V90)</f>
        <v>350.04</v>
      </c>
      <c r="L87" s="36"/>
    </row>
    <row r="88" spans="1:26" ht="14.25" x14ac:dyDescent="0.2">
      <c r="A88" s="50"/>
      <c r="B88" s="51"/>
      <c r="C88" s="51" t="s">
        <v>479</v>
      </c>
      <c r="D88" s="32" t="s">
        <v>480</v>
      </c>
      <c r="E88" s="13">
        <f>Source!AQ41</f>
        <v>137.43</v>
      </c>
      <c r="F88" s="33"/>
      <c r="G88" s="34" t="str">
        <f>Source!DI41</f>
        <v>)*1,15</v>
      </c>
      <c r="H88" s="35"/>
      <c r="I88" s="34"/>
      <c r="J88" s="34"/>
      <c r="K88" s="35"/>
      <c r="L88" s="46">
        <f>Source!U41</f>
        <v>10.478350349999999</v>
      </c>
    </row>
    <row r="89" spans="1:26" ht="14.25" x14ac:dyDescent="0.2">
      <c r="A89" s="50" t="str">
        <f>Source!E43</f>
        <v>7,1</v>
      </c>
      <c r="B89" s="51" t="str">
        <f>Source!F43</f>
        <v>11.3.02.03</v>
      </c>
      <c r="C89" s="51" t="str">
        <f>Source!G43</f>
        <v>Блоки оконные пластиковые</v>
      </c>
      <c r="D89" s="32" t="str">
        <f>Source!H43</f>
        <v>м2</v>
      </c>
      <c r="E89" s="13">
        <f>Source!I43</f>
        <v>6.63</v>
      </c>
      <c r="F89" s="33">
        <f>Source!AL43+Source!AM43+Source!AO43</f>
        <v>0</v>
      </c>
      <c r="G89" s="49" t="s">
        <v>6</v>
      </c>
      <c r="H89" s="35">
        <f>ROUND(Source!AC43*Source!I43, 2)+ROUND(Source!AD43*Source!I43, 2)+ROUND(Source!AF43*Source!I43, 2)</f>
        <v>0</v>
      </c>
      <c r="I89" s="34"/>
      <c r="J89" s="34">
        <f>IF(Source!BC43&lt;&gt; 0, Source!BC43, 1)</f>
        <v>6.77</v>
      </c>
      <c r="K89" s="35">
        <f>Source!O43</f>
        <v>0</v>
      </c>
      <c r="L89" s="36"/>
      <c r="S89">
        <f>ROUND((Source!FX43/100)*((ROUND(Source!AF43*Source!I43, 2)+ROUND(Source!AE43*Source!I43, 2))), 2)</f>
        <v>0</v>
      </c>
      <c r="T89">
        <f>Source!X43</f>
        <v>0</v>
      </c>
      <c r="U89">
        <f>ROUND((Source!FY43/100)*((ROUND(Source!AF43*Source!I43, 2)+ROUND(Source!AE43*Source!I43, 2))), 2)</f>
        <v>0</v>
      </c>
      <c r="V89">
        <f>Source!Y43</f>
        <v>0</v>
      </c>
      <c r="W89">
        <f>IF(Source!BI43&lt;=1,H89, 0)</f>
        <v>0</v>
      </c>
      <c r="X89">
        <f>IF(Source!BI43=2,H89, 0)</f>
        <v>0</v>
      </c>
      <c r="Y89">
        <f>IF(Source!BI43=3,H89, 0)</f>
        <v>0</v>
      </c>
      <c r="Z89">
        <f>IF(Source!BI43=4,H89, 0)</f>
        <v>0</v>
      </c>
    </row>
    <row r="90" spans="1:26" ht="42.75" x14ac:dyDescent="0.2">
      <c r="A90" s="52" t="str">
        <f>Source!E45</f>
        <v>7,2</v>
      </c>
      <c r="B90" s="53" t="str">
        <f>Source!F45</f>
        <v>Цена поставщика</v>
      </c>
      <c r="C90" s="53" t="s">
        <v>485</v>
      </c>
      <c r="D90" s="38" t="str">
        <f>Source!H45</f>
        <v>м2</v>
      </c>
      <c r="E90" s="39">
        <f>Source!I45</f>
        <v>6.63</v>
      </c>
      <c r="F90" s="40">
        <f>Source!AL45+Source!AM45+Source!AO45</f>
        <v>813.95</v>
      </c>
      <c r="G90" s="47" t="s">
        <v>6</v>
      </c>
      <c r="H90" s="42">
        <f>ROUND(Source!AC45*Source!I45, 2)+ROUND(Source!AD45*Source!I45, 2)+ROUND(Source!AF45*Source!I45, 2)</f>
        <v>5396.49</v>
      </c>
      <c r="I90" s="41"/>
      <c r="J90" s="41">
        <f>IF(Source!BC45&lt;&gt; 0, Source!BC45, 1)</f>
        <v>6.77</v>
      </c>
      <c r="K90" s="42">
        <f>Source!O45</f>
        <v>36534.230000000003</v>
      </c>
      <c r="L90" s="48"/>
      <c r="S90">
        <f>ROUND((Source!FX45/100)*((ROUND(Source!AF45*Source!I45, 2)+ROUND(Source!AE45*Source!I45, 2))), 2)</f>
        <v>0</v>
      </c>
      <c r="T90">
        <f>Source!X45</f>
        <v>0</v>
      </c>
      <c r="U90">
        <f>ROUND((Source!FY45/100)*((ROUND(Source!AF45*Source!I45, 2)+ROUND(Source!AE45*Source!I45, 2))), 2)</f>
        <v>0</v>
      </c>
      <c r="V90">
        <f>Source!Y45</f>
        <v>0</v>
      </c>
      <c r="W90">
        <f>IF(Source!BI45&lt;=1,H90, 0)</f>
        <v>5396.49</v>
      </c>
      <c r="X90">
        <f>IF(Source!BI45=2,H90, 0)</f>
        <v>0</v>
      </c>
      <c r="Y90">
        <f>IF(Source!BI45=3,H90, 0)</f>
        <v>0</v>
      </c>
      <c r="Z90">
        <f>IF(Source!BI45=4,H90, 0)</f>
        <v>0</v>
      </c>
    </row>
    <row r="91" spans="1:26" ht="15" x14ac:dyDescent="0.25">
      <c r="G91" s="87">
        <f>H82+H83+H85+H86+H87+SUM(H89:H90)</f>
        <v>6183.25</v>
      </c>
      <c r="H91" s="87"/>
      <c r="J91" s="87">
        <f>K82+K83+K85+K86+K87+SUM(K89:K90)</f>
        <v>41862.230000000003</v>
      </c>
      <c r="K91" s="87"/>
      <c r="L91" s="44">
        <f>Source!U41</f>
        <v>10.478350349999999</v>
      </c>
      <c r="O91" s="26">
        <f>G91</f>
        <v>6183.25</v>
      </c>
      <c r="P91" s="26">
        <f>J91</f>
        <v>41862.230000000003</v>
      </c>
      <c r="Q91" s="26">
        <f>L91</f>
        <v>10.478350349999999</v>
      </c>
      <c r="W91">
        <f>IF(Source!BI41&lt;=1,H82+H83+H85+H86+H87, 0)</f>
        <v>786.76</v>
      </c>
      <c r="X91">
        <f>IF(Source!BI41=2,H82+H83+H85+H86+H87, 0)</f>
        <v>0</v>
      </c>
      <c r="Y91">
        <f>IF(Source!BI41=3,H82+H83+H85+H86+H87, 0)</f>
        <v>0</v>
      </c>
      <c r="Z91">
        <f>IF(Source!BI41=4,H82+H83+H85+H86+H87, 0)</f>
        <v>0</v>
      </c>
    </row>
    <row r="92" spans="1:26" ht="28.5" x14ac:dyDescent="0.2">
      <c r="A92" s="50" t="str">
        <f>Source!E47</f>
        <v>8</v>
      </c>
      <c r="B92" s="51" t="str">
        <f>Source!F47</f>
        <v>10-01-035-01</v>
      </c>
      <c r="C92" s="51" t="str">
        <f>Source!G47</f>
        <v>Установка подоконных досок из ПВХ в каменных стенах толщиной до 0,51 м</v>
      </c>
      <c r="D92" s="32" t="str">
        <f>Source!H47</f>
        <v>100 м</v>
      </c>
      <c r="E92" s="13">
        <f>Source!I47</f>
        <v>2.0722</v>
      </c>
      <c r="F92" s="33">
        <f>Source!AL47+Source!AM47+Source!AO47</f>
        <v>4184.0599999999995</v>
      </c>
      <c r="G92" s="34"/>
      <c r="H92" s="35"/>
      <c r="I92" s="34" t="str">
        <f>Source!BO47</f>
        <v/>
      </c>
      <c r="J92" s="34"/>
      <c r="K92" s="35"/>
      <c r="L92" s="36"/>
      <c r="S92">
        <f>ROUND((Source!FX47/100)*((ROUND(Source!AF47*Source!I47, 2)+ROUND(Source!AE47*Source!I47, 2))), 2)</f>
        <v>463.71</v>
      </c>
      <c r="T92">
        <f>Source!X47</f>
        <v>3133.4</v>
      </c>
      <c r="U92">
        <f>ROUND((Source!FY47/100)*((ROUND(Source!AF47*Source!I47, 2)+ROUND(Source!AE47*Source!I47, 2))), 2)</f>
        <v>233.82</v>
      </c>
      <c r="V92">
        <f>Source!Y47</f>
        <v>1596.26</v>
      </c>
    </row>
    <row r="93" spans="1:26" x14ac:dyDescent="0.2">
      <c r="C93" s="28" t="str">
        <f>"Объем: "&amp;Source!I47&amp;"=207,22/"&amp;"100"</f>
        <v>Объем: 2,0722=207,22/100</v>
      </c>
    </row>
    <row r="94" spans="1:26" ht="14.25" x14ac:dyDescent="0.2">
      <c r="A94" s="50"/>
      <c r="B94" s="51"/>
      <c r="C94" s="51" t="s">
        <v>475</v>
      </c>
      <c r="D94" s="32"/>
      <c r="E94" s="13"/>
      <c r="F94" s="33">
        <f>Source!AO47</f>
        <v>180.75</v>
      </c>
      <c r="G94" s="34" t="str">
        <f>Source!DG47</f>
        <v>)*1,15</v>
      </c>
      <c r="H94" s="35">
        <f>ROUND(Source!AF47*Source!I47, 2)</f>
        <v>430.73</v>
      </c>
      <c r="I94" s="34"/>
      <c r="J94" s="34">
        <f>IF(Source!BA47&lt;&gt; 0, Source!BA47, 1)</f>
        <v>6.77</v>
      </c>
      <c r="K94" s="35">
        <f>Source!S47</f>
        <v>2916.06</v>
      </c>
      <c r="L94" s="36"/>
      <c r="R94">
        <f>H94</f>
        <v>430.73</v>
      </c>
    </row>
    <row r="95" spans="1:26" ht="14.25" x14ac:dyDescent="0.2">
      <c r="A95" s="50"/>
      <c r="B95" s="51"/>
      <c r="C95" s="51" t="s">
        <v>210</v>
      </c>
      <c r="D95" s="32"/>
      <c r="E95" s="13"/>
      <c r="F95" s="33">
        <f>Source!AM47</f>
        <v>11.11</v>
      </c>
      <c r="G95" s="34" t="str">
        <f>Source!DE47</f>
        <v>)*1,25</v>
      </c>
      <c r="H95" s="35">
        <f>ROUND(Source!AD47*Source!I47, 2)</f>
        <v>28.78</v>
      </c>
      <c r="I95" s="34"/>
      <c r="J95" s="34">
        <f>IF(Source!BB47&lt;&gt; 0, Source!BB47, 1)</f>
        <v>6.77</v>
      </c>
      <c r="K95" s="35">
        <f>Source!Q47</f>
        <v>194.82</v>
      </c>
      <c r="L95" s="36"/>
    </row>
    <row r="96" spans="1:26" ht="14.25" x14ac:dyDescent="0.2">
      <c r="A96" s="50"/>
      <c r="B96" s="51"/>
      <c r="C96" s="51" t="s">
        <v>481</v>
      </c>
      <c r="D96" s="32"/>
      <c r="E96" s="13"/>
      <c r="F96" s="33">
        <f>Source!AN47</f>
        <v>2.2799999999999998</v>
      </c>
      <c r="G96" s="34" t="str">
        <f>Source!DF47</f>
        <v>)*1,25</v>
      </c>
      <c r="H96" s="45">
        <f>ROUND(Source!AE47*Source!I47, 2)</f>
        <v>5.91</v>
      </c>
      <c r="I96" s="34"/>
      <c r="J96" s="34">
        <f>IF(Source!BS47&lt;&gt; 0, Source!BS47, 1)</f>
        <v>6.77</v>
      </c>
      <c r="K96" s="45">
        <f>Source!R47</f>
        <v>39.979999999999997</v>
      </c>
      <c r="L96" s="36"/>
      <c r="R96">
        <f>H96</f>
        <v>5.91</v>
      </c>
    </row>
    <row r="97" spans="1:26" ht="14.25" x14ac:dyDescent="0.2">
      <c r="A97" s="50"/>
      <c r="B97" s="51"/>
      <c r="C97" s="51" t="s">
        <v>482</v>
      </c>
      <c r="D97" s="32"/>
      <c r="E97" s="13"/>
      <c r="F97" s="33">
        <f>Source!AL47</f>
        <v>3992.2</v>
      </c>
      <c r="G97" s="34" t="str">
        <f>Source!DD47</f>
        <v/>
      </c>
      <c r="H97" s="35">
        <f>ROUND(Source!AC47*Source!I47, 2)</f>
        <v>8272.64</v>
      </c>
      <c r="I97" s="34"/>
      <c r="J97" s="34">
        <f>IF(Source!BC47&lt;&gt; 0, Source!BC47, 1)</f>
        <v>6.77</v>
      </c>
      <c r="K97" s="35">
        <f>Source!P47</f>
        <v>56005.75</v>
      </c>
      <c r="L97" s="36"/>
    </row>
    <row r="98" spans="1:26" ht="14.25" x14ac:dyDescent="0.2">
      <c r="A98" s="50"/>
      <c r="B98" s="51"/>
      <c r="C98" s="51" t="s">
        <v>476</v>
      </c>
      <c r="D98" s="32" t="s">
        <v>477</v>
      </c>
      <c r="E98" s="13">
        <f>Source!BZ47</f>
        <v>118</v>
      </c>
      <c r="F98" s="85" t="str">
        <f>CONCATENATE(" )", Source!DL47, Source!FT47, "=", Source!FX47)</f>
        <v xml:space="preserve"> )*0,9=106,2</v>
      </c>
      <c r="G98" s="86"/>
      <c r="H98" s="35">
        <f>SUM(S92:S101)</f>
        <v>463.71</v>
      </c>
      <c r="I98" s="37"/>
      <c r="J98" s="30">
        <f>Source!AT47</f>
        <v>106</v>
      </c>
      <c r="K98" s="35">
        <f>SUM(T92:T101)</f>
        <v>3133.4</v>
      </c>
      <c r="L98" s="36"/>
    </row>
    <row r="99" spans="1:26" ht="14.25" x14ac:dyDescent="0.2">
      <c r="A99" s="50"/>
      <c r="B99" s="51"/>
      <c r="C99" s="51" t="s">
        <v>478</v>
      </c>
      <c r="D99" s="32" t="s">
        <v>477</v>
      </c>
      <c r="E99" s="13">
        <f>Source!CA47</f>
        <v>63</v>
      </c>
      <c r="F99" s="85" t="str">
        <f>CONCATENATE(" )", Source!DM47, Source!FU47, "=", Source!FY47)</f>
        <v xml:space="preserve"> )*0,85=53,55</v>
      </c>
      <c r="G99" s="86"/>
      <c r="H99" s="35">
        <f>SUM(U92:U101)</f>
        <v>233.82</v>
      </c>
      <c r="I99" s="37"/>
      <c r="J99" s="30">
        <f>Source!AU47</f>
        <v>54</v>
      </c>
      <c r="K99" s="35">
        <f>SUM(V92:V101)</f>
        <v>1596.26</v>
      </c>
      <c r="L99" s="36"/>
    </row>
    <row r="100" spans="1:26" ht="14.25" x14ac:dyDescent="0.2">
      <c r="A100" s="50"/>
      <c r="B100" s="51"/>
      <c r="C100" s="51" t="s">
        <v>479</v>
      </c>
      <c r="D100" s="32" t="s">
        <v>480</v>
      </c>
      <c r="E100" s="13">
        <f>Source!AQ47</f>
        <v>21.19</v>
      </c>
      <c r="F100" s="33"/>
      <c r="G100" s="34" t="str">
        <f>Source!DI47</f>
        <v>)*1,15</v>
      </c>
      <c r="H100" s="35"/>
      <c r="I100" s="34"/>
      <c r="J100" s="34"/>
      <c r="K100" s="35"/>
      <c r="L100" s="46">
        <f>Source!U47</f>
        <v>50.496405700000004</v>
      </c>
    </row>
    <row r="101" spans="1:26" ht="28.5" x14ac:dyDescent="0.2">
      <c r="A101" s="52" t="str">
        <f>Source!E49</f>
        <v>8,1</v>
      </c>
      <c r="B101" s="53" t="str">
        <f>Source!F49</f>
        <v>11.3.03.01-0010</v>
      </c>
      <c r="C101" s="53" t="str">
        <f>Source!G49</f>
        <v>Доски подоконные ПВХ, шириной 500 мм</v>
      </c>
      <c r="D101" s="38" t="str">
        <f>Source!H49</f>
        <v>м</v>
      </c>
      <c r="E101" s="39">
        <f>Source!I49</f>
        <v>207.22</v>
      </c>
      <c r="F101" s="40">
        <f>Source!AL49+Source!AM49+Source!AO49</f>
        <v>64.349999999999994</v>
      </c>
      <c r="G101" s="47" t="s">
        <v>6</v>
      </c>
      <c r="H101" s="42">
        <f>ROUND(Source!AC49*Source!I49, 2)+ROUND(Source!AD49*Source!I49, 2)+ROUND(Source!AF49*Source!I49, 2)</f>
        <v>13334.61</v>
      </c>
      <c r="I101" s="41"/>
      <c r="J101" s="41">
        <f>IF(Source!BC49&lt;&gt; 0, Source!BC49, 1)</f>
        <v>6.77</v>
      </c>
      <c r="K101" s="42">
        <f>Source!O49</f>
        <v>90275.29</v>
      </c>
      <c r="L101" s="48"/>
      <c r="S101">
        <f>ROUND((Source!FX49/100)*((ROUND(Source!AF49*Source!I49, 2)+ROUND(Source!AE49*Source!I49, 2))), 2)</f>
        <v>0</v>
      </c>
      <c r="T101">
        <f>Source!X49</f>
        <v>0</v>
      </c>
      <c r="U101">
        <f>ROUND((Source!FY49/100)*((ROUND(Source!AF49*Source!I49, 2)+ROUND(Source!AE49*Source!I49, 2))), 2)</f>
        <v>0</v>
      </c>
      <c r="V101">
        <f>Source!Y49</f>
        <v>0</v>
      </c>
      <c r="W101">
        <f>IF(Source!BI49&lt;=1,H101, 0)</f>
        <v>13334.61</v>
      </c>
      <c r="X101">
        <f>IF(Source!BI49=2,H101, 0)</f>
        <v>0</v>
      </c>
      <c r="Y101">
        <f>IF(Source!BI49=3,H101, 0)</f>
        <v>0</v>
      </c>
      <c r="Z101">
        <f>IF(Source!BI49=4,H101, 0)</f>
        <v>0</v>
      </c>
    </row>
    <row r="102" spans="1:26" ht="15" x14ac:dyDescent="0.25">
      <c r="G102" s="87">
        <f>H94+H95+H97+H98+H99+SUM(H101:H101)</f>
        <v>22764.29</v>
      </c>
      <c r="H102" s="87"/>
      <c r="J102" s="87">
        <f>K94+K95+K97+K98+K99+SUM(K101:K101)</f>
        <v>154121.57999999999</v>
      </c>
      <c r="K102" s="87"/>
      <c r="L102" s="44">
        <f>Source!U47</f>
        <v>50.496405700000004</v>
      </c>
      <c r="O102" s="26">
        <f>G102</f>
        <v>22764.29</v>
      </c>
      <c r="P102" s="26">
        <f>J102</f>
        <v>154121.57999999999</v>
      </c>
      <c r="Q102" s="26">
        <f>L102</f>
        <v>50.496405700000004</v>
      </c>
      <c r="W102">
        <f>IF(Source!BI47&lt;=1,H94+H95+H97+H98+H99, 0)</f>
        <v>9429.6799999999985</v>
      </c>
      <c r="X102">
        <f>IF(Source!BI47=2,H94+H95+H97+H98+H99, 0)</f>
        <v>0</v>
      </c>
      <c r="Y102">
        <f>IF(Source!BI47=3,H94+H95+H97+H98+H99, 0)</f>
        <v>0</v>
      </c>
      <c r="Z102">
        <f>IF(Source!BI47=4,H94+H95+H97+H98+H99, 0)</f>
        <v>0</v>
      </c>
    </row>
    <row r="103" spans="1:26" ht="42.75" x14ac:dyDescent="0.2">
      <c r="A103" s="50" t="str">
        <f>Source!E51</f>
        <v>9</v>
      </c>
      <c r="B103" s="51" t="str">
        <f>Source!F51</f>
        <v>12-01-010-01</v>
      </c>
      <c r="C103" s="51" t="str">
        <f>Source!G51</f>
        <v>Устройство мелких покрытий (брандмауэры, парапеты, свесы и т.п.) из листовой оцинкованной стали</v>
      </c>
      <c r="D103" s="32" t="str">
        <f>Source!H51</f>
        <v>100 м2</v>
      </c>
      <c r="E103" s="13">
        <f>Source!I51</f>
        <v>0.5262</v>
      </c>
      <c r="F103" s="33">
        <f>Source!AL51+Source!AM51+Source!AO51</f>
        <v>9874.2199999999993</v>
      </c>
      <c r="G103" s="34"/>
      <c r="H103" s="35"/>
      <c r="I103" s="34" t="str">
        <f>Source!BO51</f>
        <v/>
      </c>
      <c r="J103" s="34"/>
      <c r="K103" s="35"/>
      <c r="L103" s="36"/>
      <c r="S103">
        <f>ROUND((Source!FX51/100)*((ROUND(Source!AF51*Source!I51, 2)+ROUND(Source!AE51*Source!I51, 2))), 2)</f>
        <v>631.04</v>
      </c>
      <c r="T103">
        <f>Source!X51</f>
        <v>4272.16</v>
      </c>
      <c r="U103">
        <f>ROUND((Source!FY51/100)*((ROUND(Source!AF51*Source!I51, 2)+ROUND(Source!AE51*Source!I51, 2))), 2)</f>
        <v>322.83</v>
      </c>
      <c r="V103">
        <f>Source!Y51</f>
        <v>2175.64</v>
      </c>
    </row>
    <row r="104" spans="1:26" x14ac:dyDescent="0.2">
      <c r="C104" s="28" t="str">
        <f>"Объем: "&amp;Source!I51&amp;"=52,62/"&amp;"100"</f>
        <v>Объем: 0,5262=52,62/100</v>
      </c>
    </row>
    <row r="105" spans="1:26" ht="14.25" x14ac:dyDescent="0.2">
      <c r="A105" s="50"/>
      <c r="B105" s="51"/>
      <c r="C105" s="51" t="s">
        <v>475</v>
      </c>
      <c r="D105" s="32"/>
      <c r="E105" s="13"/>
      <c r="F105" s="33">
        <f>Source!AO51</f>
        <v>961.76</v>
      </c>
      <c r="G105" s="34" t="str">
        <f>Source!DG51</f>
        <v>)*1,15</v>
      </c>
      <c r="H105" s="35">
        <f>ROUND(Source!AF51*Source!I51, 2)</f>
        <v>581.99</v>
      </c>
      <c r="I105" s="34"/>
      <c r="J105" s="34">
        <f>IF(Source!BA51&lt;&gt; 0, Source!BA51, 1)</f>
        <v>6.77</v>
      </c>
      <c r="K105" s="35">
        <f>Source!S51</f>
        <v>3940.07</v>
      </c>
      <c r="L105" s="36"/>
      <c r="R105">
        <f>H105</f>
        <v>581.99</v>
      </c>
    </row>
    <row r="106" spans="1:26" ht="14.25" x14ac:dyDescent="0.2">
      <c r="A106" s="50"/>
      <c r="B106" s="51"/>
      <c r="C106" s="51" t="s">
        <v>210</v>
      </c>
      <c r="D106" s="32"/>
      <c r="E106" s="13"/>
      <c r="F106" s="33">
        <f>Source!AM51</f>
        <v>21.88</v>
      </c>
      <c r="G106" s="34" t="str">
        <f>Source!DE51</f>
        <v>)*1,25</v>
      </c>
      <c r="H106" s="35">
        <f>ROUND(Source!AD51*Source!I51, 2)</f>
        <v>14.39</v>
      </c>
      <c r="I106" s="34"/>
      <c r="J106" s="34">
        <f>IF(Source!BB51&lt;&gt; 0, Source!BB51, 1)</f>
        <v>6.77</v>
      </c>
      <c r="K106" s="35">
        <f>Source!Q51</f>
        <v>97.43</v>
      </c>
      <c r="L106" s="36"/>
    </row>
    <row r="107" spans="1:26" ht="14.25" x14ac:dyDescent="0.2">
      <c r="A107" s="50"/>
      <c r="B107" s="51"/>
      <c r="C107" s="51" t="s">
        <v>481</v>
      </c>
      <c r="D107" s="32"/>
      <c r="E107" s="13"/>
      <c r="F107" s="33">
        <f>Source!AN51</f>
        <v>3.51</v>
      </c>
      <c r="G107" s="34" t="str">
        <f>Source!DF51</f>
        <v>)*1,25</v>
      </c>
      <c r="H107" s="45">
        <f>ROUND(Source!AE51*Source!I51, 2)</f>
        <v>2.31</v>
      </c>
      <c r="I107" s="34"/>
      <c r="J107" s="34">
        <f>IF(Source!BS51&lt;&gt; 0, Source!BS51, 1)</f>
        <v>6.77</v>
      </c>
      <c r="K107" s="45">
        <f>Source!R51</f>
        <v>15.63</v>
      </c>
      <c r="L107" s="36"/>
      <c r="R107">
        <f>H107</f>
        <v>2.31</v>
      </c>
    </row>
    <row r="108" spans="1:26" ht="14.25" x14ac:dyDescent="0.2">
      <c r="A108" s="50"/>
      <c r="B108" s="51"/>
      <c r="C108" s="51" t="s">
        <v>482</v>
      </c>
      <c r="D108" s="32"/>
      <c r="E108" s="13"/>
      <c r="F108" s="33">
        <f>Source!AL51</f>
        <v>8890.58</v>
      </c>
      <c r="G108" s="34" t="str">
        <f>Source!DD51</f>
        <v/>
      </c>
      <c r="H108" s="35">
        <f>ROUND(Source!AC51*Source!I51, 2)</f>
        <v>4678.22</v>
      </c>
      <c r="I108" s="34"/>
      <c r="J108" s="34">
        <f>IF(Source!BC51&lt;&gt; 0, Source!BC51, 1)</f>
        <v>6.77</v>
      </c>
      <c r="K108" s="35">
        <f>Source!P51</f>
        <v>31671.57</v>
      </c>
      <c r="L108" s="36"/>
    </row>
    <row r="109" spans="1:26" ht="14.25" x14ac:dyDescent="0.2">
      <c r="A109" s="50"/>
      <c r="B109" s="51"/>
      <c r="C109" s="51" t="s">
        <v>476</v>
      </c>
      <c r="D109" s="32" t="s">
        <v>477</v>
      </c>
      <c r="E109" s="13">
        <f>Source!BZ51</f>
        <v>120</v>
      </c>
      <c r="F109" s="85" t="str">
        <f>CONCATENATE(" )", Source!DL51, Source!FT51, "=", Source!FX51)</f>
        <v xml:space="preserve"> )*0,9=108</v>
      </c>
      <c r="G109" s="86"/>
      <c r="H109" s="35">
        <f>SUM(S103:S111)</f>
        <v>631.04</v>
      </c>
      <c r="I109" s="37"/>
      <c r="J109" s="30">
        <f>Source!AT51</f>
        <v>108</v>
      </c>
      <c r="K109" s="35">
        <f>SUM(T103:T111)</f>
        <v>4272.16</v>
      </c>
      <c r="L109" s="36"/>
    </row>
    <row r="110" spans="1:26" ht="14.25" x14ac:dyDescent="0.2">
      <c r="A110" s="50"/>
      <c r="B110" s="51"/>
      <c r="C110" s="51" t="s">
        <v>478</v>
      </c>
      <c r="D110" s="32" t="s">
        <v>477</v>
      </c>
      <c r="E110" s="13">
        <f>Source!CA51</f>
        <v>65</v>
      </c>
      <c r="F110" s="85" t="str">
        <f>CONCATENATE(" )", Source!DM51, Source!FU51, "=", Source!FY51)</f>
        <v xml:space="preserve"> )*0,85=55,25</v>
      </c>
      <c r="G110" s="86"/>
      <c r="H110" s="35">
        <f>SUM(U103:U111)</f>
        <v>322.83</v>
      </c>
      <c r="I110" s="37"/>
      <c r="J110" s="30">
        <f>Source!AU51</f>
        <v>55</v>
      </c>
      <c r="K110" s="35">
        <f>SUM(V103:V111)</f>
        <v>2175.64</v>
      </c>
      <c r="L110" s="36"/>
    </row>
    <row r="111" spans="1:26" ht="14.25" x14ac:dyDescent="0.2">
      <c r="A111" s="52"/>
      <c r="B111" s="53"/>
      <c r="C111" s="53" t="s">
        <v>479</v>
      </c>
      <c r="D111" s="38" t="s">
        <v>480</v>
      </c>
      <c r="E111" s="39">
        <f>Source!AQ51</f>
        <v>112.75</v>
      </c>
      <c r="F111" s="40"/>
      <c r="G111" s="41" t="str">
        <f>Source!DI51</f>
        <v>)*1,15</v>
      </c>
      <c r="H111" s="42"/>
      <c r="I111" s="41"/>
      <c r="J111" s="41"/>
      <c r="K111" s="42"/>
      <c r="L111" s="43">
        <f>Source!U51</f>
        <v>68.228407500000003</v>
      </c>
    </row>
    <row r="112" spans="1:26" ht="15" x14ac:dyDescent="0.25">
      <c r="G112" s="87">
        <f>H105+H106+H108+H109+H110</f>
        <v>6228.47</v>
      </c>
      <c r="H112" s="87"/>
      <c r="J112" s="87">
        <f>K105+K106+K108+K109+K110</f>
        <v>42156.869999999995</v>
      </c>
      <c r="K112" s="87"/>
      <c r="L112" s="44">
        <f>Source!U51</f>
        <v>68.228407500000003</v>
      </c>
      <c r="O112" s="26">
        <f>G112</f>
        <v>6228.47</v>
      </c>
      <c r="P112" s="26">
        <f>J112</f>
        <v>42156.869999999995</v>
      </c>
      <c r="Q112" s="26">
        <f>L112</f>
        <v>68.228407500000003</v>
      </c>
      <c r="W112">
        <f>IF(Source!BI51&lt;=1,H105+H106+H108+H109+H110, 0)</f>
        <v>6228.47</v>
      </c>
      <c r="X112">
        <f>IF(Source!BI51=2,H105+H106+H108+H109+H110, 0)</f>
        <v>0</v>
      </c>
      <c r="Y112">
        <f>IF(Source!BI51=3,H105+H106+H108+H109+H110, 0)</f>
        <v>0</v>
      </c>
      <c r="Z112">
        <f>IF(Source!BI51=4,H105+H106+H108+H109+H110, 0)</f>
        <v>0</v>
      </c>
    </row>
    <row r="113" spans="1:26" ht="57" x14ac:dyDescent="0.2">
      <c r="A113" s="50" t="str">
        <f>Source!E53</f>
        <v>10</v>
      </c>
      <c r="B113" s="51" t="str">
        <f>Source!F53</f>
        <v>61-7-1</v>
      </c>
      <c r="C113" s="51" t="str">
        <f>Source!G53</f>
        <v>Ремонт штукатурки откосов внутри здания по камню и бетону цементно-известковым раствором прямолинейных</v>
      </c>
      <c r="D113" s="32" t="str">
        <f>Source!H53</f>
        <v>100 м2</v>
      </c>
      <c r="E113" s="13">
        <f>Source!I53</f>
        <v>0.90449999999999997</v>
      </c>
      <c r="F113" s="33">
        <f>Source!AL53+Source!AM53+Source!AO53</f>
        <v>5751.9600000000009</v>
      </c>
      <c r="G113" s="34"/>
      <c r="H113" s="35"/>
      <c r="I113" s="34" t="str">
        <f>Source!BO53</f>
        <v/>
      </c>
      <c r="J113" s="34"/>
      <c r="K113" s="35"/>
      <c r="L113" s="36"/>
      <c r="S113">
        <f>ROUND((Source!FX53/100)*((ROUND(Source!AF53*Source!I53, 2)+ROUND(Source!AE53*Source!I53, 2))), 2)</f>
        <v>2466.44</v>
      </c>
      <c r="T113">
        <f>Source!X53</f>
        <v>16697.77</v>
      </c>
      <c r="U113">
        <f>ROUND((Source!FY53/100)*((ROUND(Source!AF53*Source!I53, 2)+ROUND(Source!AE53*Source!I53, 2))), 2)</f>
        <v>1561.04</v>
      </c>
      <c r="V113">
        <f>Source!Y53</f>
        <v>10568.21</v>
      </c>
    </row>
    <row r="114" spans="1:26" x14ac:dyDescent="0.2">
      <c r="C114" s="28" t="str">
        <f>"Объем: "&amp;Source!I53&amp;"=90,45/"&amp;"100"</f>
        <v>Объем: 0,9045=90,45/100</v>
      </c>
    </row>
    <row r="115" spans="1:26" ht="14.25" x14ac:dyDescent="0.2">
      <c r="A115" s="50"/>
      <c r="B115" s="51"/>
      <c r="C115" s="51" t="s">
        <v>475</v>
      </c>
      <c r="D115" s="32"/>
      <c r="E115" s="13"/>
      <c r="F115" s="33">
        <f>Source!AO53</f>
        <v>3436.05</v>
      </c>
      <c r="G115" s="34" t="str">
        <f>Source!DG53</f>
        <v/>
      </c>
      <c r="H115" s="35">
        <f>ROUND(Source!AF53*Source!I53, 2)</f>
        <v>3107.91</v>
      </c>
      <c r="I115" s="34"/>
      <c r="J115" s="34">
        <f>IF(Source!BA53&lt;&gt; 0, Source!BA53, 1)</f>
        <v>6.77</v>
      </c>
      <c r="K115" s="35">
        <f>Source!S53</f>
        <v>21040.53</v>
      </c>
      <c r="L115" s="36"/>
      <c r="R115">
        <f>H115</f>
        <v>3107.91</v>
      </c>
    </row>
    <row r="116" spans="1:26" ht="14.25" x14ac:dyDescent="0.2">
      <c r="A116" s="50"/>
      <c r="B116" s="51"/>
      <c r="C116" s="51" t="s">
        <v>210</v>
      </c>
      <c r="D116" s="32"/>
      <c r="E116" s="13"/>
      <c r="F116" s="33">
        <f>Source!AM53</f>
        <v>36.26</v>
      </c>
      <c r="G116" s="34" t="str">
        <f>Source!DE53</f>
        <v/>
      </c>
      <c r="H116" s="35">
        <f>ROUND(Source!AD53*Source!I53, 2)</f>
        <v>32.799999999999997</v>
      </c>
      <c r="I116" s="34"/>
      <c r="J116" s="34">
        <f>IF(Source!BB53&lt;&gt; 0, Source!BB53, 1)</f>
        <v>6.77</v>
      </c>
      <c r="K116" s="35">
        <f>Source!Q53</f>
        <v>222.04</v>
      </c>
      <c r="L116" s="36"/>
    </row>
    <row r="117" spans="1:26" ht="14.25" x14ac:dyDescent="0.2">
      <c r="A117" s="50"/>
      <c r="B117" s="51"/>
      <c r="C117" s="51" t="s">
        <v>481</v>
      </c>
      <c r="D117" s="32"/>
      <c r="E117" s="13"/>
      <c r="F117" s="33">
        <f>Source!AN53</f>
        <v>15.66</v>
      </c>
      <c r="G117" s="34" t="str">
        <f>Source!DF53</f>
        <v/>
      </c>
      <c r="H117" s="45">
        <f>ROUND(Source!AE53*Source!I53, 2)</f>
        <v>14.16</v>
      </c>
      <c r="I117" s="34"/>
      <c r="J117" s="34">
        <f>IF(Source!BS53&lt;&gt; 0, Source!BS53, 1)</f>
        <v>6.77</v>
      </c>
      <c r="K117" s="45">
        <f>Source!R53</f>
        <v>95.89</v>
      </c>
      <c r="L117" s="36"/>
      <c r="R117">
        <f>H117</f>
        <v>14.16</v>
      </c>
    </row>
    <row r="118" spans="1:26" ht="14.25" x14ac:dyDescent="0.2">
      <c r="A118" s="50"/>
      <c r="B118" s="51"/>
      <c r="C118" s="51" t="s">
        <v>482</v>
      </c>
      <c r="D118" s="32"/>
      <c r="E118" s="13"/>
      <c r="F118" s="33">
        <f>Source!AL53</f>
        <v>2279.65</v>
      </c>
      <c r="G118" s="34" t="str">
        <f>Source!DD53</f>
        <v/>
      </c>
      <c r="H118" s="35">
        <f>ROUND(Source!AC53*Source!I53, 2)</f>
        <v>2061.94</v>
      </c>
      <c r="I118" s="34"/>
      <c r="J118" s="34">
        <f>IF(Source!BC53&lt;&gt; 0, Source!BC53, 1)</f>
        <v>6.77</v>
      </c>
      <c r="K118" s="35">
        <f>Source!P53</f>
        <v>13959.36</v>
      </c>
      <c r="L118" s="36"/>
    </row>
    <row r="119" spans="1:26" ht="14.25" x14ac:dyDescent="0.2">
      <c r="A119" s="50"/>
      <c r="B119" s="51"/>
      <c r="C119" s="51" t="s">
        <v>476</v>
      </c>
      <c r="D119" s="32" t="s">
        <v>477</v>
      </c>
      <c r="E119" s="13">
        <f>Source!BZ53</f>
        <v>79</v>
      </c>
      <c r="F119" s="54"/>
      <c r="G119" s="34"/>
      <c r="H119" s="35">
        <f>SUM(S113:S123)</f>
        <v>2466.44</v>
      </c>
      <c r="I119" s="37"/>
      <c r="J119" s="30">
        <f>Source!AT53</f>
        <v>79</v>
      </c>
      <c r="K119" s="35">
        <f>SUM(T113:T123)</f>
        <v>16697.77</v>
      </c>
      <c r="L119" s="36"/>
    </row>
    <row r="120" spans="1:26" ht="14.25" x14ac:dyDescent="0.2">
      <c r="A120" s="50"/>
      <c r="B120" s="51"/>
      <c r="C120" s="51" t="s">
        <v>478</v>
      </c>
      <c r="D120" s="32" t="s">
        <v>477</v>
      </c>
      <c r="E120" s="13">
        <f>Source!CA53</f>
        <v>50</v>
      </c>
      <c r="F120" s="54"/>
      <c r="G120" s="34"/>
      <c r="H120" s="35">
        <f>SUM(U113:U123)</f>
        <v>1561.04</v>
      </c>
      <c r="I120" s="37"/>
      <c r="J120" s="30">
        <f>Source!AU53</f>
        <v>50</v>
      </c>
      <c r="K120" s="35">
        <f>SUM(V113:V123)</f>
        <v>10568.21</v>
      </c>
      <c r="L120" s="36"/>
    </row>
    <row r="121" spans="1:26" ht="14.25" x14ac:dyDescent="0.2">
      <c r="A121" s="50"/>
      <c r="B121" s="51"/>
      <c r="C121" s="51" t="s">
        <v>479</v>
      </c>
      <c r="D121" s="32" t="s">
        <v>480</v>
      </c>
      <c r="E121" s="13">
        <f>Source!AQ53</f>
        <v>383.06</v>
      </c>
      <c r="F121" s="33"/>
      <c r="G121" s="34" t="str">
        <f>Source!DI53</f>
        <v/>
      </c>
      <c r="H121" s="35"/>
      <c r="I121" s="34"/>
      <c r="J121" s="34"/>
      <c r="K121" s="35"/>
      <c r="L121" s="46">
        <f>Source!U53</f>
        <v>346.47776999999996</v>
      </c>
    </row>
    <row r="122" spans="1:26" ht="28.5" x14ac:dyDescent="0.2">
      <c r="A122" s="50" t="str">
        <f>Source!E55</f>
        <v>10,1</v>
      </c>
      <c r="B122" s="51" t="str">
        <f>Source!F55</f>
        <v>04.3.01.12-0111</v>
      </c>
      <c r="C122" s="51" t="str">
        <f>Source!G55</f>
        <v>Раствор готовый отделочный тяжелый, цементно-известковый 1:1:6</v>
      </c>
      <c r="D122" s="32" t="str">
        <f>Source!H55</f>
        <v>м3</v>
      </c>
      <c r="E122" s="13">
        <f>Source!I55</f>
        <v>-3.9798</v>
      </c>
      <c r="F122" s="33">
        <f>Source!AL55+Source!AM55+Source!AO55</f>
        <v>517.91</v>
      </c>
      <c r="G122" s="49" t="s">
        <v>6</v>
      </c>
      <c r="H122" s="35">
        <f>ROUND(Source!AC55*Source!I55, 2)+ROUND(Source!AD55*Source!I55, 2)+ROUND(Source!AF55*Source!I55, 2)</f>
        <v>-2061.1799999999998</v>
      </c>
      <c r="I122" s="34"/>
      <c r="J122" s="34">
        <f>IF(Source!BC55&lt;&gt; 0, Source!BC55, 1)</f>
        <v>6.77</v>
      </c>
      <c r="K122" s="35">
        <f>Source!O55</f>
        <v>-13954.18</v>
      </c>
      <c r="L122" s="36"/>
      <c r="S122">
        <f>ROUND((Source!FX55/100)*((ROUND(Source!AF55*Source!I55, 2)+ROUND(Source!AE55*Source!I55, 2))), 2)</f>
        <v>0</v>
      </c>
      <c r="T122">
        <f>Source!X55</f>
        <v>0</v>
      </c>
      <c r="U122">
        <f>ROUND((Source!FY55/100)*((ROUND(Source!AF55*Source!I55, 2)+ROUND(Source!AE55*Source!I55, 2))), 2)</f>
        <v>0</v>
      </c>
      <c r="V122">
        <f>Source!Y55</f>
        <v>0</v>
      </c>
      <c r="W122">
        <f>IF(Source!BI55&lt;=1,H122, 0)</f>
        <v>-2061.1799999999998</v>
      </c>
      <c r="X122">
        <f>IF(Source!BI55=2,H122, 0)</f>
        <v>0</v>
      </c>
      <c r="Y122">
        <f>IF(Source!BI55=3,H122, 0)</f>
        <v>0</v>
      </c>
      <c r="Z122">
        <f>IF(Source!BI55=4,H122, 0)</f>
        <v>0</v>
      </c>
    </row>
    <row r="123" spans="1:26" ht="28.5" x14ac:dyDescent="0.2">
      <c r="A123" s="52" t="str">
        <f>Source!E57</f>
        <v>10,2</v>
      </c>
      <c r="B123" s="53" t="str">
        <f>Source!F57</f>
        <v>04.3.01.12-0006</v>
      </c>
      <c r="C123" s="53" t="str">
        <f>Source!G57</f>
        <v>Раствор готовый кладочный цементно-известковый марки 150</v>
      </c>
      <c r="D123" s="38" t="str">
        <f>Source!H57</f>
        <v>м3</v>
      </c>
      <c r="E123" s="39">
        <f>Source!I57</f>
        <v>3.9798</v>
      </c>
      <c r="F123" s="40">
        <f>Source!AL57+Source!AM57+Source!AO57</f>
        <v>559.23</v>
      </c>
      <c r="G123" s="47" t="s">
        <v>6</v>
      </c>
      <c r="H123" s="42">
        <f>ROUND(Source!AC57*Source!I57, 2)+ROUND(Source!AD57*Source!I57, 2)+ROUND(Source!AF57*Source!I57, 2)</f>
        <v>2225.62</v>
      </c>
      <c r="I123" s="41"/>
      <c r="J123" s="41">
        <f>IF(Source!BC57&lt;&gt; 0, Source!BC57, 1)</f>
        <v>6.77</v>
      </c>
      <c r="K123" s="42">
        <f>Source!O57</f>
        <v>15067.47</v>
      </c>
      <c r="L123" s="48"/>
      <c r="S123">
        <f>ROUND((Source!FX57/100)*((ROUND(Source!AF57*Source!I57, 2)+ROUND(Source!AE57*Source!I57, 2))), 2)</f>
        <v>0</v>
      </c>
      <c r="T123">
        <f>Source!X57</f>
        <v>0</v>
      </c>
      <c r="U123">
        <f>ROUND((Source!FY57/100)*((ROUND(Source!AF57*Source!I57, 2)+ROUND(Source!AE57*Source!I57, 2))), 2)</f>
        <v>0</v>
      </c>
      <c r="V123">
        <f>Source!Y57</f>
        <v>0</v>
      </c>
      <c r="W123">
        <f>IF(Source!BI57&lt;=1,H123, 0)</f>
        <v>2225.62</v>
      </c>
      <c r="X123">
        <f>IF(Source!BI57=2,H123, 0)</f>
        <v>0</v>
      </c>
      <c r="Y123">
        <f>IF(Source!BI57=3,H123, 0)</f>
        <v>0</v>
      </c>
      <c r="Z123">
        <f>IF(Source!BI57=4,H123, 0)</f>
        <v>0</v>
      </c>
    </row>
    <row r="124" spans="1:26" ht="15" x14ac:dyDescent="0.25">
      <c r="G124" s="87">
        <f>H115+H116+H118+H119+H120+SUM(H122:H123)</f>
        <v>9394.5700000000015</v>
      </c>
      <c r="H124" s="87"/>
      <c r="J124" s="87">
        <f>K115+K116+K118+K119+K120+SUM(K122:K123)</f>
        <v>63601.2</v>
      </c>
      <c r="K124" s="87"/>
      <c r="L124" s="44">
        <f>Source!U53</f>
        <v>346.47776999999996</v>
      </c>
      <c r="O124" s="26">
        <f>G124</f>
        <v>9394.5700000000015</v>
      </c>
      <c r="P124" s="26">
        <f>J124</f>
        <v>63601.2</v>
      </c>
      <c r="Q124" s="26">
        <f>L124</f>
        <v>346.47776999999996</v>
      </c>
      <c r="W124">
        <f>IF(Source!BI53&lt;=1,H115+H116+H118+H119+H120, 0)</f>
        <v>9230.130000000001</v>
      </c>
      <c r="X124">
        <f>IF(Source!BI53=2,H115+H116+H118+H119+H120, 0)</f>
        <v>0</v>
      </c>
      <c r="Y124">
        <f>IF(Source!BI53=3,H115+H116+H118+H119+H120, 0)</f>
        <v>0</v>
      </c>
      <c r="Z124">
        <f>IF(Source!BI53=4,H115+H116+H118+H119+H120, 0)</f>
        <v>0</v>
      </c>
    </row>
    <row r="125" spans="1:26" ht="57" x14ac:dyDescent="0.2">
      <c r="A125" s="50" t="str">
        <f>Source!E59</f>
        <v>11</v>
      </c>
      <c r="B125" s="51" t="str">
        <f>Source!F59</f>
        <v>15-01-050-04</v>
      </c>
      <c r="C125" s="51" t="str">
        <f>Source!G59</f>
        <v>Облицовка оконных и дверных откосов декоративным бумажно-слоистым пластиком или листами из синтетических материалов на клее</v>
      </c>
      <c r="D125" s="32" t="str">
        <f>Source!H59</f>
        <v>100 м2</v>
      </c>
      <c r="E125" s="13">
        <f>Source!I59</f>
        <v>2.2132999999999998</v>
      </c>
      <c r="F125" s="33">
        <f>Source!AL59+Source!AM59+Source!AO59</f>
        <v>1563.91</v>
      </c>
      <c r="G125" s="34"/>
      <c r="H125" s="35"/>
      <c r="I125" s="34" t="str">
        <f>Source!BO59</f>
        <v/>
      </c>
      <c r="J125" s="34"/>
      <c r="K125" s="35"/>
      <c r="L125" s="36"/>
      <c r="S125">
        <f>ROUND((Source!FX59/100)*((ROUND(Source!AF59*Source!I59, 2)+ROUND(Source!AE59*Source!I59, 2))), 2)</f>
        <v>3693.74</v>
      </c>
      <c r="T125">
        <f>Source!X59</f>
        <v>25138.99</v>
      </c>
      <c r="U125">
        <f>ROUND((Source!FY59/100)*((ROUND(Source!AF59*Source!I59, 2)+ROUND(Source!AE59*Source!I59, 2))), 2)</f>
        <v>1827.33</v>
      </c>
      <c r="V125">
        <f>Source!Y59</f>
        <v>12437.18</v>
      </c>
    </row>
    <row r="126" spans="1:26" x14ac:dyDescent="0.2">
      <c r="C126" s="28" t="str">
        <f>"Объем: "&amp;Source!I59&amp;"=221,33/"&amp;"100"</f>
        <v>Объем: 2,2133=221,33/100</v>
      </c>
    </row>
    <row r="127" spans="1:26" ht="14.25" x14ac:dyDescent="0.2">
      <c r="A127" s="50"/>
      <c r="B127" s="51"/>
      <c r="C127" s="51" t="s">
        <v>475</v>
      </c>
      <c r="D127" s="32"/>
      <c r="E127" s="13"/>
      <c r="F127" s="33">
        <f>Source!AO59</f>
        <v>1528.19</v>
      </c>
      <c r="G127" s="34" t="str">
        <f>Source!DG59</f>
        <v>)*1,15</v>
      </c>
      <c r="H127" s="35">
        <f>ROUND(Source!AF59*Source!I59, 2)</f>
        <v>3889.69</v>
      </c>
      <c r="I127" s="34"/>
      <c r="J127" s="34">
        <f>IF(Source!BA59&lt;&gt; 0, Source!BA59, 1)</f>
        <v>6.77</v>
      </c>
      <c r="K127" s="35">
        <f>Source!S59</f>
        <v>26333.23</v>
      </c>
      <c r="L127" s="36"/>
      <c r="R127">
        <f>H127</f>
        <v>3889.69</v>
      </c>
    </row>
    <row r="128" spans="1:26" ht="14.25" x14ac:dyDescent="0.2">
      <c r="A128" s="50"/>
      <c r="B128" s="51"/>
      <c r="C128" s="51" t="s">
        <v>210</v>
      </c>
      <c r="D128" s="32"/>
      <c r="E128" s="13"/>
      <c r="F128" s="33">
        <f>Source!AM59</f>
        <v>35.36</v>
      </c>
      <c r="G128" s="34" t="str">
        <f>Source!DE59</f>
        <v>)*1,25</v>
      </c>
      <c r="H128" s="35">
        <f>ROUND(Source!AD59*Source!I59, 2)</f>
        <v>97.83</v>
      </c>
      <c r="I128" s="34"/>
      <c r="J128" s="34">
        <f>IF(Source!BB59&lt;&gt; 0, Source!BB59, 1)</f>
        <v>6.77</v>
      </c>
      <c r="K128" s="35">
        <f>Source!Q59</f>
        <v>662.29</v>
      </c>
      <c r="L128" s="36"/>
    </row>
    <row r="129" spans="1:26" ht="14.25" x14ac:dyDescent="0.2">
      <c r="A129" s="50"/>
      <c r="B129" s="51"/>
      <c r="C129" s="51" t="s">
        <v>481</v>
      </c>
      <c r="D129" s="32"/>
      <c r="E129" s="13"/>
      <c r="F129" s="33">
        <f>Source!AN59</f>
        <v>6.88</v>
      </c>
      <c r="G129" s="34" t="str">
        <f>Source!DF59</f>
        <v>)*1,25</v>
      </c>
      <c r="H129" s="45">
        <f>ROUND(Source!AE59*Source!I59, 2)</f>
        <v>19.03</v>
      </c>
      <c r="I129" s="34"/>
      <c r="J129" s="34">
        <f>IF(Source!BS59&lt;&gt; 0, Source!BS59, 1)</f>
        <v>6.77</v>
      </c>
      <c r="K129" s="45">
        <f>Source!R59</f>
        <v>128.86000000000001</v>
      </c>
      <c r="L129" s="36"/>
      <c r="R129">
        <f>H129</f>
        <v>19.03</v>
      </c>
    </row>
    <row r="130" spans="1:26" ht="14.25" x14ac:dyDescent="0.2">
      <c r="A130" s="50"/>
      <c r="B130" s="51"/>
      <c r="C130" s="51" t="s">
        <v>482</v>
      </c>
      <c r="D130" s="32"/>
      <c r="E130" s="13"/>
      <c r="F130" s="33">
        <f>Source!AL59</f>
        <v>0.36</v>
      </c>
      <c r="G130" s="34" t="str">
        <f>Source!DD59</f>
        <v/>
      </c>
      <c r="H130" s="35">
        <f>ROUND(Source!AC59*Source!I59, 2)</f>
        <v>0.8</v>
      </c>
      <c r="I130" s="34"/>
      <c r="J130" s="34">
        <f>IF(Source!BC59&lt;&gt; 0, Source!BC59, 1)</f>
        <v>6.77</v>
      </c>
      <c r="K130" s="35">
        <f>Source!P59</f>
        <v>5.39</v>
      </c>
      <c r="L130" s="36"/>
    </row>
    <row r="131" spans="1:26" ht="14.25" x14ac:dyDescent="0.2">
      <c r="A131" s="50"/>
      <c r="B131" s="51"/>
      <c r="C131" s="51" t="s">
        <v>476</v>
      </c>
      <c r="D131" s="32" t="s">
        <v>477</v>
      </c>
      <c r="E131" s="13">
        <f>Source!BZ59</f>
        <v>105</v>
      </c>
      <c r="F131" s="85" t="str">
        <f>CONCATENATE(" )", Source!DL59, Source!FT59, "=", Source!FX59)</f>
        <v xml:space="preserve"> )*0,9=94,5</v>
      </c>
      <c r="G131" s="86"/>
      <c r="H131" s="35">
        <f>SUM(S125:S139)</f>
        <v>3693.74</v>
      </c>
      <c r="I131" s="37"/>
      <c r="J131" s="30">
        <f>Source!AT59</f>
        <v>95</v>
      </c>
      <c r="K131" s="35">
        <f>SUM(T125:T139)</f>
        <v>25138.99</v>
      </c>
      <c r="L131" s="36"/>
    </row>
    <row r="132" spans="1:26" ht="14.25" x14ac:dyDescent="0.2">
      <c r="A132" s="50"/>
      <c r="B132" s="51"/>
      <c r="C132" s="51" t="s">
        <v>478</v>
      </c>
      <c r="D132" s="32" t="s">
        <v>477</v>
      </c>
      <c r="E132" s="13">
        <f>Source!CA59</f>
        <v>55</v>
      </c>
      <c r="F132" s="85" t="str">
        <f>CONCATENATE(" )", Source!DM59, Source!FU59, "=", Source!FY59)</f>
        <v xml:space="preserve"> )*0,85=46,75</v>
      </c>
      <c r="G132" s="86"/>
      <c r="H132" s="35">
        <f>SUM(U125:U139)</f>
        <v>1827.33</v>
      </c>
      <c r="I132" s="37"/>
      <c r="J132" s="30">
        <f>Source!AU59</f>
        <v>47</v>
      </c>
      <c r="K132" s="35">
        <f>SUM(V125:V139)</f>
        <v>12437.18</v>
      </c>
      <c r="L132" s="36"/>
    </row>
    <row r="133" spans="1:26" ht="14.25" x14ac:dyDescent="0.2">
      <c r="A133" s="50"/>
      <c r="B133" s="51"/>
      <c r="C133" s="51" t="s">
        <v>479</v>
      </c>
      <c r="D133" s="32" t="s">
        <v>480</v>
      </c>
      <c r="E133" s="13">
        <f>Source!AQ59</f>
        <v>166.47</v>
      </c>
      <c r="F133" s="33"/>
      <c r="G133" s="34" t="str">
        <f>Source!DI59</f>
        <v>)*1,15</v>
      </c>
      <c r="H133" s="35"/>
      <c r="I133" s="34"/>
      <c r="J133" s="34"/>
      <c r="K133" s="35"/>
      <c r="L133" s="46">
        <f>Source!U59</f>
        <v>423.71525864999995</v>
      </c>
    </row>
    <row r="134" spans="1:26" ht="14.25" x14ac:dyDescent="0.2">
      <c r="A134" s="50" t="str">
        <f>Source!E61</f>
        <v>11,1</v>
      </c>
      <c r="B134" s="51" t="str">
        <f>Source!F61</f>
        <v>01.6.01.11</v>
      </c>
      <c r="C134" s="51" t="str">
        <f>Source!G61</f>
        <v>Листы облицовочные декоративные</v>
      </c>
      <c r="D134" s="32" t="str">
        <f>Source!H61</f>
        <v>м2</v>
      </c>
      <c r="E134" s="13">
        <f>Source!I61</f>
        <v>232.3965</v>
      </c>
      <c r="F134" s="33">
        <f>Source!AL61+Source!AM61+Source!AO61</f>
        <v>0</v>
      </c>
      <c r="G134" s="49" t="s">
        <v>6</v>
      </c>
      <c r="H134" s="35">
        <f>ROUND(Source!AC61*Source!I61, 2)+ROUND(Source!AD61*Source!I61, 2)+ROUND(Source!AF61*Source!I61, 2)</f>
        <v>0</v>
      </c>
      <c r="I134" s="34"/>
      <c r="J134" s="34">
        <f>IF(Source!BC61&lt;&gt; 0, Source!BC61, 1)</f>
        <v>6.77</v>
      </c>
      <c r="K134" s="35">
        <f>Source!O61</f>
        <v>0</v>
      </c>
      <c r="L134" s="36"/>
      <c r="S134">
        <f>ROUND((Source!FX61/100)*((ROUND(Source!AF61*Source!I61, 2)+ROUND(Source!AE61*Source!I61, 2))), 2)</f>
        <v>0</v>
      </c>
      <c r="T134">
        <f>Source!X61</f>
        <v>0</v>
      </c>
      <c r="U134">
        <f>ROUND((Source!FY61/100)*((ROUND(Source!AF61*Source!I61, 2)+ROUND(Source!AE61*Source!I61, 2))), 2)</f>
        <v>0</v>
      </c>
      <c r="V134">
        <f>Source!Y61</f>
        <v>0</v>
      </c>
      <c r="W134">
        <f>IF(Source!BI61&lt;=1,H134, 0)</f>
        <v>0</v>
      </c>
      <c r="X134">
        <f>IF(Source!BI61=2,H134, 0)</f>
        <v>0</v>
      </c>
      <c r="Y134">
        <f>IF(Source!BI61=3,H134, 0)</f>
        <v>0</v>
      </c>
      <c r="Z134">
        <f>IF(Source!BI61=4,H134, 0)</f>
        <v>0</v>
      </c>
    </row>
    <row r="135" spans="1:26" ht="85.5" x14ac:dyDescent="0.2">
      <c r="A135" s="50" t="str">
        <f>Source!E63</f>
        <v>11,2</v>
      </c>
      <c r="B135" s="51" t="str">
        <f>Source!F63</f>
        <v>11.3.03.05-0011</v>
      </c>
      <c r="C135" s="51" t="str">
        <f>Source!G63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135" s="32" t="str">
        <f>Source!H63</f>
        <v>м2</v>
      </c>
      <c r="E135" s="13">
        <f>Source!I63</f>
        <v>232.3965</v>
      </c>
      <c r="F135" s="33">
        <f>Source!AL63+Source!AM63+Source!AO63</f>
        <v>59.16</v>
      </c>
      <c r="G135" s="49" t="s">
        <v>6</v>
      </c>
      <c r="H135" s="35">
        <f>ROUND(Source!AC63*Source!I63, 2)+ROUND(Source!AD63*Source!I63, 2)+ROUND(Source!AF63*Source!I63, 2)</f>
        <v>13748.58</v>
      </c>
      <c r="I135" s="34"/>
      <c r="J135" s="34">
        <f>IF(Source!BC63&lt;&gt; 0, Source!BC63, 1)</f>
        <v>6.77</v>
      </c>
      <c r="K135" s="35">
        <f>Source!O63</f>
        <v>93077.87</v>
      </c>
      <c r="L135" s="36"/>
      <c r="S135">
        <f>ROUND((Source!FX63/100)*((ROUND(Source!AF63*Source!I63, 2)+ROUND(Source!AE63*Source!I63, 2))), 2)</f>
        <v>0</v>
      </c>
      <c r="T135">
        <f>Source!X63</f>
        <v>0</v>
      </c>
      <c r="U135">
        <f>ROUND((Source!FY63/100)*((ROUND(Source!AF63*Source!I63, 2)+ROUND(Source!AE63*Source!I63, 2))), 2)</f>
        <v>0</v>
      </c>
      <c r="V135">
        <f>Source!Y63</f>
        <v>0</v>
      </c>
      <c r="W135">
        <f>IF(Source!BI63&lt;=1,H135, 0)</f>
        <v>13748.58</v>
      </c>
      <c r="X135">
        <f>IF(Source!BI63=2,H135, 0)</f>
        <v>0</v>
      </c>
      <c r="Y135">
        <f>IF(Source!BI63=3,H135, 0)</f>
        <v>0</v>
      </c>
      <c r="Z135">
        <f>IF(Source!BI63=4,H135, 0)</f>
        <v>0</v>
      </c>
    </row>
    <row r="136" spans="1:26" ht="14.25" x14ac:dyDescent="0.2">
      <c r="A136" s="50" t="str">
        <f>Source!E65</f>
        <v>11,3</v>
      </c>
      <c r="B136" s="51" t="str">
        <f>Source!F65</f>
        <v>14.1.06.05</v>
      </c>
      <c r="C136" s="51" t="str">
        <f>Source!G65</f>
        <v>Клей</v>
      </c>
      <c r="D136" s="32" t="str">
        <f>Source!H65</f>
        <v>кг</v>
      </c>
      <c r="E136" s="13">
        <f>Source!I65</f>
        <v>66.399000000000001</v>
      </c>
      <c r="F136" s="33">
        <f>Source!AL65+Source!AM65+Source!AO65</f>
        <v>0</v>
      </c>
      <c r="G136" s="49" t="s">
        <v>6</v>
      </c>
      <c r="H136" s="35">
        <f>ROUND(Source!AC65*Source!I65, 2)+ROUND(Source!AD65*Source!I65, 2)+ROUND(Source!AF65*Source!I65, 2)</f>
        <v>0</v>
      </c>
      <c r="I136" s="34"/>
      <c r="J136" s="34">
        <f>IF(Source!BC65&lt;&gt; 0, Source!BC65, 1)</f>
        <v>6.77</v>
      </c>
      <c r="K136" s="35">
        <f>Source!O65</f>
        <v>0</v>
      </c>
      <c r="L136" s="36"/>
      <c r="S136">
        <f>ROUND((Source!FX65/100)*((ROUND(Source!AF65*Source!I65, 2)+ROUND(Source!AE65*Source!I65, 2))), 2)</f>
        <v>0</v>
      </c>
      <c r="T136">
        <f>Source!X65</f>
        <v>0</v>
      </c>
      <c r="U136">
        <f>ROUND((Source!FY65/100)*((ROUND(Source!AF65*Source!I65, 2)+ROUND(Source!AE65*Source!I65, 2))), 2)</f>
        <v>0</v>
      </c>
      <c r="V136">
        <f>Source!Y65</f>
        <v>0</v>
      </c>
      <c r="W136">
        <f>IF(Source!BI65&lt;=1,H136, 0)</f>
        <v>0</v>
      </c>
      <c r="X136">
        <f>IF(Source!BI65=2,H136, 0)</f>
        <v>0</v>
      </c>
      <c r="Y136">
        <f>IF(Source!BI65=3,H136, 0)</f>
        <v>0</v>
      </c>
      <c r="Z136">
        <f>IF(Source!BI65=4,H136, 0)</f>
        <v>0</v>
      </c>
    </row>
    <row r="137" spans="1:26" ht="28.5" x14ac:dyDescent="0.2">
      <c r="A137" s="50" t="str">
        <f>Source!E67</f>
        <v>11,4</v>
      </c>
      <c r="B137" s="51" t="str">
        <f>Source!F67</f>
        <v>14.1.02.04-0102</v>
      </c>
      <c r="C137" s="51" t="str">
        <f>Source!G67</f>
        <v>Клей Forbo 522, для укладки ПВХ-покрытий</v>
      </c>
      <c r="D137" s="32" t="str">
        <f>Source!H67</f>
        <v>кг</v>
      </c>
      <c r="E137" s="13">
        <f>Source!I67</f>
        <v>66.399000000000001</v>
      </c>
      <c r="F137" s="33">
        <f>Source!AL67+Source!AM67+Source!AO67</f>
        <v>25.56</v>
      </c>
      <c r="G137" s="49" t="s">
        <v>6</v>
      </c>
      <c r="H137" s="35">
        <f>ROUND(Source!AC67*Source!I67, 2)+ROUND(Source!AD67*Source!I67, 2)+ROUND(Source!AF67*Source!I67, 2)</f>
        <v>1697.16</v>
      </c>
      <c r="I137" s="34"/>
      <c r="J137" s="34">
        <f>IF(Source!BC67&lt;&gt; 0, Source!BC67, 1)</f>
        <v>6.77</v>
      </c>
      <c r="K137" s="35">
        <f>Source!O67</f>
        <v>11489.76</v>
      </c>
      <c r="L137" s="36"/>
      <c r="S137">
        <f>ROUND((Source!FX67/100)*((ROUND(Source!AF67*Source!I67, 2)+ROUND(Source!AE67*Source!I67, 2))), 2)</f>
        <v>0</v>
      </c>
      <c r="T137">
        <f>Source!X67</f>
        <v>0</v>
      </c>
      <c r="U137">
        <f>ROUND((Source!FY67/100)*((ROUND(Source!AF67*Source!I67, 2)+ROUND(Source!AE67*Source!I67, 2))), 2)</f>
        <v>0</v>
      </c>
      <c r="V137">
        <f>Source!Y67</f>
        <v>0</v>
      </c>
      <c r="W137">
        <f>IF(Source!BI67&lt;=1,H137, 0)</f>
        <v>1697.16</v>
      </c>
      <c r="X137">
        <f>IF(Source!BI67=2,H137, 0)</f>
        <v>0</v>
      </c>
      <c r="Y137">
        <f>IF(Source!BI67=3,H137, 0)</f>
        <v>0</v>
      </c>
      <c r="Z137">
        <f>IF(Source!BI67=4,H137, 0)</f>
        <v>0</v>
      </c>
    </row>
    <row r="138" spans="1:26" ht="28.5" x14ac:dyDescent="0.2">
      <c r="A138" s="50" t="str">
        <f>Source!E69</f>
        <v>11,5</v>
      </c>
      <c r="B138" s="51" t="str">
        <f>Source!F69</f>
        <v>14.3.01.01-0001</v>
      </c>
      <c r="C138" s="51" t="str">
        <f>Source!G69</f>
        <v>Грунтовка: «Бетоконтакт», КНАУФ</v>
      </c>
      <c r="D138" s="32" t="str">
        <f>Source!H69</f>
        <v>кг</v>
      </c>
      <c r="E138" s="13">
        <f>Source!I69</f>
        <v>19.698</v>
      </c>
      <c r="F138" s="33">
        <f>Source!AL69+Source!AM69+Source!AO69</f>
        <v>15.09</v>
      </c>
      <c r="G138" s="49" t="s">
        <v>6</v>
      </c>
      <c r="H138" s="35">
        <f>ROUND(Source!AC69*Source!I69, 2)+ROUND(Source!AD69*Source!I69, 2)+ROUND(Source!AF69*Source!I69, 2)</f>
        <v>297.24</v>
      </c>
      <c r="I138" s="34"/>
      <c r="J138" s="34">
        <f>IF(Source!BC69&lt;&gt; 0, Source!BC69, 1)</f>
        <v>6.77</v>
      </c>
      <c r="K138" s="35">
        <f>Source!O69</f>
        <v>2012.33</v>
      </c>
      <c r="L138" s="36"/>
      <c r="S138">
        <f>ROUND((Source!FX69/100)*((ROUND(Source!AF69*Source!I69, 2)+ROUND(Source!AE69*Source!I69, 2))), 2)</f>
        <v>0</v>
      </c>
      <c r="T138">
        <f>Source!X69</f>
        <v>0</v>
      </c>
      <c r="U138">
        <f>ROUND((Source!FY69/100)*((ROUND(Source!AF69*Source!I69, 2)+ROUND(Source!AE69*Source!I69, 2))), 2)</f>
        <v>0</v>
      </c>
      <c r="V138">
        <f>Source!Y69</f>
        <v>0</v>
      </c>
      <c r="W138">
        <f>IF(Source!BI69&lt;=1,H138, 0)</f>
        <v>297.24</v>
      </c>
      <c r="X138">
        <f>IF(Source!BI69=2,H138, 0)</f>
        <v>0</v>
      </c>
      <c r="Y138">
        <f>IF(Source!BI69=3,H138, 0)</f>
        <v>0</v>
      </c>
      <c r="Z138">
        <f>IF(Source!BI69=4,H138, 0)</f>
        <v>0</v>
      </c>
    </row>
    <row r="139" spans="1:26" ht="14.25" x14ac:dyDescent="0.2">
      <c r="A139" s="52" t="str">
        <f>Source!E71</f>
        <v>11,6</v>
      </c>
      <c r="B139" s="53" t="str">
        <f>Source!F71</f>
        <v>14.4.01.21</v>
      </c>
      <c r="C139" s="53" t="str">
        <f>Source!G71</f>
        <v>Грунтовка</v>
      </c>
      <c r="D139" s="38" t="str">
        <f>Source!H71</f>
        <v>т</v>
      </c>
      <c r="E139" s="39">
        <f>Source!I71</f>
        <v>1.9698E-2</v>
      </c>
      <c r="F139" s="40">
        <f>Source!AL71+Source!AM71+Source!AO71</f>
        <v>0</v>
      </c>
      <c r="G139" s="47" t="s">
        <v>6</v>
      </c>
      <c r="H139" s="42">
        <f>ROUND(Source!AC71*Source!I71, 2)+ROUND(Source!AD71*Source!I71, 2)+ROUND(Source!AF71*Source!I71, 2)</f>
        <v>0</v>
      </c>
      <c r="I139" s="41"/>
      <c r="J139" s="41">
        <f>IF(Source!BC71&lt;&gt; 0, Source!BC71, 1)</f>
        <v>6.77</v>
      </c>
      <c r="K139" s="42">
        <f>Source!O71</f>
        <v>0</v>
      </c>
      <c r="L139" s="48"/>
      <c r="S139">
        <f>ROUND((Source!FX71/100)*((ROUND(Source!AF71*Source!I71, 2)+ROUND(Source!AE71*Source!I71, 2))), 2)</f>
        <v>0</v>
      </c>
      <c r="T139">
        <f>Source!X71</f>
        <v>0</v>
      </c>
      <c r="U139">
        <f>ROUND((Source!FY71/100)*((ROUND(Source!AF71*Source!I71, 2)+ROUND(Source!AE71*Source!I71, 2))), 2)</f>
        <v>0</v>
      </c>
      <c r="V139">
        <f>Source!Y71</f>
        <v>0</v>
      </c>
      <c r="W139">
        <f>IF(Source!BI71&lt;=1,H139, 0)</f>
        <v>0</v>
      </c>
      <c r="X139">
        <f>IF(Source!BI71=2,H139, 0)</f>
        <v>0</v>
      </c>
      <c r="Y139">
        <f>IF(Source!BI71=3,H139, 0)</f>
        <v>0</v>
      </c>
      <c r="Z139">
        <f>IF(Source!BI71=4,H139, 0)</f>
        <v>0</v>
      </c>
    </row>
    <row r="140" spans="1:26" ht="15" x14ac:dyDescent="0.25">
      <c r="G140" s="87">
        <f>H127+H128+H130+H131+H132+SUM(H134:H139)</f>
        <v>25252.37</v>
      </c>
      <c r="H140" s="87"/>
      <c r="J140" s="87">
        <f>K127+K128+K130+K131+K132+SUM(K134:K139)</f>
        <v>171157.03999999998</v>
      </c>
      <c r="K140" s="87"/>
      <c r="L140" s="44">
        <f>Source!U59</f>
        <v>423.71525864999995</v>
      </c>
      <c r="O140" s="26">
        <f>G140</f>
        <v>25252.37</v>
      </c>
      <c r="P140" s="26">
        <f>J140</f>
        <v>171157.03999999998</v>
      </c>
      <c r="Q140" s="26">
        <f>L140</f>
        <v>423.71525864999995</v>
      </c>
      <c r="W140">
        <f>IF(Source!BI59&lt;=1,H127+H128+H130+H131+H132, 0)</f>
        <v>9509.39</v>
      </c>
      <c r="X140">
        <f>IF(Source!BI59=2,H127+H128+H130+H131+H132, 0)</f>
        <v>0</v>
      </c>
      <c r="Y140">
        <f>IF(Source!BI59=3,H127+H128+H130+H131+H132, 0)</f>
        <v>0</v>
      </c>
      <c r="Z140">
        <f>IF(Source!BI59=4,H127+H128+H130+H131+H132, 0)</f>
        <v>0</v>
      </c>
    </row>
    <row r="141" spans="1:26" ht="28.5" x14ac:dyDescent="0.2">
      <c r="A141" s="50" t="str">
        <f>Source!E73</f>
        <v>12</v>
      </c>
      <c r="B141" s="51" t="str">
        <f>Source!F73</f>
        <v>10-01-036-01</v>
      </c>
      <c r="C141" s="51" t="str">
        <f>Source!G73</f>
        <v>Установка уголков ПВХ на клее</v>
      </c>
      <c r="D141" s="32" t="str">
        <f>Source!H73</f>
        <v>100 м</v>
      </c>
      <c r="E141" s="13">
        <f>Source!I73</f>
        <v>4.4265999999999996</v>
      </c>
      <c r="F141" s="33">
        <f>Source!AL73+Source!AM73+Source!AO73</f>
        <v>93.15</v>
      </c>
      <c r="G141" s="34"/>
      <c r="H141" s="35"/>
      <c r="I141" s="34" t="str">
        <f>Source!BO73</f>
        <v/>
      </c>
      <c r="J141" s="34"/>
      <c r="K141" s="35"/>
      <c r="L141" s="36"/>
      <c r="S141">
        <f>ROUND((Source!FX73/100)*((ROUND(Source!AF73*Source!I73, 2)+ROUND(Source!AE73*Source!I73, 2))), 2)</f>
        <v>308.97000000000003</v>
      </c>
      <c r="T141">
        <f>Source!X73</f>
        <v>2087.75</v>
      </c>
      <c r="U141">
        <f>ROUND((Source!FY73/100)*((ROUND(Source!AF73*Source!I73, 2)+ROUND(Source!AE73*Source!I73, 2))), 2)</f>
        <v>155.79</v>
      </c>
      <c r="V141">
        <f>Source!Y73</f>
        <v>1063.57</v>
      </c>
    </row>
    <row r="142" spans="1:26" x14ac:dyDescent="0.2">
      <c r="C142" s="28" t="str">
        <f>"Объем: "&amp;Source!I73&amp;"=442,66/"&amp;"100"</f>
        <v>Объем: 4,4266=442,66/100</v>
      </c>
    </row>
    <row r="143" spans="1:26" ht="14.25" x14ac:dyDescent="0.2">
      <c r="A143" s="50"/>
      <c r="B143" s="51"/>
      <c r="C143" s="51" t="s">
        <v>475</v>
      </c>
      <c r="D143" s="32"/>
      <c r="E143" s="13"/>
      <c r="F143" s="33">
        <f>Source!AO73</f>
        <v>57.15</v>
      </c>
      <c r="G143" s="34" t="str">
        <f>Source!DG73</f>
        <v>)*1,15</v>
      </c>
      <c r="H143" s="35">
        <f>ROUND(Source!AF73*Source!I73, 2)</f>
        <v>290.93</v>
      </c>
      <c r="I143" s="34"/>
      <c r="J143" s="34">
        <f>IF(Source!BA73&lt;&gt; 0, Source!BA73, 1)</f>
        <v>6.77</v>
      </c>
      <c r="K143" s="35">
        <f>Source!S73</f>
        <v>1969.58</v>
      </c>
      <c r="L143" s="36"/>
      <c r="R143">
        <f>H143</f>
        <v>290.93</v>
      </c>
    </row>
    <row r="144" spans="1:26" ht="14.25" x14ac:dyDescent="0.2">
      <c r="A144" s="50"/>
      <c r="B144" s="51"/>
      <c r="C144" s="51" t="s">
        <v>482</v>
      </c>
      <c r="D144" s="32"/>
      <c r="E144" s="13"/>
      <c r="F144" s="33">
        <f>Source!AL73</f>
        <v>36</v>
      </c>
      <c r="G144" s="34" t="str">
        <f>Source!DD73</f>
        <v/>
      </c>
      <c r="H144" s="35">
        <f>ROUND(Source!AC73*Source!I73, 2)</f>
        <v>159.36000000000001</v>
      </c>
      <c r="I144" s="34"/>
      <c r="J144" s="34">
        <f>IF(Source!BC73&lt;&gt; 0, Source!BC73, 1)</f>
        <v>6.77</v>
      </c>
      <c r="K144" s="35">
        <f>Source!P73</f>
        <v>1078.8499999999999</v>
      </c>
      <c r="L144" s="36"/>
    </row>
    <row r="145" spans="1:26" ht="14.25" x14ac:dyDescent="0.2">
      <c r="A145" s="50"/>
      <c r="B145" s="51"/>
      <c r="C145" s="51" t="s">
        <v>476</v>
      </c>
      <c r="D145" s="32" t="s">
        <v>477</v>
      </c>
      <c r="E145" s="13">
        <f>Source!BZ73</f>
        <v>118</v>
      </c>
      <c r="F145" s="85" t="str">
        <f>CONCATENATE(" )", Source!DL73, Source!FT73, "=", Source!FX73)</f>
        <v xml:space="preserve"> )*0,9=106,2</v>
      </c>
      <c r="G145" s="86"/>
      <c r="H145" s="35">
        <f>SUM(S141:S149)</f>
        <v>308.97000000000003</v>
      </c>
      <c r="I145" s="37"/>
      <c r="J145" s="30">
        <f>Source!AT73</f>
        <v>106</v>
      </c>
      <c r="K145" s="35">
        <f>SUM(T141:T149)</f>
        <v>2087.75</v>
      </c>
      <c r="L145" s="36"/>
    </row>
    <row r="146" spans="1:26" ht="14.25" x14ac:dyDescent="0.2">
      <c r="A146" s="50"/>
      <c r="B146" s="51"/>
      <c r="C146" s="51" t="s">
        <v>478</v>
      </c>
      <c r="D146" s="32" t="s">
        <v>477</v>
      </c>
      <c r="E146" s="13">
        <f>Source!CA73</f>
        <v>63</v>
      </c>
      <c r="F146" s="85" t="str">
        <f>CONCATENATE(" )", Source!DM73, Source!FU73, "=", Source!FY73)</f>
        <v xml:space="preserve"> )*0,85=53,55</v>
      </c>
      <c r="G146" s="86"/>
      <c r="H146" s="35">
        <f>SUM(U141:U149)</f>
        <v>155.79</v>
      </c>
      <c r="I146" s="37"/>
      <c r="J146" s="30">
        <f>Source!AU73</f>
        <v>54</v>
      </c>
      <c r="K146" s="35">
        <f>SUM(V141:V149)</f>
        <v>1063.57</v>
      </c>
      <c r="L146" s="36"/>
    </row>
    <row r="147" spans="1:26" ht="14.25" x14ac:dyDescent="0.2">
      <c r="A147" s="50"/>
      <c r="B147" s="51"/>
      <c r="C147" s="51" t="s">
        <v>479</v>
      </c>
      <c r="D147" s="32" t="s">
        <v>480</v>
      </c>
      <c r="E147" s="13">
        <f>Source!AQ73</f>
        <v>6.7</v>
      </c>
      <c r="F147" s="33"/>
      <c r="G147" s="34" t="str">
        <f>Source!DI73</f>
        <v>)*1,15</v>
      </c>
      <c r="H147" s="35"/>
      <c r="I147" s="34"/>
      <c r="J147" s="34"/>
      <c r="K147" s="35"/>
      <c r="L147" s="46">
        <f>Source!U73</f>
        <v>34.106952999999997</v>
      </c>
    </row>
    <row r="148" spans="1:26" ht="14.25" x14ac:dyDescent="0.2">
      <c r="A148" s="50" t="str">
        <f>Source!E75</f>
        <v>12,1</v>
      </c>
      <c r="B148" s="51" t="str">
        <f>Source!F75</f>
        <v>11.3.03.13</v>
      </c>
      <c r="C148" s="51" t="str">
        <f>Source!G75</f>
        <v>Уголок ПВХ</v>
      </c>
      <c r="D148" s="32" t="str">
        <f>Source!H75</f>
        <v>П.М</v>
      </c>
      <c r="E148" s="13">
        <f>Source!I75</f>
        <v>442.66</v>
      </c>
      <c r="F148" s="33">
        <f>Source!AL75+Source!AM75+Source!AO75</f>
        <v>0</v>
      </c>
      <c r="G148" s="49" t="s">
        <v>6</v>
      </c>
      <c r="H148" s="35">
        <f>ROUND(Source!AC75*Source!I75, 2)+ROUND(Source!AD75*Source!I75, 2)+ROUND(Source!AF75*Source!I75, 2)</f>
        <v>0</v>
      </c>
      <c r="I148" s="34"/>
      <c r="J148" s="34">
        <f>IF(Source!BC75&lt;&gt; 0, Source!BC75, 1)</f>
        <v>6.77</v>
      </c>
      <c r="K148" s="35">
        <f>Source!O75</f>
        <v>0</v>
      </c>
      <c r="L148" s="36"/>
      <c r="S148">
        <f>ROUND((Source!FX75/100)*((ROUND(Source!AF75*Source!I75, 2)+ROUND(Source!AE75*Source!I75, 2))), 2)</f>
        <v>0</v>
      </c>
      <c r="T148">
        <f>Source!X75</f>
        <v>0</v>
      </c>
      <c r="U148">
        <f>ROUND((Source!FY75/100)*((ROUND(Source!AF75*Source!I75, 2)+ROUND(Source!AE75*Source!I75, 2))), 2)</f>
        <v>0</v>
      </c>
      <c r="V148">
        <f>Source!Y75</f>
        <v>0</v>
      </c>
      <c r="W148">
        <f>IF(Source!BI75&lt;=1,H148, 0)</f>
        <v>0</v>
      </c>
      <c r="X148">
        <f>IF(Source!BI75=2,H148, 0)</f>
        <v>0</v>
      </c>
      <c r="Y148">
        <f>IF(Source!BI75=3,H148, 0)</f>
        <v>0</v>
      </c>
      <c r="Z148">
        <f>IF(Source!BI75=4,H148, 0)</f>
        <v>0</v>
      </c>
    </row>
    <row r="149" spans="1:26" ht="28.5" x14ac:dyDescent="0.2">
      <c r="A149" s="52" t="str">
        <f>Source!E77</f>
        <v>12,2</v>
      </c>
      <c r="B149" s="53" t="str">
        <f>Source!F77</f>
        <v>11.3.03.13-0047</v>
      </c>
      <c r="C149" s="53" t="str">
        <f>Source!G77</f>
        <v>Уголок ПВХ, размером 40х40 мм</v>
      </c>
      <c r="D149" s="38" t="str">
        <f>Source!H77</f>
        <v>10 м</v>
      </c>
      <c r="E149" s="39">
        <f>Source!I77</f>
        <v>44.265999999999998</v>
      </c>
      <c r="F149" s="40">
        <f>Source!AL77+Source!AM77+Source!AO77</f>
        <v>44.3</v>
      </c>
      <c r="G149" s="47" t="s">
        <v>6</v>
      </c>
      <c r="H149" s="42">
        <f>ROUND(Source!AC77*Source!I77, 2)+ROUND(Source!AD77*Source!I77, 2)+ROUND(Source!AF77*Source!I77, 2)</f>
        <v>1960.98</v>
      </c>
      <c r="I149" s="41"/>
      <c r="J149" s="41">
        <f>IF(Source!BC77&lt;&gt; 0, Source!BC77, 1)</f>
        <v>6.77</v>
      </c>
      <c r="K149" s="42">
        <f>Source!O77</f>
        <v>13275.86</v>
      </c>
      <c r="L149" s="48"/>
      <c r="S149">
        <f>ROUND((Source!FX77/100)*((ROUND(Source!AF77*Source!I77, 2)+ROUND(Source!AE77*Source!I77, 2))), 2)</f>
        <v>0</v>
      </c>
      <c r="T149">
        <f>Source!X77</f>
        <v>0</v>
      </c>
      <c r="U149">
        <f>ROUND((Source!FY77/100)*((ROUND(Source!AF77*Source!I77, 2)+ROUND(Source!AE77*Source!I77, 2))), 2)</f>
        <v>0</v>
      </c>
      <c r="V149">
        <f>Source!Y77</f>
        <v>0</v>
      </c>
      <c r="W149">
        <f>IF(Source!BI77&lt;=1,H149, 0)</f>
        <v>1960.98</v>
      </c>
      <c r="X149">
        <f>IF(Source!BI77=2,H149, 0)</f>
        <v>0</v>
      </c>
      <c r="Y149">
        <f>IF(Source!BI77=3,H149, 0)</f>
        <v>0</v>
      </c>
      <c r="Z149">
        <f>IF(Source!BI77=4,H149, 0)</f>
        <v>0</v>
      </c>
    </row>
    <row r="150" spans="1:26" ht="15" x14ac:dyDescent="0.25">
      <c r="G150" s="87">
        <f>H143+H144+H145+H146+SUM(H148:H149)</f>
        <v>2876.0299999999997</v>
      </c>
      <c r="H150" s="87"/>
      <c r="J150" s="87">
        <f>K143+K144+K145+K146+SUM(K148:K149)</f>
        <v>19475.61</v>
      </c>
      <c r="K150" s="87"/>
      <c r="L150" s="44">
        <f>Source!U73</f>
        <v>34.106952999999997</v>
      </c>
      <c r="O150" s="26">
        <f>G150</f>
        <v>2876.0299999999997</v>
      </c>
      <c r="P150" s="26">
        <f>J150</f>
        <v>19475.61</v>
      </c>
      <c r="Q150" s="26">
        <f>L150</f>
        <v>34.106952999999997</v>
      </c>
      <c r="W150">
        <f>IF(Source!BI73&lt;=1,H143+H144+H145+H146, 0)</f>
        <v>915.05</v>
      </c>
      <c r="X150">
        <f>IF(Source!BI73=2,H143+H144+H145+H146, 0)</f>
        <v>0</v>
      </c>
      <c r="Y150">
        <f>IF(Source!BI73=3,H143+H144+H145+H146, 0)</f>
        <v>0</v>
      </c>
      <c r="Z150">
        <f>IF(Source!BI73=4,H143+H144+H145+H146, 0)</f>
        <v>0</v>
      </c>
    </row>
    <row r="151" spans="1:26" ht="42.75" x14ac:dyDescent="0.2">
      <c r="A151" s="50" t="str">
        <f>Source!E79</f>
        <v>13</v>
      </c>
      <c r="B151" s="51" t="str">
        <f>Source!F79</f>
        <v>09-06-001-02</v>
      </c>
      <c r="C151" s="51" t="str">
        <f>Source!G79</f>
        <v>Демонтаж: Монтаж лотков, решеток, затворов из полосовой и тонколистовой стали</v>
      </c>
      <c r="D151" s="32" t="str">
        <f>Source!H79</f>
        <v>т</v>
      </c>
      <c r="E151" s="13">
        <f>Source!I79</f>
        <v>0.62</v>
      </c>
      <c r="F151" s="33">
        <f>Source!AL79+Source!AM79+Source!AO79</f>
        <v>641</v>
      </c>
      <c r="G151" s="34"/>
      <c r="H151" s="35"/>
      <c r="I151" s="34" t="str">
        <f>Source!BO79</f>
        <v/>
      </c>
      <c r="J151" s="34"/>
      <c r="K151" s="35"/>
      <c r="L151" s="36"/>
      <c r="S151">
        <f>ROUND((Source!FX79/100)*((ROUND(Source!AF79*Source!I79, 2)+ROUND(Source!AE79*Source!I79, 2))), 2)</f>
        <v>153.65</v>
      </c>
      <c r="T151">
        <f>Source!X79</f>
        <v>1040.17</v>
      </c>
      <c r="U151">
        <f>ROUND((Source!FY79/100)*((ROUND(Source!AF79*Source!I79, 2)+ROUND(Source!AE79*Source!I79, 2))), 2)</f>
        <v>137.05000000000001</v>
      </c>
      <c r="V151">
        <f>Source!Y79</f>
        <v>924.6</v>
      </c>
    </row>
    <row r="152" spans="1:26" ht="14.25" x14ac:dyDescent="0.2">
      <c r="A152" s="50"/>
      <c r="B152" s="51"/>
      <c r="C152" s="51" t="s">
        <v>475</v>
      </c>
      <c r="D152" s="32"/>
      <c r="E152" s="13"/>
      <c r="F152" s="33">
        <f>Source!AO79</f>
        <v>433.24</v>
      </c>
      <c r="G152" s="34" t="str">
        <f>Source!DG79</f>
        <v>)*0,7</v>
      </c>
      <c r="H152" s="35">
        <f>ROUND(Source!AF79*Source!I79, 2)</f>
        <v>188.03</v>
      </c>
      <c r="I152" s="34"/>
      <c r="J152" s="34">
        <f>IF(Source!BA79&lt;&gt; 0, Source!BA79, 1)</f>
        <v>6.77</v>
      </c>
      <c r="K152" s="35">
        <f>Source!S79</f>
        <v>1272.94</v>
      </c>
      <c r="L152" s="36"/>
      <c r="R152">
        <f>H152</f>
        <v>188.03</v>
      </c>
    </row>
    <row r="153" spans="1:26" ht="14.25" x14ac:dyDescent="0.2">
      <c r="A153" s="50"/>
      <c r="B153" s="51"/>
      <c r="C153" s="51" t="s">
        <v>210</v>
      </c>
      <c r="D153" s="32"/>
      <c r="E153" s="13"/>
      <c r="F153" s="33">
        <f>Source!AM79</f>
        <v>125.8</v>
      </c>
      <c r="G153" s="34" t="str">
        <f>Source!DE79</f>
        <v>)*0,7</v>
      </c>
      <c r="H153" s="35">
        <f>ROUND(Source!AD79*Source!I79, 2)</f>
        <v>54.6</v>
      </c>
      <c r="I153" s="34"/>
      <c r="J153" s="34">
        <f>IF(Source!BB79&lt;&gt; 0, Source!BB79, 1)</f>
        <v>6.77</v>
      </c>
      <c r="K153" s="35">
        <f>Source!Q79</f>
        <v>369.62</v>
      </c>
      <c r="L153" s="36"/>
    </row>
    <row r="154" spans="1:26" ht="14.25" x14ac:dyDescent="0.2">
      <c r="A154" s="50"/>
      <c r="B154" s="51"/>
      <c r="C154" s="51" t="s">
        <v>481</v>
      </c>
      <c r="D154" s="32"/>
      <c r="E154" s="13"/>
      <c r="F154" s="33">
        <f>Source!AN79</f>
        <v>3.82</v>
      </c>
      <c r="G154" s="34" t="str">
        <f>Source!DF79</f>
        <v>)*0,7</v>
      </c>
      <c r="H154" s="45">
        <f>ROUND(Source!AE79*Source!I79, 2)</f>
        <v>1.66</v>
      </c>
      <c r="I154" s="34"/>
      <c r="J154" s="34">
        <f>IF(Source!BS79&lt;&gt; 0, Source!BS79, 1)</f>
        <v>6.77</v>
      </c>
      <c r="K154" s="45">
        <f>Source!R79</f>
        <v>11.22</v>
      </c>
      <c r="L154" s="36"/>
      <c r="R154">
        <f>H154</f>
        <v>1.66</v>
      </c>
    </row>
    <row r="155" spans="1:26" ht="14.25" x14ac:dyDescent="0.2">
      <c r="A155" s="50"/>
      <c r="B155" s="51"/>
      <c r="C155" s="51" t="s">
        <v>476</v>
      </c>
      <c r="D155" s="32" t="s">
        <v>477</v>
      </c>
      <c r="E155" s="13">
        <f>Source!BZ79</f>
        <v>90</v>
      </c>
      <c r="F155" s="85" t="str">
        <f>CONCATENATE(" )", Source!DL79, Source!FT79, "=", Source!FX79)</f>
        <v xml:space="preserve"> )*0,9=81</v>
      </c>
      <c r="G155" s="86"/>
      <c r="H155" s="35">
        <f>SUM(S151:S157)</f>
        <v>153.65</v>
      </c>
      <c r="I155" s="37"/>
      <c r="J155" s="30">
        <f>Source!AT79</f>
        <v>81</v>
      </c>
      <c r="K155" s="35">
        <f>SUM(T151:T157)</f>
        <v>1040.17</v>
      </c>
      <c r="L155" s="36"/>
    </row>
    <row r="156" spans="1:26" ht="14.25" x14ac:dyDescent="0.2">
      <c r="A156" s="50"/>
      <c r="B156" s="51"/>
      <c r="C156" s="51" t="s">
        <v>478</v>
      </c>
      <c r="D156" s="32" t="s">
        <v>477</v>
      </c>
      <c r="E156" s="13">
        <f>Source!CA79</f>
        <v>85</v>
      </c>
      <c r="F156" s="85" t="str">
        <f>CONCATENATE(" )", Source!DM79, Source!FU79, "=", Source!FY79)</f>
        <v xml:space="preserve"> )*0,85=72,25</v>
      </c>
      <c r="G156" s="86"/>
      <c r="H156" s="35">
        <f>SUM(U151:U157)</f>
        <v>137.05000000000001</v>
      </c>
      <c r="I156" s="37"/>
      <c r="J156" s="30">
        <f>Source!AU79</f>
        <v>72</v>
      </c>
      <c r="K156" s="35">
        <f>SUM(V151:V157)</f>
        <v>924.6</v>
      </c>
      <c r="L156" s="36"/>
    </row>
    <row r="157" spans="1:26" ht="14.25" x14ac:dyDescent="0.2">
      <c r="A157" s="52"/>
      <c r="B157" s="53"/>
      <c r="C157" s="53" t="s">
        <v>479</v>
      </c>
      <c r="D157" s="38" t="s">
        <v>480</v>
      </c>
      <c r="E157" s="39">
        <f>Source!AQ79</f>
        <v>50.79</v>
      </c>
      <c r="F157" s="40"/>
      <c r="G157" s="41" t="str">
        <f>Source!DI79</f>
        <v>)*0,7</v>
      </c>
      <c r="H157" s="42"/>
      <c r="I157" s="41"/>
      <c r="J157" s="41"/>
      <c r="K157" s="42"/>
      <c r="L157" s="43">
        <f>Source!U79</f>
        <v>22.042859999999997</v>
      </c>
    </row>
    <row r="158" spans="1:26" ht="15" x14ac:dyDescent="0.25">
      <c r="G158" s="87">
        <f>H152+H153+H155+H156</f>
        <v>533.32999999999993</v>
      </c>
      <c r="H158" s="87"/>
      <c r="J158" s="87">
        <f>K152+K153+K155+K156</f>
        <v>3607.33</v>
      </c>
      <c r="K158" s="87"/>
      <c r="L158" s="44">
        <f>Source!U79</f>
        <v>22.042859999999997</v>
      </c>
      <c r="O158" s="26">
        <f>G158</f>
        <v>533.32999999999993</v>
      </c>
      <c r="P158" s="26">
        <f>J158</f>
        <v>3607.33</v>
      </c>
      <c r="Q158" s="26">
        <f>L158</f>
        <v>22.042859999999997</v>
      </c>
      <c r="W158">
        <f>IF(Source!BI79&lt;=1,H152+H153+H155+H156, 0)</f>
        <v>533.32999999999993</v>
      </c>
      <c r="X158">
        <f>IF(Source!BI79=2,H152+H153+H155+H156, 0)</f>
        <v>0</v>
      </c>
      <c r="Y158">
        <f>IF(Source!BI79=3,H152+H153+H155+H156, 0)</f>
        <v>0</v>
      </c>
      <c r="Z158">
        <f>IF(Source!BI79=4,H152+H153+H155+H156, 0)</f>
        <v>0</v>
      </c>
    </row>
    <row r="159" spans="1:26" ht="28.5" x14ac:dyDescent="0.2">
      <c r="A159" s="50" t="str">
        <f>Source!E81</f>
        <v>14</v>
      </c>
      <c r="B159" s="51" t="str">
        <f>Source!F81</f>
        <v>09-06-001-02</v>
      </c>
      <c r="C159" s="51" t="str">
        <f>Source!G81</f>
        <v>Монтаж лотков, решеток, затворов из полосовой и тонколистовой стали</v>
      </c>
      <c r="D159" s="32" t="str">
        <f>Source!H81</f>
        <v>т</v>
      </c>
      <c r="E159" s="13">
        <f>Source!I81</f>
        <v>0.62</v>
      </c>
      <c r="F159" s="33">
        <f>Source!AL81+Source!AM81+Source!AO81</f>
        <v>641</v>
      </c>
      <c r="G159" s="34"/>
      <c r="H159" s="35"/>
      <c r="I159" s="34" t="str">
        <f>Source!BO81</f>
        <v/>
      </c>
      <c r="J159" s="34"/>
      <c r="K159" s="35"/>
      <c r="L159" s="36"/>
      <c r="S159">
        <f>ROUND((Source!FX81/100)*((ROUND(Source!AF81*Source!I81, 2)+ROUND(Source!AE81*Source!I81, 2))), 2)</f>
        <v>252.61</v>
      </c>
      <c r="T159">
        <f>Source!X81</f>
        <v>1710.14</v>
      </c>
      <c r="U159">
        <f>ROUND((Source!FY81/100)*((ROUND(Source!AF81*Source!I81, 2)+ROUND(Source!AE81*Source!I81, 2))), 2)</f>
        <v>225.32</v>
      </c>
      <c r="V159">
        <f>Source!Y81</f>
        <v>1520.13</v>
      </c>
    </row>
    <row r="160" spans="1:26" ht="14.25" x14ac:dyDescent="0.2">
      <c r="A160" s="50"/>
      <c r="B160" s="51"/>
      <c r="C160" s="51" t="s">
        <v>475</v>
      </c>
      <c r="D160" s="32"/>
      <c r="E160" s="13"/>
      <c r="F160" s="33">
        <f>Source!AO81</f>
        <v>433.24</v>
      </c>
      <c r="G160" s="34" t="str">
        <f>Source!DG81</f>
        <v>)*1,15</v>
      </c>
      <c r="H160" s="35">
        <f>ROUND(Source!AF81*Source!I81, 2)</f>
        <v>308.89999999999998</v>
      </c>
      <c r="I160" s="34"/>
      <c r="J160" s="34">
        <f>IF(Source!BA81&lt;&gt; 0, Source!BA81, 1)</f>
        <v>6.77</v>
      </c>
      <c r="K160" s="35">
        <f>Source!S81</f>
        <v>2091.25</v>
      </c>
      <c r="L160" s="36"/>
      <c r="R160">
        <f>H160</f>
        <v>308.89999999999998</v>
      </c>
    </row>
    <row r="161" spans="1:26" ht="14.25" x14ac:dyDescent="0.2">
      <c r="A161" s="50"/>
      <c r="B161" s="51"/>
      <c r="C161" s="51" t="s">
        <v>210</v>
      </c>
      <c r="D161" s="32"/>
      <c r="E161" s="13"/>
      <c r="F161" s="33">
        <f>Source!AM81</f>
        <v>125.8</v>
      </c>
      <c r="G161" s="34" t="str">
        <f>Source!DE81</f>
        <v>)*1,25</v>
      </c>
      <c r="H161" s="35">
        <f>ROUND(Source!AD81*Source!I81, 2)</f>
        <v>97.5</v>
      </c>
      <c r="I161" s="34"/>
      <c r="J161" s="34">
        <f>IF(Source!BB81&lt;&gt; 0, Source!BB81, 1)</f>
        <v>6.77</v>
      </c>
      <c r="K161" s="35">
        <f>Source!Q81</f>
        <v>660.04</v>
      </c>
      <c r="L161" s="36"/>
    </row>
    <row r="162" spans="1:26" ht="14.25" x14ac:dyDescent="0.2">
      <c r="A162" s="50"/>
      <c r="B162" s="51"/>
      <c r="C162" s="51" t="s">
        <v>481</v>
      </c>
      <c r="D162" s="32"/>
      <c r="E162" s="13"/>
      <c r="F162" s="33">
        <f>Source!AN81</f>
        <v>3.82</v>
      </c>
      <c r="G162" s="34" t="str">
        <f>Source!DF81</f>
        <v>)*1,25</v>
      </c>
      <c r="H162" s="45">
        <f>ROUND(Source!AE81*Source!I81, 2)</f>
        <v>2.96</v>
      </c>
      <c r="I162" s="34"/>
      <c r="J162" s="34">
        <f>IF(Source!BS81&lt;&gt; 0, Source!BS81, 1)</f>
        <v>6.77</v>
      </c>
      <c r="K162" s="45">
        <f>Source!R81</f>
        <v>20.04</v>
      </c>
      <c r="L162" s="36"/>
      <c r="R162">
        <f>H162</f>
        <v>2.96</v>
      </c>
    </row>
    <row r="163" spans="1:26" ht="14.25" x14ac:dyDescent="0.2">
      <c r="A163" s="50"/>
      <c r="B163" s="51"/>
      <c r="C163" s="51" t="s">
        <v>482</v>
      </c>
      <c r="D163" s="32"/>
      <c r="E163" s="13"/>
      <c r="F163" s="33">
        <f>Source!AL81</f>
        <v>81.96</v>
      </c>
      <c r="G163" s="34" t="str">
        <f>Source!DD81</f>
        <v/>
      </c>
      <c r="H163" s="35">
        <f>ROUND(Source!AC81*Source!I81, 2)</f>
        <v>50.82</v>
      </c>
      <c r="I163" s="34"/>
      <c r="J163" s="34">
        <f>IF(Source!BC81&lt;&gt; 0, Source!BC81, 1)</f>
        <v>6.77</v>
      </c>
      <c r="K163" s="35">
        <f>Source!P81</f>
        <v>344.02</v>
      </c>
      <c r="L163" s="36"/>
    </row>
    <row r="164" spans="1:26" ht="14.25" x14ac:dyDescent="0.2">
      <c r="A164" s="50"/>
      <c r="B164" s="51"/>
      <c r="C164" s="51" t="s">
        <v>476</v>
      </c>
      <c r="D164" s="32" t="s">
        <v>477</v>
      </c>
      <c r="E164" s="13">
        <f>Source!BZ81</f>
        <v>90</v>
      </c>
      <c r="F164" s="85" t="str">
        <f>CONCATENATE(" )", Source!DL81, Source!FT81, "=", Source!FX81)</f>
        <v xml:space="preserve"> )*0,9=81</v>
      </c>
      <c r="G164" s="86"/>
      <c r="H164" s="35">
        <f>SUM(S159:S168)</f>
        <v>252.61</v>
      </c>
      <c r="I164" s="37"/>
      <c r="J164" s="30">
        <f>Source!AT81</f>
        <v>81</v>
      </c>
      <c r="K164" s="35">
        <f>SUM(T159:T168)</f>
        <v>1710.14</v>
      </c>
      <c r="L164" s="36"/>
    </row>
    <row r="165" spans="1:26" ht="14.25" x14ac:dyDescent="0.2">
      <c r="A165" s="50"/>
      <c r="B165" s="51"/>
      <c r="C165" s="51" t="s">
        <v>478</v>
      </c>
      <c r="D165" s="32" t="s">
        <v>477</v>
      </c>
      <c r="E165" s="13">
        <f>Source!CA81</f>
        <v>85</v>
      </c>
      <c r="F165" s="85" t="str">
        <f>CONCATENATE(" )", Source!DM81, Source!FU81, "=", Source!FY81)</f>
        <v xml:space="preserve"> )*0,85=72,25</v>
      </c>
      <c r="G165" s="86"/>
      <c r="H165" s="35">
        <f>SUM(U159:U168)</f>
        <v>225.32</v>
      </c>
      <c r="I165" s="37"/>
      <c r="J165" s="30">
        <f>Source!AU81</f>
        <v>72</v>
      </c>
      <c r="K165" s="35">
        <f>SUM(V159:V168)</f>
        <v>1520.13</v>
      </c>
      <c r="L165" s="36"/>
    </row>
    <row r="166" spans="1:26" ht="14.25" x14ac:dyDescent="0.2">
      <c r="A166" s="50"/>
      <c r="B166" s="51"/>
      <c r="C166" s="51" t="s">
        <v>479</v>
      </c>
      <c r="D166" s="32" t="s">
        <v>480</v>
      </c>
      <c r="E166" s="13">
        <f>Source!AQ81</f>
        <v>50.79</v>
      </c>
      <c r="F166" s="33"/>
      <c r="G166" s="34" t="str">
        <f>Source!DI81</f>
        <v>)*1,15</v>
      </c>
      <c r="H166" s="35"/>
      <c r="I166" s="34"/>
      <c r="J166" s="34"/>
      <c r="K166" s="35"/>
      <c r="L166" s="46">
        <f>Source!U81</f>
        <v>36.213269999999994</v>
      </c>
    </row>
    <row r="167" spans="1:26" ht="14.25" x14ac:dyDescent="0.2">
      <c r="A167" s="50" t="str">
        <f>Source!E83</f>
        <v>14,1</v>
      </c>
      <c r="B167" s="51" t="str">
        <f>Source!F83</f>
        <v>07.2.07.13</v>
      </c>
      <c r="C167" s="51" t="str">
        <f>Source!G83</f>
        <v>Конструкции стальные</v>
      </c>
      <c r="D167" s="32" t="str">
        <f>Source!H83</f>
        <v>т</v>
      </c>
      <c r="E167" s="13">
        <f>Source!I83</f>
        <v>0.62</v>
      </c>
      <c r="F167" s="33">
        <f>Source!AL83+Source!AM83+Source!AO83</f>
        <v>0</v>
      </c>
      <c r="G167" s="49" t="s">
        <v>6</v>
      </c>
      <c r="H167" s="35">
        <f>ROUND(Source!AC83*Source!I83, 2)+ROUND(Source!AD83*Source!I83, 2)+ROUND(Source!AF83*Source!I83, 2)</f>
        <v>0</v>
      </c>
      <c r="I167" s="34"/>
      <c r="J167" s="34">
        <f>IF(Source!BC83&lt;&gt; 0, Source!BC83, 1)</f>
        <v>6.77</v>
      </c>
      <c r="K167" s="35">
        <f>Source!O83</f>
        <v>0</v>
      </c>
      <c r="L167" s="36"/>
      <c r="S167">
        <f>ROUND((Source!FX83/100)*((ROUND(Source!AF83*Source!I83, 2)+ROUND(Source!AE83*Source!I83, 2))), 2)</f>
        <v>0</v>
      </c>
      <c r="T167">
        <f>Source!X83</f>
        <v>0</v>
      </c>
      <c r="U167">
        <f>ROUND((Source!FY83/100)*((ROUND(Source!AF83*Source!I83, 2)+ROUND(Source!AE83*Source!I83, 2))), 2)</f>
        <v>0</v>
      </c>
      <c r="V167">
        <f>Source!Y83</f>
        <v>0</v>
      </c>
      <c r="W167">
        <f>IF(Source!BI83&lt;=1,H167, 0)</f>
        <v>0</v>
      </c>
      <c r="X167">
        <f>IF(Source!BI83=2,H167, 0)</f>
        <v>0</v>
      </c>
      <c r="Y167">
        <f>IF(Source!BI83=3,H167, 0)</f>
        <v>0</v>
      </c>
      <c r="Z167">
        <f>IF(Source!BI83=4,H167, 0)</f>
        <v>0</v>
      </c>
    </row>
    <row r="168" spans="1:26" ht="42.75" x14ac:dyDescent="0.2">
      <c r="A168" s="52" t="str">
        <f>Source!E85</f>
        <v>14,2</v>
      </c>
      <c r="B168" s="53" t="str">
        <f>Source!F85</f>
        <v>09.2.01.05-0061</v>
      </c>
      <c r="C168" s="53" t="str">
        <f>Source!G85</f>
        <v>Решетки металлическая окрашенная распашная размером 1700х1300 мм  (прим.)</v>
      </c>
      <c r="D168" s="38" t="str">
        <f>Source!H85</f>
        <v>шт.</v>
      </c>
      <c r="E168" s="39">
        <f>Source!I85</f>
        <v>14</v>
      </c>
      <c r="F168" s="40">
        <f>Source!AL85+Source!AM85+Source!AO85</f>
        <v>1777.38</v>
      </c>
      <c r="G168" s="47" t="s">
        <v>6</v>
      </c>
      <c r="H168" s="42">
        <f>ROUND(Source!AC85*Source!I85, 2)+ROUND(Source!AD85*Source!I85, 2)+ROUND(Source!AF85*Source!I85, 2)</f>
        <v>24883.32</v>
      </c>
      <c r="I168" s="41"/>
      <c r="J168" s="41">
        <f>IF(Source!BC85&lt;&gt; 0, Source!BC85, 1)</f>
        <v>6.77</v>
      </c>
      <c r="K168" s="42">
        <f>Source!O85</f>
        <v>168460.08</v>
      </c>
      <c r="L168" s="48"/>
      <c r="S168">
        <f>ROUND((Source!FX85/100)*((ROUND(Source!AF85*Source!I85, 2)+ROUND(Source!AE85*Source!I85, 2))), 2)</f>
        <v>0</v>
      </c>
      <c r="T168">
        <f>Source!X85</f>
        <v>0</v>
      </c>
      <c r="U168">
        <f>ROUND((Source!FY85/100)*((ROUND(Source!AF85*Source!I85, 2)+ROUND(Source!AE85*Source!I85, 2))), 2)</f>
        <v>0</v>
      </c>
      <c r="V168">
        <f>Source!Y85</f>
        <v>0</v>
      </c>
      <c r="W168">
        <f>IF(Source!BI85&lt;=1,H168, 0)</f>
        <v>24883.32</v>
      </c>
      <c r="X168">
        <f>IF(Source!BI85=2,H168, 0)</f>
        <v>0</v>
      </c>
      <c r="Y168">
        <f>IF(Source!BI85=3,H168, 0)</f>
        <v>0</v>
      </c>
      <c r="Z168">
        <f>IF(Source!BI85=4,H168, 0)</f>
        <v>0</v>
      </c>
    </row>
    <row r="169" spans="1:26" ht="15" x14ac:dyDescent="0.25">
      <c r="G169" s="87">
        <f>H160+H161+H163+H164+H165+SUM(H167:H168)</f>
        <v>25818.47</v>
      </c>
      <c r="H169" s="87"/>
      <c r="J169" s="87">
        <f>K160+K161+K163+K164+K165+SUM(K167:K168)</f>
        <v>174785.65999999997</v>
      </c>
      <c r="K169" s="87"/>
      <c r="L169" s="44">
        <f>Source!U81</f>
        <v>36.213269999999994</v>
      </c>
      <c r="O169" s="26">
        <f>G169</f>
        <v>25818.47</v>
      </c>
      <c r="P169" s="26">
        <f>J169</f>
        <v>174785.65999999997</v>
      </c>
      <c r="Q169" s="26">
        <f>L169</f>
        <v>36.213269999999994</v>
      </c>
      <c r="W169">
        <f>IF(Source!BI81&lt;=1,H160+H161+H163+H164+H165, 0)</f>
        <v>935.14999999999986</v>
      </c>
      <c r="X169">
        <f>IF(Source!BI81=2,H160+H161+H163+H164+H165, 0)</f>
        <v>0</v>
      </c>
      <c r="Y169">
        <f>IF(Source!BI81=3,H160+H161+H163+H164+H165, 0)</f>
        <v>0</v>
      </c>
      <c r="Z169">
        <f>IF(Source!BI81=4,H160+H161+H163+H164+H165, 0)</f>
        <v>0</v>
      </c>
    </row>
    <row r="170" spans="1:26" ht="28.5" x14ac:dyDescent="0.2">
      <c r="A170" s="50" t="str">
        <f>Source!E87</f>
        <v>15</v>
      </c>
      <c r="B170" s="51" t="str">
        <f>Source!F87</f>
        <v>69-15-1</v>
      </c>
      <c r="C170" s="51" t="str">
        <f>Source!G87</f>
        <v>Затаривание строительного мусора в мешки</v>
      </c>
      <c r="D170" s="32" t="str">
        <f>Source!H87</f>
        <v>т</v>
      </c>
      <c r="E170" s="13">
        <f>Source!I87</f>
        <v>22.61</v>
      </c>
      <c r="F170" s="33">
        <f>Source!AL87+Source!AM87+Source!AO87</f>
        <v>23.81</v>
      </c>
      <c r="G170" s="34"/>
      <c r="H170" s="35"/>
      <c r="I170" s="34" t="str">
        <f>Source!BO87</f>
        <v/>
      </c>
      <c r="J170" s="34"/>
      <c r="K170" s="35"/>
      <c r="L170" s="36"/>
      <c r="S170">
        <f>ROUND((Source!FX87/100)*((ROUND(Source!AF87*Source!I87, 2)+ROUND(Source!AE87*Source!I87, 2))), 2)</f>
        <v>130.68</v>
      </c>
      <c r="T170">
        <f>Source!X87</f>
        <v>884.72</v>
      </c>
      <c r="U170">
        <f>ROUND((Source!FY87/100)*((ROUND(Source!AF87*Source!I87, 2)+ROUND(Source!AE87*Source!I87, 2))), 2)</f>
        <v>83.77</v>
      </c>
      <c r="V170">
        <f>Source!Y87</f>
        <v>567.13</v>
      </c>
    </row>
    <row r="171" spans="1:26" ht="14.25" x14ac:dyDescent="0.2">
      <c r="A171" s="50"/>
      <c r="B171" s="51"/>
      <c r="C171" s="51" t="s">
        <v>475</v>
      </c>
      <c r="D171" s="32"/>
      <c r="E171" s="13"/>
      <c r="F171" s="33">
        <f>Source!AO87</f>
        <v>7.41</v>
      </c>
      <c r="G171" s="34" t="str">
        <f>Source!DG87</f>
        <v/>
      </c>
      <c r="H171" s="35">
        <f>ROUND(Source!AF87*Source!I87, 2)</f>
        <v>167.54</v>
      </c>
      <c r="I171" s="34"/>
      <c r="J171" s="34">
        <f>IF(Source!BA87&lt;&gt; 0, Source!BA87, 1)</f>
        <v>6.77</v>
      </c>
      <c r="K171" s="35">
        <f>Source!S87</f>
        <v>1134.25</v>
      </c>
      <c r="L171" s="36"/>
      <c r="R171">
        <f>H171</f>
        <v>167.54</v>
      </c>
    </row>
    <row r="172" spans="1:26" ht="14.25" x14ac:dyDescent="0.2">
      <c r="A172" s="50"/>
      <c r="B172" s="51"/>
      <c r="C172" s="51" t="s">
        <v>482</v>
      </c>
      <c r="D172" s="32"/>
      <c r="E172" s="13"/>
      <c r="F172" s="33">
        <f>Source!AL87</f>
        <v>16.399999999999999</v>
      </c>
      <c r="G172" s="34" t="str">
        <f>Source!DD87</f>
        <v/>
      </c>
      <c r="H172" s="35">
        <f>ROUND(Source!AC87*Source!I87, 2)</f>
        <v>370.8</v>
      </c>
      <c r="I172" s="34"/>
      <c r="J172" s="34">
        <f>IF(Source!BC87&lt;&gt; 0, Source!BC87, 1)</f>
        <v>6.77</v>
      </c>
      <c r="K172" s="35">
        <f>Source!P87</f>
        <v>2510.34</v>
      </c>
      <c r="L172" s="36"/>
    </row>
    <row r="173" spans="1:26" ht="14.25" x14ac:dyDescent="0.2">
      <c r="A173" s="50"/>
      <c r="B173" s="51"/>
      <c r="C173" s="51" t="s">
        <v>476</v>
      </c>
      <c r="D173" s="32" t="s">
        <v>477</v>
      </c>
      <c r="E173" s="13">
        <f>Source!BZ87</f>
        <v>78</v>
      </c>
      <c r="F173" s="54"/>
      <c r="G173" s="34"/>
      <c r="H173" s="35">
        <f>SUM(S170:S175)</f>
        <v>130.68</v>
      </c>
      <c r="I173" s="37"/>
      <c r="J173" s="30">
        <f>Source!AT87</f>
        <v>78</v>
      </c>
      <c r="K173" s="35">
        <f>SUM(T170:T175)</f>
        <v>884.72</v>
      </c>
      <c r="L173" s="36"/>
    </row>
    <row r="174" spans="1:26" ht="14.25" x14ac:dyDescent="0.2">
      <c r="A174" s="50"/>
      <c r="B174" s="51"/>
      <c r="C174" s="51" t="s">
        <v>478</v>
      </c>
      <c r="D174" s="32" t="s">
        <v>477</v>
      </c>
      <c r="E174" s="13">
        <f>Source!CA87</f>
        <v>50</v>
      </c>
      <c r="F174" s="54"/>
      <c r="G174" s="34"/>
      <c r="H174" s="35">
        <f>SUM(U170:U175)</f>
        <v>83.77</v>
      </c>
      <c r="I174" s="37"/>
      <c r="J174" s="30">
        <f>Source!AU87</f>
        <v>50</v>
      </c>
      <c r="K174" s="35">
        <f>SUM(V170:V175)</f>
        <v>567.13</v>
      </c>
      <c r="L174" s="36"/>
    </row>
    <row r="175" spans="1:26" ht="14.25" x14ac:dyDescent="0.2">
      <c r="A175" s="52"/>
      <c r="B175" s="53"/>
      <c r="C175" s="53" t="s">
        <v>479</v>
      </c>
      <c r="D175" s="38" t="s">
        <v>480</v>
      </c>
      <c r="E175" s="39">
        <f>Source!AQ87</f>
        <v>1.03</v>
      </c>
      <c r="F175" s="40"/>
      <c r="G175" s="41" t="str">
        <f>Source!DI87</f>
        <v/>
      </c>
      <c r="H175" s="42"/>
      <c r="I175" s="41"/>
      <c r="J175" s="41"/>
      <c r="K175" s="42"/>
      <c r="L175" s="43">
        <f>Source!U87</f>
        <v>23.2883</v>
      </c>
    </row>
    <row r="176" spans="1:26" ht="15" x14ac:dyDescent="0.25">
      <c r="G176" s="87">
        <f>H171+H172+H173+H174</f>
        <v>752.79</v>
      </c>
      <c r="H176" s="87"/>
      <c r="J176" s="87">
        <f>K171+K172+K173+K174</f>
        <v>5096.4400000000005</v>
      </c>
      <c r="K176" s="87"/>
      <c r="L176" s="44">
        <f>Source!U87</f>
        <v>23.2883</v>
      </c>
      <c r="O176" s="26">
        <f>G176</f>
        <v>752.79</v>
      </c>
      <c r="P176" s="26">
        <f>J176</f>
        <v>5096.4400000000005</v>
      </c>
      <c r="Q176" s="26">
        <f>L176</f>
        <v>23.2883</v>
      </c>
      <c r="W176">
        <f>IF(Source!BI87&lt;=1,H171+H172+H173+H174, 0)</f>
        <v>752.79</v>
      </c>
      <c r="X176">
        <f>IF(Source!BI87=2,H171+H172+H173+H174, 0)</f>
        <v>0</v>
      </c>
      <c r="Y176">
        <f>IF(Source!BI87=3,H171+H172+H173+H174, 0)</f>
        <v>0</v>
      </c>
      <c r="Z176">
        <f>IF(Source!BI87=4,H171+H172+H173+H174, 0)</f>
        <v>0</v>
      </c>
    </row>
    <row r="177" spans="1:26" ht="42.75" x14ac:dyDescent="0.2">
      <c r="A177" s="52" t="str">
        <f>Source!E89</f>
        <v>16</v>
      </c>
      <c r="B177" s="53" t="str">
        <f>Source!F89</f>
        <v>т01-01-01-041</v>
      </c>
      <c r="C177" s="53" t="str">
        <f>Source!G89</f>
        <v>Погрузочные работы при автомобильных перевозках мусора строительного с погрузкой вручную</v>
      </c>
      <c r="D177" s="38" t="str">
        <f>Source!H89</f>
        <v>1 Т ГРУЗА</v>
      </c>
      <c r="E177" s="39">
        <f>Source!I89</f>
        <v>22.61</v>
      </c>
      <c r="F177" s="40">
        <f>Source!AK89</f>
        <v>42.98</v>
      </c>
      <c r="G177" s="41" t="str">
        <f>Source!DC89</f>
        <v/>
      </c>
      <c r="H177" s="42">
        <f>ROUND(Source!AB89*Source!I89, 2)</f>
        <v>971.78</v>
      </c>
      <c r="I177" s="41" t="str">
        <f>Source!BO89</f>
        <v/>
      </c>
      <c r="J177" s="41">
        <f>Source!AZ89</f>
        <v>6.77</v>
      </c>
      <c r="K177" s="42">
        <f>Source!GM89</f>
        <v>6578.94</v>
      </c>
      <c r="L177" s="48"/>
      <c r="S177">
        <f>ROUND((Source!FX89/100)*((ROUND(0*Source!I89, 2)+ROUND(0*Source!I89, 2))), 2)</f>
        <v>0</v>
      </c>
      <c r="T177">
        <f>Source!X89</f>
        <v>0</v>
      </c>
      <c r="U177">
        <f>ROUND((Source!FY89/100)*((ROUND(0*Source!I89, 2)+ROUND(0*Source!I89, 2))), 2)</f>
        <v>0</v>
      </c>
      <c r="V177">
        <f>Source!Y89</f>
        <v>0</v>
      </c>
    </row>
    <row r="178" spans="1:26" ht="15" x14ac:dyDescent="0.25">
      <c r="G178" s="87">
        <f>H177</f>
        <v>971.78</v>
      </c>
      <c r="H178" s="87"/>
      <c r="J178" s="87">
        <f>K177</f>
        <v>6578.94</v>
      </c>
      <c r="K178" s="87"/>
      <c r="L178" s="44">
        <f>Source!U89</f>
        <v>0</v>
      </c>
      <c r="O178" s="26">
        <f>G178</f>
        <v>971.78</v>
      </c>
      <c r="P178" s="26">
        <f>J178</f>
        <v>6578.94</v>
      </c>
      <c r="Q178" s="26">
        <f>L178</f>
        <v>0</v>
      </c>
      <c r="W178">
        <f>IF(Source!BI89&lt;=1,H177, 0)</f>
        <v>971.78</v>
      </c>
      <c r="X178">
        <f>IF(Source!BI89=2,H177, 0)</f>
        <v>0</v>
      </c>
      <c r="Y178">
        <f>IF(Source!BI89=3,H177, 0)</f>
        <v>0</v>
      </c>
      <c r="Z178">
        <f>IF(Source!BI89=4,H177, 0)</f>
        <v>0</v>
      </c>
    </row>
    <row r="179" spans="1:26" ht="57" x14ac:dyDescent="0.2">
      <c r="A179" s="52" t="str">
        <f>Source!E91</f>
        <v>17</v>
      </c>
      <c r="B179" s="53" t="str">
        <f>Source!F91</f>
        <v>т03-01-01-035</v>
      </c>
      <c r="C179" s="53" t="str">
        <f>Source!G91</f>
        <v>Перевозка грузов I класса автомобилями бортовыми грузоподъемностью до 15 т на расстояние до 35 км</v>
      </c>
      <c r="D179" s="38" t="str">
        <f>Source!H91</f>
        <v>1 Т ГРУЗА</v>
      </c>
      <c r="E179" s="39">
        <f>Source!I91</f>
        <v>22.61</v>
      </c>
      <c r="F179" s="40">
        <f>Source!AK91</f>
        <v>19.54</v>
      </c>
      <c r="G179" s="41" t="str">
        <f>Source!DC91</f>
        <v/>
      </c>
      <c r="H179" s="42">
        <f>ROUND(Source!AB91*Source!I91, 2)</f>
        <v>441.8</v>
      </c>
      <c r="I179" s="41" t="str">
        <f>Source!BO91</f>
        <v/>
      </c>
      <c r="J179" s="41">
        <f>Source!AZ91</f>
        <v>6.77</v>
      </c>
      <c r="K179" s="42">
        <f>Source!GM91</f>
        <v>2990.98</v>
      </c>
      <c r="L179" s="48"/>
      <c r="S179">
        <f>ROUND((Source!FX91/100)*((ROUND(0*Source!I91, 2)+ROUND(0*Source!I91, 2))), 2)</f>
        <v>0</v>
      </c>
      <c r="T179">
        <f>Source!X91</f>
        <v>0</v>
      </c>
      <c r="U179">
        <f>ROUND((Source!FY91/100)*((ROUND(0*Source!I91, 2)+ROUND(0*Source!I91, 2))), 2)</f>
        <v>0</v>
      </c>
      <c r="V179">
        <f>Source!Y91</f>
        <v>0</v>
      </c>
    </row>
    <row r="180" spans="1:26" ht="15" x14ac:dyDescent="0.25">
      <c r="G180" s="87">
        <f>H179</f>
        <v>441.8</v>
      </c>
      <c r="H180" s="87"/>
      <c r="J180" s="87">
        <f>K179</f>
        <v>2990.98</v>
      </c>
      <c r="K180" s="87"/>
      <c r="L180" s="44">
        <f>Source!U91</f>
        <v>0</v>
      </c>
      <c r="O180" s="26">
        <f>G180</f>
        <v>441.8</v>
      </c>
      <c r="P180" s="26">
        <f>J180</f>
        <v>2990.98</v>
      </c>
      <c r="Q180" s="26">
        <f>L180</f>
        <v>0</v>
      </c>
      <c r="W180">
        <f>IF(Source!BI91&lt;=1,H179, 0)</f>
        <v>441.8</v>
      </c>
      <c r="X180">
        <f>IF(Source!BI91=2,H179, 0)</f>
        <v>0</v>
      </c>
      <c r="Y180">
        <f>IF(Source!BI91=3,H179, 0)</f>
        <v>0</v>
      </c>
      <c r="Z180">
        <f>IF(Source!BI91=4,H179, 0)</f>
        <v>0</v>
      </c>
    </row>
    <row r="182" spans="1:26" ht="15" x14ac:dyDescent="0.25">
      <c r="A182" s="88" t="str">
        <f>CONCATENATE("Итого по локальной смете: ",IF(Source!G93&lt;&gt;"Новая локальная смета", Source!G93, ""))</f>
        <v xml:space="preserve">Итого по локальной смете: </v>
      </c>
      <c r="B182" s="88"/>
      <c r="C182" s="88"/>
      <c r="D182" s="88"/>
      <c r="E182" s="88"/>
      <c r="F182" s="88"/>
      <c r="G182" s="89">
        <f>SUM(O27:O181)</f>
        <v>779529.46</v>
      </c>
      <c r="H182" s="89"/>
      <c r="I182" s="29"/>
      <c r="J182" s="89">
        <f>SUM(P27:P181)</f>
        <v>5277754.5300000021</v>
      </c>
      <c r="K182" s="89"/>
      <c r="L182" s="44">
        <f>SUM(Q27:Q181)</f>
        <v>2164.1171003000004</v>
      </c>
    </row>
    <row r="183" spans="1:26" ht="15" x14ac:dyDescent="0.25">
      <c r="C183" s="88" t="str">
        <f>Source!H121</f>
        <v>Всего</v>
      </c>
      <c r="D183" s="88"/>
      <c r="E183" s="88"/>
      <c r="F183" s="88"/>
      <c r="G183" s="88"/>
      <c r="H183" s="88"/>
      <c r="I183" s="88"/>
      <c r="J183" s="89">
        <f>IF(Source!P121=0, "", Source!P121)</f>
        <v>5277754.53</v>
      </c>
      <c r="K183" s="89"/>
    </row>
    <row r="184" spans="1:26" ht="15" x14ac:dyDescent="0.25">
      <c r="C184" s="88" t="str">
        <f>Source!H122</f>
        <v>Итого НДС 20 %</v>
      </c>
      <c r="D184" s="88"/>
      <c r="E184" s="88"/>
      <c r="F184" s="88"/>
      <c r="G184" s="88"/>
      <c r="H184" s="88"/>
      <c r="I184" s="88"/>
      <c r="J184" s="89">
        <f>IF(Source!P122=0, "", Source!P122)</f>
        <v>1055550.9099999999</v>
      </c>
      <c r="K184" s="89"/>
    </row>
    <row r="185" spans="1:26" ht="15" x14ac:dyDescent="0.25">
      <c r="C185" s="88" t="str">
        <f>Source!H123</f>
        <v>Всего по смете</v>
      </c>
      <c r="D185" s="88"/>
      <c r="E185" s="88"/>
      <c r="F185" s="88"/>
      <c r="G185" s="88"/>
      <c r="H185" s="88"/>
      <c r="I185" s="88"/>
      <c r="J185" s="89">
        <f>IF(Source!P123=0, "", Source!P123)</f>
        <v>6333305.4400000004</v>
      </c>
      <c r="K185" s="89"/>
    </row>
  </sheetData>
  <mergeCells count="104">
    <mergeCell ref="I1:K2"/>
    <mergeCell ref="G176:H176"/>
    <mergeCell ref="J169:K169"/>
    <mergeCell ref="G169:H169"/>
    <mergeCell ref="F165:G165"/>
    <mergeCell ref="F164:G164"/>
    <mergeCell ref="J158:K158"/>
    <mergeCell ref="F99:G99"/>
    <mergeCell ref="F98:G98"/>
    <mergeCell ref="G182:H182"/>
    <mergeCell ref="J182:K182"/>
    <mergeCell ref="A182:F182"/>
    <mergeCell ref="J180:K180"/>
    <mergeCell ref="G180:H180"/>
    <mergeCell ref="J178:K178"/>
    <mergeCell ref="G178:H178"/>
    <mergeCell ref="J176:K176"/>
    <mergeCell ref="J112:K112"/>
    <mergeCell ref="G112:H112"/>
    <mergeCell ref="F110:G110"/>
    <mergeCell ref="F109:G109"/>
    <mergeCell ref="J102:K102"/>
    <mergeCell ref="G102:H102"/>
    <mergeCell ref="F145:G145"/>
    <mergeCell ref="J140:K140"/>
    <mergeCell ref="F131:G131"/>
    <mergeCell ref="J124:K124"/>
    <mergeCell ref="G124:H124"/>
    <mergeCell ref="J32:K32"/>
    <mergeCell ref="G32:H32"/>
    <mergeCell ref="F30:G30"/>
    <mergeCell ref="F29:G29"/>
    <mergeCell ref="F39:G39"/>
    <mergeCell ref="F38:G38"/>
    <mergeCell ref="J41:K41"/>
    <mergeCell ref="G41:H41"/>
    <mergeCell ref="F65:G65"/>
    <mergeCell ref="F64:G64"/>
    <mergeCell ref="J57:K57"/>
    <mergeCell ref="G57:H57"/>
    <mergeCell ref="J49:K49"/>
    <mergeCell ref="G49:H49"/>
    <mergeCell ref="F86:G86"/>
    <mergeCell ref="J79:K79"/>
    <mergeCell ref="G79:H79"/>
    <mergeCell ref="F76:G76"/>
    <mergeCell ref="F75:G75"/>
    <mergeCell ref="J68:K68"/>
    <mergeCell ref="G68:H68"/>
    <mergeCell ref="C184:I184"/>
    <mergeCell ref="J184:K184"/>
    <mergeCell ref="C185:I185"/>
    <mergeCell ref="J185:K185"/>
    <mergeCell ref="C22:F22"/>
    <mergeCell ref="G22:H22"/>
    <mergeCell ref="I22:J22"/>
    <mergeCell ref="K22:L22"/>
    <mergeCell ref="A24:L24"/>
    <mergeCell ref="C183:I183"/>
    <mergeCell ref="J183:K183"/>
    <mergeCell ref="J91:K91"/>
    <mergeCell ref="G91:H91"/>
    <mergeCell ref="F87:G87"/>
    <mergeCell ref="G158:H158"/>
    <mergeCell ref="F156:G156"/>
    <mergeCell ref="F155:G155"/>
    <mergeCell ref="J150:K150"/>
    <mergeCell ref="G150:H150"/>
    <mergeCell ref="F146:G146"/>
    <mergeCell ref="G140:H140"/>
    <mergeCell ref="F132:G132"/>
    <mergeCell ref="F47:G47"/>
    <mergeCell ref="F46:G46"/>
    <mergeCell ref="C20:F20"/>
    <mergeCell ref="G20:H20"/>
    <mergeCell ref="I20:J20"/>
    <mergeCell ref="K20:L20"/>
    <mergeCell ref="C21:F21"/>
    <mergeCell ref="G21:H21"/>
    <mergeCell ref="I21:J21"/>
    <mergeCell ref="K21:L21"/>
    <mergeCell ref="C18:F18"/>
    <mergeCell ref="G18:H18"/>
    <mergeCell ref="I18:J18"/>
    <mergeCell ref="K18:L18"/>
    <mergeCell ref="C19:F19"/>
    <mergeCell ref="G19:H19"/>
    <mergeCell ref="I19:J19"/>
    <mergeCell ref="K19:L19"/>
    <mergeCell ref="C17:F17"/>
    <mergeCell ref="G17:H17"/>
    <mergeCell ref="I17:J17"/>
    <mergeCell ref="K17:L17"/>
    <mergeCell ref="C16:F16"/>
    <mergeCell ref="G16:H16"/>
    <mergeCell ref="I16:J16"/>
    <mergeCell ref="K16:L16"/>
    <mergeCell ref="B6:K6"/>
    <mergeCell ref="B8:K8"/>
    <mergeCell ref="B10:K10"/>
    <mergeCell ref="B11:K11"/>
    <mergeCell ref="A12:L12"/>
    <mergeCell ref="G15:H15"/>
    <mergeCell ref="I15:J15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1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29"/>
      <c r="B2" s="29"/>
      <c r="C2" s="29"/>
      <c r="D2" s="29"/>
      <c r="E2" s="91" t="s">
        <v>486</v>
      </c>
      <c r="F2" s="91"/>
      <c r="G2" s="91"/>
      <c r="H2" s="91"/>
    </row>
    <row r="3" spans="1:31" ht="14.25" x14ac:dyDescent="0.2">
      <c r="A3" s="14"/>
      <c r="B3" s="14"/>
      <c r="C3" s="14"/>
      <c r="D3" s="14"/>
      <c r="E3" s="91" t="s">
        <v>487</v>
      </c>
      <c r="F3" s="91"/>
      <c r="G3" s="91"/>
      <c r="H3" s="91"/>
    </row>
    <row r="4" spans="1:31" ht="14.25" x14ac:dyDescent="0.2">
      <c r="A4" s="14"/>
      <c r="B4" s="14"/>
      <c r="C4" s="14"/>
      <c r="D4" s="14"/>
      <c r="E4" s="91" t="s">
        <v>488</v>
      </c>
      <c r="F4" s="91"/>
      <c r="G4" s="91"/>
      <c r="H4" s="91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92" t="s">
        <v>489</v>
      </c>
      <c r="H6" s="93"/>
    </row>
    <row r="7" spans="1:31" ht="14.25" x14ac:dyDescent="0.2">
      <c r="A7" s="14"/>
      <c r="B7" s="14"/>
      <c r="C7" s="14"/>
      <c r="D7" s="14"/>
      <c r="E7" s="14"/>
      <c r="F7" s="13" t="s">
        <v>490</v>
      </c>
      <c r="G7" s="94" t="s">
        <v>491</v>
      </c>
      <c r="H7" s="93"/>
    </row>
    <row r="8" spans="1:31" ht="14.25" x14ac:dyDescent="0.2">
      <c r="A8" s="14"/>
      <c r="B8" s="14"/>
      <c r="C8" s="14"/>
      <c r="D8" s="14"/>
      <c r="E8" s="14"/>
      <c r="F8" s="14"/>
      <c r="G8" s="92" t="str">
        <f>IF(Source!AT15 &lt;&gt; "", Source!AT15, "")</f>
        <v/>
      </c>
      <c r="H8" s="93"/>
    </row>
    <row r="9" spans="1:31" ht="14.25" x14ac:dyDescent="0.2">
      <c r="A9" s="14" t="s">
        <v>492</v>
      </c>
      <c r="B9" s="14"/>
      <c r="C9" s="97" t="str">
        <f>IF(Source!BA15 &lt;&gt; "", Source!BA15, IF(Source!AU15 &lt;&gt; "", Source!AU15, ""))</f>
        <v/>
      </c>
      <c r="D9" s="97"/>
      <c r="E9" s="97"/>
      <c r="F9" s="13" t="s">
        <v>493</v>
      </c>
      <c r="G9" s="95"/>
      <c r="H9" s="96"/>
    </row>
    <row r="10" spans="1:31" ht="14.25" x14ac:dyDescent="0.2">
      <c r="A10" s="14"/>
      <c r="B10" s="14"/>
      <c r="C10" s="98" t="s">
        <v>494</v>
      </c>
      <c r="D10" s="98"/>
      <c r="E10" s="98"/>
      <c r="F10" s="14"/>
      <c r="G10" s="92" t="str">
        <f>IF(Source!AK15 &lt;&gt; "", Source!AK15, "")</f>
        <v/>
      </c>
      <c r="H10" s="93"/>
    </row>
    <row r="11" spans="1:31" ht="14.25" x14ac:dyDescent="0.2">
      <c r="A11" s="14" t="s">
        <v>495</v>
      </c>
      <c r="B11" s="14"/>
      <c r="C11" s="97" t="str">
        <f>IF(Source!AX12&lt;&gt; "", Source!AX12, IF(Source!AJ12 &lt;&gt; "", Source!AJ12, ""))</f>
        <v/>
      </c>
      <c r="D11" s="97"/>
      <c r="E11" s="97"/>
      <c r="F11" s="13" t="s">
        <v>493</v>
      </c>
      <c r="G11" s="95"/>
      <c r="H11" s="96"/>
    </row>
    <row r="12" spans="1:31" ht="14.25" x14ac:dyDescent="0.2">
      <c r="A12" s="14"/>
      <c r="B12" s="14"/>
      <c r="C12" s="98" t="s">
        <v>494</v>
      </c>
      <c r="D12" s="98"/>
      <c r="E12" s="98"/>
      <c r="F12" s="14"/>
      <c r="G12" s="92" t="str">
        <f>IF(Source!AO15 &lt;&gt; "", Source!AO15, "")</f>
        <v/>
      </c>
      <c r="H12" s="93"/>
    </row>
    <row r="13" spans="1:31" ht="14.25" x14ac:dyDescent="0.2">
      <c r="A13" s="14" t="s">
        <v>496</v>
      </c>
      <c r="B13" s="14"/>
      <c r="C13" s="97" t="str">
        <f>IF(Source!AY12&lt;&gt; "", Source!AY12, IF(Source!AN12 &lt;&gt; "", Source!AN12, ""))</f>
        <v/>
      </c>
      <c r="D13" s="97"/>
      <c r="E13" s="97"/>
      <c r="F13" s="13" t="s">
        <v>493</v>
      </c>
      <c r="G13" s="95"/>
      <c r="H13" s="96"/>
    </row>
    <row r="14" spans="1:31" ht="14.25" x14ac:dyDescent="0.2">
      <c r="A14" s="14"/>
      <c r="B14" s="14"/>
      <c r="C14" s="98" t="s">
        <v>494</v>
      </c>
      <c r="D14" s="98"/>
      <c r="E14" s="98"/>
      <c r="F14" s="14"/>
      <c r="G14" s="92" t="str">
        <f>IF(Source!CO15 &lt;&gt; "", Source!CO15, "")</f>
        <v/>
      </c>
      <c r="H14" s="93"/>
    </row>
    <row r="15" spans="1:31" ht="28.5" x14ac:dyDescent="0.2">
      <c r="A15" s="14" t="s">
        <v>497</v>
      </c>
      <c r="B15" s="14"/>
      <c r="C15" s="97" t="s">
        <v>5</v>
      </c>
      <c r="D15" s="97"/>
      <c r="E15" s="97"/>
      <c r="F15" s="14"/>
      <c r="G15" s="95"/>
      <c r="H15" s="96"/>
      <c r="AE15" s="31" t="s">
        <v>5</v>
      </c>
    </row>
    <row r="16" spans="1:31" ht="14.25" x14ac:dyDescent="0.2">
      <c r="A16" s="14"/>
      <c r="B16" s="14"/>
      <c r="C16" s="98" t="s">
        <v>498</v>
      </c>
      <c r="D16" s="98"/>
      <c r="E16" s="98"/>
      <c r="F16" s="14"/>
      <c r="G16" s="92" t="str">
        <f>IF(Source!CP15 &lt;&gt; "", Source!CP15, "")</f>
        <v/>
      </c>
      <c r="H16" s="93"/>
    </row>
    <row r="17" spans="1:31" ht="57" x14ac:dyDescent="0.2">
      <c r="A17" s="14" t="s">
        <v>499</v>
      </c>
      <c r="B17" s="14"/>
      <c r="C17" s="97" t="str">
        <f>IF(Source!G12&lt;&gt;"Новый объект", Source!G12, "")</f>
        <v>на  ремонт  оконных проёмов с заменой оконных блоков на оконные блоки из ПВХ в помещениях  подвала, 2-го этажа,  3-го этажа,  4-го этажа лабораторного корпуса  А НИЯУ МИФИ по адресу: г. Москва, Каширское шоссе, д. 31, стр. 2</v>
      </c>
      <c r="D17" s="97"/>
      <c r="E17" s="97"/>
      <c r="F17" s="14"/>
      <c r="G17" s="99"/>
      <c r="H17" s="100"/>
      <c r="AE17" s="31" t="str">
        <f>IF(Source!G12&lt;&gt;"Новый объект", Source!G12, "")</f>
        <v>на  ремонт  оконных проёмов с заменой оконных блоков на оконные блоки из ПВХ в помещениях  подвала, 2-го этажа,  3-го этажа,  4-го этажа лабораторного корпуса  А НИЯУ МИФИ по адресу: г. Москва, Каширское шоссе, д. 31, стр. 2</v>
      </c>
    </row>
    <row r="18" spans="1:31" ht="14.25" x14ac:dyDescent="0.2">
      <c r="A18" s="14"/>
      <c r="B18" s="14"/>
      <c r="C18" s="98" t="s">
        <v>500</v>
      </c>
      <c r="D18" s="98"/>
      <c r="E18" s="98"/>
      <c r="F18" s="14"/>
      <c r="G18" s="14"/>
      <c r="H18" s="14"/>
    </row>
    <row r="19" spans="1:31" ht="14.25" x14ac:dyDescent="0.2">
      <c r="A19" s="14"/>
      <c r="B19" s="14"/>
      <c r="C19" s="14"/>
      <c r="D19" s="84" t="s">
        <v>501</v>
      </c>
      <c r="E19" s="84"/>
      <c r="F19" s="109"/>
      <c r="G19" s="92" t="str">
        <f>IF(Source!CQ15 &lt;&gt; "", Source!CQ15, "")</f>
        <v/>
      </c>
      <c r="H19" s="93"/>
    </row>
    <row r="20" spans="1:31" ht="14.25" x14ac:dyDescent="0.2">
      <c r="A20" s="14"/>
      <c r="B20" s="14"/>
      <c r="C20" s="14"/>
      <c r="D20" s="84" t="s">
        <v>502</v>
      </c>
      <c r="E20" s="109"/>
      <c r="F20" s="56" t="s">
        <v>503</v>
      </c>
      <c r="G20" s="92" t="str">
        <f>IF(Source!CR15 &lt;&gt; "", Source!CR15, "")</f>
        <v/>
      </c>
      <c r="H20" s="93"/>
    </row>
    <row r="21" spans="1:31" ht="14.25" x14ac:dyDescent="0.2">
      <c r="A21" s="14"/>
      <c r="B21" s="14"/>
      <c r="C21" s="14"/>
      <c r="D21" s="14"/>
      <c r="E21" s="14"/>
      <c r="F21" s="22" t="s">
        <v>504</v>
      </c>
      <c r="G21" s="110" t="str">
        <f>IF(Source!CS15 &lt;&gt; 0, Source!CS15, "")</f>
        <v/>
      </c>
      <c r="H21" s="111"/>
    </row>
    <row r="22" spans="1:31" ht="14.25" x14ac:dyDescent="0.2">
      <c r="A22" s="14"/>
      <c r="B22" s="14"/>
      <c r="C22" s="14"/>
      <c r="D22" s="14"/>
      <c r="E22" s="14"/>
      <c r="F22" s="13" t="s">
        <v>505</v>
      </c>
      <c r="G22" s="101" t="str">
        <f>IF(Source!CT15 &lt;&gt; "", Source!CT15, "")</f>
        <v/>
      </c>
      <c r="H22" s="102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3" t="s">
        <v>506</v>
      </c>
      <c r="E24" s="105" t="s">
        <v>507</v>
      </c>
      <c r="F24" s="105" t="s">
        <v>508</v>
      </c>
      <c r="G24" s="107"/>
      <c r="H24" s="14"/>
    </row>
    <row r="25" spans="1:31" ht="14.25" x14ac:dyDescent="0.2">
      <c r="A25" s="14"/>
      <c r="B25" s="14"/>
      <c r="C25" s="14"/>
      <c r="D25" s="104"/>
      <c r="E25" s="106"/>
      <c r="F25" s="57" t="s">
        <v>509</v>
      </c>
      <c r="G25" s="58" t="s">
        <v>510</v>
      </c>
      <c r="H25" s="14"/>
    </row>
    <row r="26" spans="1:31" ht="14.25" x14ac:dyDescent="0.2">
      <c r="A26" s="14"/>
      <c r="B26" s="14"/>
      <c r="C26" s="14"/>
      <c r="D26" s="59" t="str">
        <f>IF(Source!CN15 &lt;&gt; "", Source!CN15, "")</f>
        <v/>
      </c>
      <c r="E26" s="60">
        <v>43434.487523148149</v>
      </c>
      <c r="F26" s="59"/>
      <c r="G26" s="61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08" t="s">
        <v>511</v>
      </c>
      <c r="B28" s="108"/>
      <c r="C28" s="108"/>
      <c r="D28" s="108"/>
      <c r="E28" s="108"/>
      <c r="F28" s="108"/>
      <c r="G28" s="108"/>
      <c r="H28" s="108"/>
    </row>
    <row r="29" spans="1:31" ht="18" x14ac:dyDescent="0.25">
      <c r="A29" s="108" t="s">
        <v>512</v>
      </c>
      <c r="B29" s="108"/>
      <c r="C29" s="108"/>
      <c r="D29" s="108"/>
      <c r="E29" s="108"/>
      <c r="F29" s="108"/>
      <c r="G29" s="108"/>
      <c r="H29" s="108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513</v>
      </c>
      <c r="B31" s="14"/>
      <c r="C31" s="14"/>
      <c r="D31" s="14"/>
      <c r="E31" s="14"/>
      <c r="F31" s="114">
        <f>(Source!P155/1000)</f>
        <v>6333.3054400000001</v>
      </c>
      <c r="G31" s="114"/>
      <c r="H31" s="14" t="s">
        <v>514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15" t="s">
        <v>515</v>
      </c>
      <c r="B33" s="115"/>
      <c r="C33" s="115" t="s">
        <v>516</v>
      </c>
      <c r="D33" s="115" t="s">
        <v>517</v>
      </c>
      <c r="E33" s="115" t="s">
        <v>518</v>
      </c>
      <c r="F33" s="115" t="s">
        <v>519</v>
      </c>
      <c r="G33" s="115"/>
      <c r="H33" s="115"/>
    </row>
    <row r="34" spans="1:28" ht="57" x14ac:dyDescent="0.2">
      <c r="A34" s="21" t="s">
        <v>520</v>
      </c>
      <c r="B34" s="21" t="s">
        <v>521</v>
      </c>
      <c r="C34" s="115"/>
      <c r="D34" s="115"/>
      <c r="E34" s="115"/>
      <c r="F34" s="21" t="s">
        <v>522</v>
      </c>
      <c r="G34" s="21" t="s">
        <v>523</v>
      </c>
      <c r="H34" s="21" t="s">
        <v>524</v>
      </c>
    </row>
    <row r="35" spans="1:28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5" x14ac:dyDescent="0.25">
      <c r="A37" s="112" t="str">
        <f>CONCATENATE("Локальная смета: ",IF(Source!G20&lt;&gt;"Новая локальная смета", Source!G20, ""))</f>
        <v xml:space="preserve">Локальная смета: </v>
      </c>
      <c r="B37" s="112"/>
      <c r="C37" s="112"/>
      <c r="D37" s="112"/>
      <c r="E37" s="112"/>
      <c r="F37" s="112"/>
      <c r="G37" s="112"/>
      <c r="H37" s="112"/>
    </row>
    <row r="38" spans="1:28" ht="28.5" x14ac:dyDescent="0.2">
      <c r="A38" s="51">
        <v>1</v>
      </c>
      <c r="B38" s="51" t="str">
        <f>Source!E25</f>
        <v>1</v>
      </c>
      <c r="C38" s="51" t="str">
        <f>Source!G25</f>
        <v>Демонтаж: Установка кондиционеров оконных мощностью до 3 кВт</v>
      </c>
      <c r="D38" s="51" t="str">
        <f>Source!F25</f>
        <v>20-06-018-01</v>
      </c>
      <c r="E38" s="34" t="str">
        <f>Source!H25</f>
        <v>ШТ</v>
      </c>
      <c r="F38" s="14">
        <f>Source!I25</f>
        <v>4</v>
      </c>
      <c r="G38" s="24">
        <f>Source!AB25</f>
        <v>6.8159999999999998</v>
      </c>
      <c r="H38" s="25">
        <f>Source!O25</f>
        <v>184.58</v>
      </c>
      <c r="T38">
        <f>Source!O25+Source!X25+Source!Y25</f>
        <v>527.90000000000009</v>
      </c>
      <c r="U38">
        <f>Source!P25</f>
        <v>0</v>
      </c>
      <c r="V38">
        <f>Source!S25</f>
        <v>184.58</v>
      </c>
      <c r="W38">
        <f>Source!Q25</f>
        <v>0</v>
      </c>
      <c r="X38">
        <f>Source!R25</f>
        <v>0</v>
      </c>
      <c r="Y38">
        <f>Source!U25</f>
        <v>3.04</v>
      </c>
      <c r="Z38">
        <f>Source!V25</f>
        <v>0</v>
      </c>
      <c r="AA38">
        <f>Source!X25</f>
        <v>212.27</v>
      </c>
      <c r="AB38">
        <f>Source!Y25</f>
        <v>131.05000000000001</v>
      </c>
    </row>
    <row r="39" spans="1:28" ht="14.25" x14ac:dyDescent="0.2">
      <c r="C39" s="28" t="s">
        <v>525</v>
      </c>
      <c r="D39" s="28">
        <f>Source!BA25</f>
        <v>6.77</v>
      </c>
      <c r="F39" s="14"/>
      <c r="G39" s="14"/>
      <c r="H39" s="14"/>
    </row>
    <row r="40" spans="1:28" x14ac:dyDescent="0.2">
      <c r="C40" s="28" t="s">
        <v>526</v>
      </c>
      <c r="D40" s="28">
        <f>Source!BB25</f>
        <v>6.77</v>
      </c>
    </row>
    <row r="41" spans="1:28" x14ac:dyDescent="0.2">
      <c r="C41" s="28" t="s">
        <v>527</v>
      </c>
      <c r="D41" s="28">
        <f>Source!BC25</f>
        <v>6.77</v>
      </c>
    </row>
    <row r="42" spans="1:28" x14ac:dyDescent="0.2">
      <c r="C42" s="28" t="s">
        <v>528</v>
      </c>
      <c r="D42" s="28">
        <f>Source!BS25</f>
        <v>6.77</v>
      </c>
    </row>
    <row r="43" spans="1:28" x14ac:dyDescent="0.2">
      <c r="C43" s="28" t="s">
        <v>529</v>
      </c>
      <c r="D43" s="113" t="s">
        <v>19</v>
      </c>
      <c r="E43" s="113"/>
      <c r="F43" s="113"/>
      <c r="G43" s="113"/>
      <c r="H43" s="113"/>
    </row>
    <row r="44" spans="1:28" x14ac:dyDescent="0.2">
      <c r="C44" s="28" t="s">
        <v>530</v>
      </c>
      <c r="D44" s="113" t="s">
        <v>20</v>
      </c>
      <c r="E44" s="113"/>
      <c r="F44" s="113"/>
      <c r="G44" s="113"/>
      <c r="H44" s="113"/>
    </row>
    <row r="45" spans="1:28" x14ac:dyDescent="0.2">
      <c r="C45" s="28" t="s">
        <v>531</v>
      </c>
      <c r="D45" s="113" t="s">
        <v>20</v>
      </c>
      <c r="E45" s="113"/>
      <c r="F45" s="113"/>
      <c r="G45" s="113"/>
      <c r="H45" s="113"/>
    </row>
    <row r="46" spans="1:28" x14ac:dyDescent="0.2">
      <c r="C46" s="28" t="s">
        <v>532</v>
      </c>
      <c r="D46" s="113" t="s">
        <v>20</v>
      </c>
      <c r="E46" s="113"/>
      <c r="F46" s="113"/>
      <c r="G46" s="113"/>
      <c r="H46" s="113"/>
    </row>
    <row r="47" spans="1:28" x14ac:dyDescent="0.2">
      <c r="C47" s="28" t="s">
        <v>533</v>
      </c>
      <c r="D47" s="113" t="s">
        <v>20</v>
      </c>
      <c r="E47" s="113"/>
      <c r="F47" s="113"/>
      <c r="G47" s="113"/>
      <c r="H47" s="113"/>
    </row>
    <row r="48" spans="1:28" x14ac:dyDescent="0.2">
      <c r="C48" s="28" t="s">
        <v>534</v>
      </c>
      <c r="D48" s="113" t="s">
        <v>20</v>
      </c>
      <c r="E48" s="113"/>
      <c r="F48" s="113"/>
      <c r="G48" s="113"/>
      <c r="H48" s="113"/>
    </row>
    <row r="49" spans="1:28" x14ac:dyDescent="0.2">
      <c r="C49" s="11" t="s">
        <v>535</v>
      </c>
      <c r="D49" s="37"/>
      <c r="E49" s="37"/>
      <c r="F49" s="37">
        <f>Source!BZ25</f>
        <v>128</v>
      </c>
      <c r="G49" s="62">
        <f>(Source!AF25+Source!AE25)*Source!FX25/100</f>
        <v>7.8520320000000003</v>
      </c>
      <c r="H49" s="63">
        <f>Source!X25</f>
        <v>212.27</v>
      </c>
    </row>
    <row r="50" spans="1:28" x14ac:dyDescent="0.2">
      <c r="C50" s="11" t="s">
        <v>536</v>
      </c>
      <c r="D50" s="37"/>
      <c r="E50" s="37"/>
      <c r="F50" s="37"/>
      <c r="G50" s="37" t="str">
        <f>CONCATENATE(Source!DL25,Source!FT25, "=", Source!FX25, "%")</f>
        <v>*0,9=115,2%</v>
      </c>
      <c r="H50" s="37" t="str">
        <f>CONCATENATE(Source!AT25)</f>
        <v>115</v>
      </c>
    </row>
    <row r="51" spans="1:28" x14ac:dyDescent="0.2">
      <c r="C51" s="11" t="s">
        <v>537</v>
      </c>
      <c r="D51" s="37"/>
      <c r="E51" s="37"/>
      <c r="F51" s="37">
        <f>Source!CA25</f>
        <v>83</v>
      </c>
      <c r="G51" s="62">
        <f>(Source!AF25+Source!AE25)*Source!FY25/100</f>
        <v>4.8086880000000001</v>
      </c>
      <c r="H51" s="63">
        <f>Source!Y25</f>
        <v>131.05000000000001</v>
      </c>
    </row>
    <row r="52" spans="1:28" x14ac:dyDescent="0.2">
      <c r="C52" s="11" t="s">
        <v>538</v>
      </c>
      <c r="D52" s="37"/>
      <c r="E52" s="37"/>
      <c r="F52" s="37"/>
      <c r="G52" s="37" t="str">
        <f>CONCATENATE(Source!DM25,Source!FU25, "=", Source!FY25, "%")</f>
        <v>*0,85=70,55%</v>
      </c>
      <c r="H52" s="37" t="str">
        <f>CONCATENATE(Source!AU25)</f>
        <v>71</v>
      </c>
    </row>
    <row r="53" spans="1:28" x14ac:dyDescent="0.2">
      <c r="C53" s="11" t="s">
        <v>539</v>
      </c>
      <c r="D53" s="37"/>
      <c r="E53" s="37"/>
      <c r="F53" s="37"/>
      <c r="G53" s="62">
        <f>((Source!AF25+Source!AE25)*Source!FX25/100)+((Source!AF25+Source!AE25)*Source!FY25/100)+Source!AB25</f>
        <v>19.47672</v>
      </c>
      <c r="H53" s="63">
        <f>Source!O25+Source!X25+Source!Y25</f>
        <v>527.90000000000009</v>
      </c>
    </row>
    <row r="54" spans="1:28" ht="42.75" x14ac:dyDescent="0.2">
      <c r="A54" s="51">
        <v>2</v>
      </c>
      <c r="B54" s="51" t="str">
        <f>Source!E27</f>
        <v>2</v>
      </c>
      <c r="C54" s="51" t="str">
        <f>Source!G27</f>
        <v>Разборка деревянных заполнений проемов оконных с подоконными досками</v>
      </c>
      <c r="D54" s="51" t="str">
        <f>Source!F27</f>
        <v>46-04-012-01</v>
      </c>
      <c r="E54" s="34" t="str">
        <f>Source!H27</f>
        <v>100 м2</v>
      </c>
      <c r="F54" s="14">
        <f>Source!I27</f>
        <v>1.6119000000000001</v>
      </c>
      <c r="G54" s="24">
        <f>Source!AB27</f>
        <v>1767.24</v>
      </c>
      <c r="H54" s="25">
        <f>Source!O27</f>
        <v>19285.11</v>
      </c>
      <c r="T54">
        <f>Source!O27+Source!X27+Source!Y27</f>
        <v>47563.37</v>
      </c>
      <c r="U54">
        <f>Source!P27</f>
        <v>0</v>
      </c>
      <c r="V54">
        <f>Source!S27</f>
        <v>16644.82</v>
      </c>
      <c r="W54">
        <f>Source!Q27</f>
        <v>2640.29</v>
      </c>
      <c r="X54">
        <f>Source!R27</f>
        <v>1140.25</v>
      </c>
      <c r="Y54">
        <f>Source!U27</f>
        <v>303.90762599999999</v>
      </c>
      <c r="Z54">
        <f>Source!V27</f>
        <v>12.476106000000001</v>
      </c>
      <c r="AA54">
        <f>Source!X27</f>
        <v>17607.22</v>
      </c>
      <c r="AB54">
        <f>Source!Y27</f>
        <v>10671.04</v>
      </c>
    </row>
    <row r="55" spans="1:28" ht="14.25" x14ac:dyDescent="0.2">
      <c r="C55" s="28" t="str">
        <f>"Объем: "&amp;Source!I27&amp;"=161,19/"&amp;"100"</f>
        <v>Объем: 1,6119=161,19/100</v>
      </c>
      <c r="F55" s="14"/>
      <c r="G55" s="14"/>
      <c r="H55" s="14"/>
    </row>
    <row r="56" spans="1:28" x14ac:dyDescent="0.2">
      <c r="C56" s="28" t="s">
        <v>525</v>
      </c>
      <c r="D56" s="28">
        <f>Source!BA27</f>
        <v>6.77</v>
      </c>
    </row>
    <row r="57" spans="1:28" x14ac:dyDescent="0.2">
      <c r="C57" s="28" t="s">
        <v>526</v>
      </c>
      <c r="D57" s="28">
        <f>Source!BB27</f>
        <v>6.77</v>
      </c>
    </row>
    <row r="58" spans="1:28" x14ac:dyDescent="0.2">
      <c r="C58" s="28" t="s">
        <v>527</v>
      </c>
      <c r="D58" s="28">
        <f>Source!BC27</f>
        <v>6.77</v>
      </c>
    </row>
    <row r="59" spans="1:28" x14ac:dyDescent="0.2">
      <c r="C59" s="28" t="s">
        <v>528</v>
      </c>
      <c r="D59" s="28">
        <f>Source!BS27</f>
        <v>6.77</v>
      </c>
    </row>
    <row r="60" spans="1:28" x14ac:dyDescent="0.2">
      <c r="C60" s="11" t="s">
        <v>535</v>
      </c>
      <c r="D60" s="37"/>
      <c r="E60" s="37"/>
      <c r="F60" s="37">
        <f>Source!BZ27</f>
        <v>110</v>
      </c>
      <c r="G60" s="62">
        <f>(Source!AF27+Source!AE27)*Source!FX27/100</f>
        <v>1613.4821999999999</v>
      </c>
      <c r="H60" s="63">
        <f>Source!X27</f>
        <v>17607.22</v>
      </c>
    </row>
    <row r="61" spans="1:28" x14ac:dyDescent="0.2">
      <c r="C61" s="11" t="s">
        <v>536</v>
      </c>
      <c r="D61" s="37"/>
      <c r="E61" s="37"/>
      <c r="F61" s="37"/>
      <c r="G61" s="37" t="str">
        <f>CONCATENATE(Source!DL27,Source!FT27, "=", Source!FX27, "%")</f>
        <v>*0,9=99%</v>
      </c>
      <c r="H61" s="37" t="str">
        <f>CONCATENATE(Source!AT27)</f>
        <v>99</v>
      </c>
    </row>
    <row r="62" spans="1:28" x14ac:dyDescent="0.2">
      <c r="C62" s="11" t="s">
        <v>537</v>
      </c>
      <c r="D62" s="37"/>
      <c r="E62" s="37"/>
      <c r="F62" s="37">
        <f>Source!CA27</f>
        <v>70</v>
      </c>
      <c r="G62" s="62">
        <f>(Source!AF27+Source!AE27)*Source!FY27/100</f>
        <v>969.71910000000003</v>
      </c>
      <c r="H62" s="63">
        <f>Source!Y27</f>
        <v>10671.04</v>
      </c>
    </row>
    <row r="63" spans="1:28" x14ac:dyDescent="0.2">
      <c r="C63" s="11" t="s">
        <v>538</v>
      </c>
      <c r="D63" s="37"/>
      <c r="E63" s="37"/>
      <c r="F63" s="37"/>
      <c r="G63" s="37" t="str">
        <f>CONCATENATE(Source!DM27,Source!FU27, "=", Source!FY27, "%")</f>
        <v>*0,85=59,5%</v>
      </c>
      <c r="H63" s="37" t="str">
        <f>CONCATENATE(Source!AU27)</f>
        <v>60</v>
      </c>
    </row>
    <row r="64" spans="1:28" x14ac:dyDescent="0.2">
      <c r="C64" s="11" t="s">
        <v>539</v>
      </c>
      <c r="D64" s="37"/>
      <c r="E64" s="37"/>
      <c r="F64" s="37"/>
      <c r="G64" s="62">
        <f>((Source!AF27+Source!AE27)*Source!FX27/100)+((Source!AF27+Source!AE27)*Source!FY27/100)+Source!AB27</f>
        <v>4350.4412999999995</v>
      </c>
      <c r="H64" s="63">
        <f>Source!O27+Source!X27+Source!Y27</f>
        <v>47563.37</v>
      </c>
    </row>
    <row r="65" spans="1:28" ht="42.75" x14ac:dyDescent="0.2">
      <c r="A65" s="51">
        <v>3</v>
      </c>
      <c r="B65" s="51" t="str">
        <f>Source!E29</f>
        <v>3</v>
      </c>
      <c r="C65" s="51" t="str">
        <f>Source!G29</f>
        <v>Демонтаж: Монтаж оконных блоков алюминиевых с нащельниками из алюминия</v>
      </c>
      <c r="D65" s="51" t="str">
        <f>Source!F29</f>
        <v>09-04-009-03</v>
      </c>
      <c r="E65" s="34" t="str">
        <f>Source!H29</f>
        <v>т</v>
      </c>
      <c r="F65" s="14">
        <f>Source!I29</f>
        <v>1.4127400000000001</v>
      </c>
      <c r="G65" s="24">
        <f>Source!AB29</f>
        <v>2654.5329999999999</v>
      </c>
      <c r="H65" s="25">
        <f>Source!O29</f>
        <v>25388.62</v>
      </c>
      <c r="T65">
        <f>Source!O29+Source!X29+Source!Y29</f>
        <v>48073.869999999995</v>
      </c>
      <c r="U65">
        <f>Source!P29</f>
        <v>0</v>
      </c>
      <c r="V65">
        <f>Source!S29</f>
        <v>13337.93</v>
      </c>
      <c r="W65">
        <f>Source!Q29</f>
        <v>12050.69</v>
      </c>
      <c r="X65">
        <f>Source!R29</f>
        <v>1489.03</v>
      </c>
      <c r="Y65">
        <f>Source!U29</f>
        <v>217.21583870000001</v>
      </c>
      <c r="Z65">
        <f>Source!V29</f>
        <v>15.31833982</v>
      </c>
      <c r="AA65">
        <f>Source!X29</f>
        <v>12009.84</v>
      </c>
      <c r="AB65">
        <f>Source!Y29</f>
        <v>10675.41</v>
      </c>
    </row>
    <row r="66" spans="1:28" ht="14.25" x14ac:dyDescent="0.2">
      <c r="C66" s="28" t="s">
        <v>525</v>
      </c>
      <c r="D66" s="28">
        <f>Source!BA29</f>
        <v>6.77</v>
      </c>
      <c r="F66" s="14"/>
      <c r="G66" s="14"/>
      <c r="H66" s="14"/>
    </row>
    <row r="67" spans="1:28" x14ac:dyDescent="0.2">
      <c r="C67" s="28" t="s">
        <v>526</v>
      </c>
      <c r="D67" s="28">
        <f>Source!BB29</f>
        <v>6.77</v>
      </c>
    </row>
    <row r="68" spans="1:28" x14ac:dyDescent="0.2">
      <c r="C68" s="28" t="s">
        <v>527</v>
      </c>
      <c r="D68" s="28">
        <f>Source!BC29</f>
        <v>6.77</v>
      </c>
    </row>
    <row r="69" spans="1:28" x14ac:dyDescent="0.2">
      <c r="C69" s="28" t="s">
        <v>528</v>
      </c>
      <c r="D69" s="28">
        <f>Source!BS29</f>
        <v>6.77</v>
      </c>
    </row>
    <row r="70" spans="1:28" x14ac:dyDescent="0.2">
      <c r="C70" s="28" t="s">
        <v>529</v>
      </c>
      <c r="D70" s="113" t="s">
        <v>19</v>
      </c>
      <c r="E70" s="113"/>
      <c r="F70" s="113"/>
      <c r="G70" s="113"/>
      <c r="H70" s="113"/>
    </row>
    <row r="71" spans="1:28" x14ac:dyDescent="0.2">
      <c r="C71" s="28" t="s">
        <v>530</v>
      </c>
      <c r="D71" s="113" t="s">
        <v>40</v>
      </c>
      <c r="E71" s="113"/>
      <c r="F71" s="113"/>
      <c r="G71" s="113"/>
      <c r="H71" s="113"/>
    </row>
    <row r="72" spans="1:28" x14ac:dyDescent="0.2">
      <c r="C72" s="28" t="s">
        <v>531</v>
      </c>
      <c r="D72" s="113" t="s">
        <v>40</v>
      </c>
      <c r="E72" s="113"/>
      <c r="F72" s="113"/>
      <c r="G72" s="113"/>
      <c r="H72" s="113"/>
    </row>
    <row r="73" spans="1:28" x14ac:dyDescent="0.2">
      <c r="C73" s="28" t="s">
        <v>532</v>
      </c>
      <c r="D73" s="113" t="s">
        <v>40</v>
      </c>
      <c r="E73" s="113"/>
      <c r="F73" s="113"/>
      <c r="G73" s="113"/>
      <c r="H73" s="113"/>
    </row>
    <row r="74" spans="1:28" x14ac:dyDescent="0.2">
      <c r="C74" s="28" t="s">
        <v>533</v>
      </c>
      <c r="D74" s="113" t="s">
        <v>40</v>
      </c>
      <c r="E74" s="113"/>
      <c r="F74" s="113"/>
      <c r="G74" s="113"/>
      <c r="H74" s="113"/>
    </row>
    <row r="75" spans="1:28" x14ac:dyDescent="0.2">
      <c r="C75" s="28" t="s">
        <v>534</v>
      </c>
      <c r="D75" s="113" t="s">
        <v>40</v>
      </c>
      <c r="E75" s="113"/>
      <c r="F75" s="113"/>
      <c r="G75" s="113"/>
      <c r="H75" s="113"/>
    </row>
    <row r="76" spans="1:28" x14ac:dyDescent="0.2">
      <c r="C76" s="11" t="s">
        <v>535</v>
      </c>
      <c r="D76" s="37"/>
      <c r="E76" s="37"/>
      <c r="F76" s="37">
        <f>Source!BZ29</f>
        <v>90</v>
      </c>
      <c r="G76" s="62">
        <f>(Source!AF29+Source!AE29)*Source!FX29/100</f>
        <v>1255.7008800000001</v>
      </c>
      <c r="H76" s="63">
        <f>Source!X29</f>
        <v>12009.84</v>
      </c>
    </row>
    <row r="77" spans="1:28" x14ac:dyDescent="0.2">
      <c r="C77" s="11" t="s">
        <v>536</v>
      </c>
      <c r="D77" s="37"/>
      <c r="E77" s="37"/>
      <c r="F77" s="37"/>
      <c r="G77" s="37" t="str">
        <f>CONCATENATE(Source!DL29,Source!FT29, "=", Source!FX29, "%")</f>
        <v>*0,9=81%</v>
      </c>
      <c r="H77" s="37" t="str">
        <f>CONCATENATE(Source!AT29)</f>
        <v>81</v>
      </c>
    </row>
    <row r="78" spans="1:28" x14ac:dyDescent="0.2">
      <c r="C78" s="11" t="s">
        <v>537</v>
      </c>
      <c r="D78" s="37"/>
      <c r="E78" s="37"/>
      <c r="F78" s="37">
        <f>Source!CA29</f>
        <v>85</v>
      </c>
      <c r="G78" s="62">
        <f>(Source!AF29+Source!AE29)*Source!FY29/100</f>
        <v>1120.0541800000001</v>
      </c>
      <c r="H78" s="63">
        <f>Source!Y29</f>
        <v>10675.41</v>
      </c>
    </row>
    <row r="79" spans="1:28" x14ac:dyDescent="0.2">
      <c r="C79" s="11" t="s">
        <v>538</v>
      </c>
      <c r="D79" s="37"/>
      <c r="E79" s="37"/>
      <c r="F79" s="37"/>
      <c r="G79" s="37" t="str">
        <f>CONCATENATE(Source!DM29,Source!FU29, "=", Source!FY29, "%")</f>
        <v>*0,85=72,25%</v>
      </c>
      <c r="H79" s="37" t="str">
        <f>CONCATENATE(Source!AU29)</f>
        <v>72</v>
      </c>
    </row>
    <row r="80" spans="1:28" x14ac:dyDescent="0.2">
      <c r="C80" s="11" t="s">
        <v>539</v>
      </c>
      <c r="D80" s="37"/>
      <c r="E80" s="37"/>
      <c r="F80" s="37"/>
      <c r="G80" s="62">
        <f>((Source!AF29+Source!AE29)*Source!FX29/100)+((Source!AF29+Source!AE29)*Source!FY29/100)+Source!AB29</f>
        <v>5030.2880600000008</v>
      </c>
      <c r="H80" s="63">
        <f>Source!O29+Source!X29+Source!Y29</f>
        <v>48073.869999999995</v>
      </c>
    </row>
    <row r="81" spans="1:28" ht="42.75" x14ac:dyDescent="0.2">
      <c r="A81" s="51">
        <v>4</v>
      </c>
      <c r="B81" s="51" t="str">
        <f>Source!E31</f>
        <v>4</v>
      </c>
      <c r="C81" s="51" t="str">
        <f>Source!G31</f>
        <v>Разборка мелких покрытий и обделок из листовой стали поясков, сандриков, желобов, отливов, свесов и т.п.</v>
      </c>
      <c r="D81" s="51" t="str">
        <f>Source!F31</f>
        <v>58-3-1</v>
      </c>
      <c r="E81" s="34" t="str">
        <f>Source!H31</f>
        <v>100 м</v>
      </c>
      <c r="F81" s="14">
        <f>Source!I31</f>
        <v>1.7632000000000001</v>
      </c>
      <c r="G81" s="24">
        <f>Source!AB31</f>
        <v>71.180000000000007</v>
      </c>
      <c r="H81" s="25">
        <f>Source!O31</f>
        <v>849.67</v>
      </c>
      <c r="T81">
        <f>Source!O31+Source!X31+Source!Y31</f>
        <v>2103.64</v>
      </c>
      <c r="U81">
        <f>Source!P31</f>
        <v>0</v>
      </c>
      <c r="V81">
        <f>Source!S31</f>
        <v>847.28</v>
      </c>
      <c r="W81">
        <f>Source!Q31</f>
        <v>2.39</v>
      </c>
      <c r="X81">
        <f>Source!R31</f>
        <v>0</v>
      </c>
      <c r="Y81">
        <f>Source!U31</f>
        <v>16.045120000000001</v>
      </c>
      <c r="Z81">
        <f>Source!V31</f>
        <v>0</v>
      </c>
      <c r="AA81">
        <f>Source!X31</f>
        <v>703.24</v>
      </c>
      <c r="AB81">
        <f>Source!Y31</f>
        <v>550.73</v>
      </c>
    </row>
    <row r="82" spans="1:28" ht="14.25" x14ac:dyDescent="0.2">
      <c r="C82" s="28" t="str">
        <f>"Объем: "&amp;Source!I31&amp;"=176,32/"&amp;"100"</f>
        <v>Объем: 1,7632=176,32/100</v>
      </c>
      <c r="F82" s="14"/>
      <c r="G82" s="14"/>
      <c r="H82" s="14"/>
    </row>
    <row r="83" spans="1:28" x14ac:dyDescent="0.2">
      <c r="C83" s="28" t="s">
        <v>525</v>
      </c>
      <c r="D83" s="28">
        <f>Source!BA31</f>
        <v>6.77</v>
      </c>
    </row>
    <row r="84" spans="1:28" x14ac:dyDescent="0.2">
      <c r="C84" s="28" t="s">
        <v>526</v>
      </c>
      <c r="D84" s="28">
        <f>Source!BB31</f>
        <v>6.77</v>
      </c>
    </row>
    <row r="85" spans="1:28" x14ac:dyDescent="0.2">
      <c r="C85" s="28" t="s">
        <v>527</v>
      </c>
      <c r="D85" s="28">
        <f>Source!BC31</f>
        <v>6.77</v>
      </c>
    </row>
    <row r="86" spans="1:28" x14ac:dyDescent="0.2">
      <c r="C86" s="28" t="s">
        <v>528</v>
      </c>
      <c r="D86" s="28">
        <f>Source!BS31</f>
        <v>6.77</v>
      </c>
    </row>
    <row r="87" spans="1:28" x14ac:dyDescent="0.2">
      <c r="C87" s="11" t="s">
        <v>535</v>
      </c>
      <c r="D87" s="37"/>
      <c r="E87" s="37"/>
      <c r="F87" s="37">
        <f>Source!BZ31</f>
        <v>83</v>
      </c>
      <c r="G87" s="62">
        <f>(Source!AF31+Source!AE31)*Source!FX31/100</f>
        <v>58.913400000000003</v>
      </c>
      <c r="H87" s="63">
        <f>Source!X31</f>
        <v>703.24</v>
      </c>
    </row>
    <row r="88" spans="1:28" x14ac:dyDescent="0.2">
      <c r="C88" s="11" t="s">
        <v>537</v>
      </c>
      <c r="D88" s="37"/>
      <c r="E88" s="37"/>
      <c r="F88" s="37">
        <f>Source!CA31</f>
        <v>65</v>
      </c>
      <c r="G88" s="62">
        <f>(Source!AF31+Source!AE31)*Source!FY31/100</f>
        <v>46.137</v>
      </c>
      <c r="H88" s="63">
        <f>Source!Y31</f>
        <v>550.73</v>
      </c>
    </row>
    <row r="89" spans="1:28" x14ac:dyDescent="0.2">
      <c r="C89" s="11" t="s">
        <v>539</v>
      </c>
      <c r="D89" s="37"/>
      <c r="E89" s="37"/>
      <c r="F89" s="37"/>
      <c r="G89" s="62">
        <f>((Source!AF31+Source!AE31)*Source!FX31/100)+((Source!AF31+Source!AE31)*Source!FY31/100)+Source!AB31</f>
        <v>176.2304</v>
      </c>
      <c r="H89" s="63">
        <f>Source!O31+Source!X31+Source!Y31</f>
        <v>2103.64</v>
      </c>
    </row>
    <row r="90" spans="1:28" ht="99.75" x14ac:dyDescent="0.2">
      <c r="A90" s="51">
        <v>5</v>
      </c>
      <c r="B90" s="51" t="str">
        <f>Source!E33</f>
        <v>5</v>
      </c>
      <c r="C90" s="51" t="str">
        <f>Source!G33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90" s="51" t="str">
        <f>Source!F33</f>
        <v>10-01-034-08</v>
      </c>
      <c r="E90" s="34" t="str">
        <f>Source!H33</f>
        <v>100 м2</v>
      </c>
      <c r="F90" s="14">
        <f>Source!I33</f>
        <v>2.944</v>
      </c>
      <c r="G90" s="24">
        <f>Source!AB33</f>
        <v>10367.2415</v>
      </c>
      <c r="H90" s="25">
        <f>Source!O33</f>
        <v>206628.24</v>
      </c>
      <c r="T90">
        <f>Source!O33+Source!X33+Source!Y33</f>
        <v>256442.96</v>
      </c>
      <c r="U90">
        <f>Source!P33</f>
        <v>170389.49</v>
      </c>
      <c r="V90">
        <f>Source!S33</f>
        <v>29880.55</v>
      </c>
      <c r="W90">
        <f>Source!Q33</f>
        <v>6358.2</v>
      </c>
      <c r="X90">
        <f>Source!R33</f>
        <v>1253.6500000000001</v>
      </c>
      <c r="Y90">
        <f>Source!U33</f>
        <v>504.99609599999997</v>
      </c>
      <c r="Z90">
        <f>Source!V33</f>
        <v>15.566400000000002</v>
      </c>
      <c r="AA90">
        <f>Source!X33</f>
        <v>33002.25</v>
      </c>
      <c r="AB90">
        <f>Source!Y33</f>
        <v>16812.47</v>
      </c>
    </row>
    <row r="91" spans="1:28" ht="14.25" x14ac:dyDescent="0.2">
      <c r="C91" s="28" t="str">
        <f>"Объем: "&amp;Source!I33&amp;"=294,4/"&amp;"100"</f>
        <v>Объем: 2,944=294,4/100</v>
      </c>
      <c r="F91" s="14"/>
      <c r="G91" s="14"/>
      <c r="H91" s="14"/>
    </row>
    <row r="92" spans="1:28" x14ac:dyDescent="0.2">
      <c r="C92" s="28" t="s">
        <v>525</v>
      </c>
      <c r="D92" s="28">
        <f>Source!BA33</f>
        <v>6.77</v>
      </c>
    </row>
    <row r="93" spans="1:28" x14ac:dyDescent="0.2">
      <c r="C93" s="28" t="s">
        <v>526</v>
      </c>
      <c r="D93" s="28">
        <f>Source!BB33</f>
        <v>6.77</v>
      </c>
    </row>
    <row r="94" spans="1:28" x14ac:dyDescent="0.2">
      <c r="C94" s="28" t="s">
        <v>527</v>
      </c>
      <c r="D94" s="28">
        <f>Source!BC33</f>
        <v>6.77</v>
      </c>
    </row>
    <row r="95" spans="1:28" x14ac:dyDescent="0.2">
      <c r="C95" s="28" t="s">
        <v>528</v>
      </c>
      <c r="D95" s="28">
        <f>Source!BS33</f>
        <v>6.77</v>
      </c>
    </row>
    <row r="96" spans="1:28" x14ac:dyDescent="0.2">
      <c r="C96" s="28" t="s">
        <v>530</v>
      </c>
      <c r="D96" s="113" t="s">
        <v>56</v>
      </c>
      <c r="E96" s="113"/>
      <c r="F96" s="113"/>
      <c r="G96" s="113"/>
      <c r="H96" s="113"/>
    </row>
    <row r="97" spans="1:28" x14ac:dyDescent="0.2">
      <c r="C97" s="28" t="s">
        <v>531</v>
      </c>
      <c r="D97" s="113" t="s">
        <v>56</v>
      </c>
      <c r="E97" s="113"/>
      <c r="F97" s="113"/>
      <c r="G97" s="113"/>
      <c r="H97" s="113"/>
    </row>
    <row r="98" spans="1:28" x14ac:dyDescent="0.2">
      <c r="C98" s="28" t="s">
        <v>532</v>
      </c>
      <c r="D98" s="113" t="s">
        <v>57</v>
      </c>
      <c r="E98" s="113"/>
      <c r="F98" s="113"/>
      <c r="G98" s="113"/>
      <c r="H98" s="113"/>
    </row>
    <row r="99" spans="1:28" x14ac:dyDescent="0.2">
      <c r="C99" s="28" t="s">
        <v>533</v>
      </c>
      <c r="D99" s="113" t="s">
        <v>57</v>
      </c>
      <c r="E99" s="113"/>
      <c r="F99" s="113"/>
      <c r="G99" s="113"/>
      <c r="H99" s="113"/>
    </row>
    <row r="100" spans="1:28" x14ac:dyDescent="0.2">
      <c r="C100" s="28" t="s">
        <v>534</v>
      </c>
      <c r="D100" s="113" t="s">
        <v>56</v>
      </c>
      <c r="E100" s="113"/>
      <c r="F100" s="113"/>
      <c r="G100" s="113"/>
      <c r="H100" s="113"/>
    </row>
    <row r="101" spans="1:28" x14ac:dyDescent="0.2">
      <c r="C101" s="11" t="s">
        <v>535</v>
      </c>
      <c r="D101" s="37"/>
      <c r="E101" s="37"/>
      <c r="F101" s="37">
        <f>Source!BZ33</f>
        <v>118</v>
      </c>
      <c r="G101" s="62">
        <f>(Source!AF33+Source!AE33)*Source!FX33/100</f>
        <v>1658.9597580000002</v>
      </c>
      <c r="H101" s="63">
        <f>Source!X33</f>
        <v>33002.25</v>
      </c>
    </row>
    <row r="102" spans="1:28" x14ac:dyDescent="0.2">
      <c r="C102" s="11" t="s">
        <v>536</v>
      </c>
      <c r="D102" s="37"/>
      <c r="E102" s="37"/>
      <c r="F102" s="37"/>
      <c r="G102" s="37" t="str">
        <f>CONCATENATE(Source!DL33,Source!FT33, "=", Source!FX33, "%")</f>
        <v>*0,9=106,2%</v>
      </c>
      <c r="H102" s="37" t="str">
        <f>CONCATENATE(Source!AT33)</f>
        <v>106</v>
      </c>
    </row>
    <row r="103" spans="1:28" x14ac:dyDescent="0.2">
      <c r="C103" s="11" t="s">
        <v>537</v>
      </c>
      <c r="D103" s="37"/>
      <c r="E103" s="37"/>
      <c r="F103" s="37">
        <f>Source!CA33</f>
        <v>63</v>
      </c>
      <c r="G103" s="62">
        <f>(Source!AF33+Source!AE33)*Source!FY33/100</f>
        <v>836.50936950000005</v>
      </c>
      <c r="H103" s="63">
        <f>Source!Y33</f>
        <v>16812.47</v>
      </c>
    </row>
    <row r="104" spans="1:28" x14ac:dyDescent="0.2">
      <c r="C104" s="11" t="s">
        <v>538</v>
      </c>
      <c r="D104" s="37"/>
      <c r="E104" s="37"/>
      <c r="F104" s="37"/>
      <c r="G104" s="37" t="str">
        <f>CONCATENATE(Source!DM33,Source!FU33, "=", Source!FY33, "%")</f>
        <v>*0,85=53,55%</v>
      </c>
      <c r="H104" s="37" t="str">
        <f>CONCATENATE(Source!AU33)</f>
        <v>54</v>
      </c>
    </row>
    <row r="105" spans="1:28" x14ac:dyDescent="0.2">
      <c r="C105" s="11" t="s">
        <v>539</v>
      </c>
      <c r="D105" s="37"/>
      <c r="E105" s="37"/>
      <c r="F105" s="37"/>
      <c r="G105" s="62">
        <f>((Source!AF33+Source!AE33)*Source!FX33/100)+((Source!AF33+Source!AE33)*Source!FY33/100)+Source!AB33</f>
        <v>12862.710627500001</v>
      </c>
      <c r="H105" s="63">
        <f>Source!O33+Source!X33+Source!Y33</f>
        <v>256442.96</v>
      </c>
    </row>
    <row r="106" spans="1:28" ht="39.75" x14ac:dyDescent="0.2">
      <c r="A106" s="51">
        <v>6</v>
      </c>
      <c r="B106" s="51" t="str">
        <f>Source!E35</f>
        <v>5,1</v>
      </c>
      <c r="C106" s="51" t="s">
        <v>483</v>
      </c>
      <c r="D106" s="51" t="str">
        <f>Source!F35</f>
        <v>Цена поставщика</v>
      </c>
      <c r="E106" s="34" t="str">
        <f>Source!H35</f>
        <v>м2</v>
      </c>
      <c r="F106" s="14">
        <f>Source!I35</f>
        <v>294.39999999999998</v>
      </c>
      <c r="G106" s="24">
        <f>Source!AB35</f>
        <v>1770.23</v>
      </c>
      <c r="H106" s="25">
        <f>Source!O35</f>
        <v>3528224.17</v>
      </c>
      <c r="T106">
        <f>Source!O35+Source!X35+Source!Y35</f>
        <v>3528224.17</v>
      </c>
      <c r="U106">
        <f>Source!P35</f>
        <v>3528224.17</v>
      </c>
      <c r="V106">
        <f>Source!S35</f>
        <v>0</v>
      </c>
      <c r="W106">
        <f>Source!Q35</f>
        <v>0</v>
      </c>
      <c r="X106">
        <f>Source!R35</f>
        <v>0</v>
      </c>
      <c r="Y106">
        <f>Source!U35</f>
        <v>0</v>
      </c>
      <c r="Z106">
        <f>Source!V35</f>
        <v>0</v>
      </c>
      <c r="AA106">
        <f>Source!X35</f>
        <v>0</v>
      </c>
      <c r="AB106">
        <f>Source!Y35</f>
        <v>0</v>
      </c>
    </row>
    <row r="107" spans="1:28" ht="14.25" x14ac:dyDescent="0.2">
      <c r="C107" s="28" t="s">
        <v>527</v>
      </c>
      <c r="D107" s="28">
        <f>Source!BC35</f>
        <v>6.77</v>
      </c>
      <c r="F107" s="14"/>
      <c r="G107" s="14"/>
      <c r="H107" s="14"/>
    </row>
    <row r="108" spans="1:28" ht="71.25" x14ac:dyDescent="0.2">
      <c r="A108" s="51">
        <v>7</v>
      </c>
      <c r="B108" s="51" t="str">
        <f>Source!E37</f>
        <v>6</v>
      </c>
      <c r="C108" s="51" t="str">
        <f>Source!G37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108" s="51" t="str">
        <f>Source!F37</f>
        <v>10-01-034-06</v>
      </c>
      <c r="E108" s="34" t="str">
        <f>Source!H37</f>
        <v>100 м2</v>
      </c>
      <c r="F108" s="14">
        <f>Source!I37</f>
        <v>0.61980000000000002</v>
      </c>
      <c r="G108" s="24">
        <f>Source!AB37</f>
        <v>10081.991</v>
      </c>
      <c r="H108" s="25">
        <f>Source!O37</f>
        <v>42304.5</v>
      </c>
      <c r="T108">
        <f>Source!O37+Source!X37+Source!Y37</f>
        <v>52559.82</v>
      </c>
      <c r="U108">
        <f>Source!P37</f>
        <v>34820.26</v>
      </c>
      <c r="V108">
        <f>Source!S37</f>
        <v>6145.65</v>
      </c>
      <c r="W108">
        <f>Source!Q37</f>
        <v>1338.59</v>
      </c>
      <c r="X108">
        <f>Source!R37</f>
        <v>263.93</v>
      </c>
      <c r="Y108">
        <f>Source!U37</f>
        <v>103.86484439999998</v>
      </c>
      <c r="Z108">
        <f>Source!V37</f>
        <v>3.2771925000000004</v>
      </c>
      <c r="AA108">
        <f>Source!X37</f>
        <v>6794.15</v>
      </c>
      <c r="AB108">
        <f>Source!Y37</f>
        <v>3461.17</v>
      </c>
    </row>
    <row r="109" spans="1:28" ht="14.25" x14ac:dyDescent="0.2">
      <c r="C109" s="28" t="str">
        <f>"Объем: "&amp;Source!I37&amp;"=61,98/"&amp;"100"</f>
        <v>Объем: 0,6198=61,98/100</v>
      </c>
      <c r="F109" s="14"/>
      <c r="G109" s="14"/>
      <c r="H109" s="14"/>
    </row>
    <row r="110" spans="1:28" x14ac:dyDescent="0.2">
      <c r="C110" s="28" t="s">
        <v>525</v>
      </c>
      <c r="D110" s="28">
        <f>Source!BA37</f>
        <v>6.77</v>
      </c>
    </row>
    <row r="111" spans="1:28" x14ac:dyDescent="0.2">
      <c r="C111" s="28" t="s">
        <v>526</v>
      </c>
      <c r="D111" s="28">
        <f>Source!BB37</f>
        <v>6.77</v>
      </c>
    </row>
    <row r="112" spans="1:28" x14ac:dyDescent="0.2">
      <c r="C112" s="28" t="s">
        <v>527</v>
      </c>
      <c r="D112" s="28">
        <f>Source!BC37</f>
        <v>6.77</v>
      </c>
    </row>
    <row r="113" spans="1:28" x14ac:dyDescent="0.2">
      <c r="C113" s="28" t="s">
        <v>528</v>
      </c>
      <c r="D113" s="28">
        <f>Source!BS37</f>
        <v>6.77</v>
      </c>
    </row>
    <row r="114" spans="1:28" x14ac:dyDescent="0.2">
      <c r="C114" s="28" t="s">
        <v>530</v>
      </c>
      <c r="D114" s="113" t="s">
        <v>56</v>
      </c>
      <c r="E114" s="113"/>
      <c r="F114" s="113"/>
      <c r="G114" s="113"/>
      <c r="H114" s="113"/>
    </row>
    <row r="115" spans="1:28" x14ac:dyDescent="0.2">
      <c r="C115" s="28" t="s">
        <v>531</v>
      </c>
      <c r="D115" s="113" t="s">
        <v>56</v>
      </c>
      <c r="E115" s="113"/>
      <c r="F115" s="113"/>
      <c r="G115" s="113"/>
      <c r="H115" s="113"/>
    </row>
    <row r="116" spans="1:28" x14ac:dyDescent="0.2">
      <c r="C116" s="28" t="s">
        <v>532</v>
      </c>
      <c r="D116" s="113" t="s">
        <v>57</v>
      </c>
      <c r="E116" s="113"/>
      <c r="F116" s="113"/>
      <c r="G116" s="113"/>
      <c r="H116" s="113"/>
    </row>
    <row r="117" spans="1:28" x14ac:dyDescent="0.2">
      <c r="C117" s="28" t="s">
        <v>533</v>
      </c>
      <c r="D117" s="113" t="s">
        <v>57</v>
      </c>
      <c r="E117" s="113"/>
      <c r="F117" s="113"/>
      <c r="G117" s="113"/>
      <c r="H117" s="113"/>
    </row>
    <row r="118" spans="1:28" x14ac:dyDescent="0.2">
      <c r="C118" s="28" t="s">
        <v>534</v>
      </c>
      <c r="D118" s="113" t="s">
        <v>56</v>
      </c>
      <c r="E118" s="113"/>
      <c r="F118" s="113"/>
      <c r="G118" s="113"/>
      <c r="H118" s="113"/>
    </row>
    <row r="119" spans="1:28" x14ac:dyDescent="0.2">
      <c r="C119" s="11" t="s">
        <v>535</v>
      </c>
      <c r="D119" s="37"/>
      <c r="E119" s="37"/>
      <c r="F119" s="37">
        <f>Source!BZ37</f>
        <v>118</v>
      </c>
      <c r="G119" s="62">
        <f>(Source!AF37+Source!AE37)*Source!FX37/100</f>
        <v>1622.2352670000002</v>
      </c>
      <c r="H119" s="63">
        <f>Source!X37</f>
        <v>6794.15</v>
      </c>
    </row>
    <row r="120" spans="1:28" x14ac:dyDescent="0.2">
      <c r="C120" s="11" t="s">
        <v>536</v>
      </c>
      <c r="D120" s="37"/>
      <c r="E120" s="37"/>
      <c r="F120" s="37"/>
      <c r="G120" s="37" t="str">
        <f>CONCATENATE(Source!DL37,Source!FT37, "=", Source!FX37, "%")</f>
        <v>*0,9=106,2%</v>
      </c>
      <c r="H120" s="37" t="str">
        <f>CONCATENATE(Source!AT37)</f>
        <v>106</v>
      </c>
    </row>
    <row r="121" spans="1:28" x14ac:dyDescent="0.2">
      <c r="C121" s="11" t="s">
        <v>537</v>
      </c>
      <c r="D121" s="37"/>
      <c r="E121" s="37"/>
      <c r="F121" s="37">
        <f>Source!CA37</f>
        <v>63</v>
      </c>
      <c r="G121" s="62">
        <f>(Source!AF37+Source!AE37)*Source!FY37/100</f>
        <v>817.99151175000009</v>
      </c>
      <c r="H121" s="63">
        <f>Source!Y37</f>
        <v>3461.17</v>
      </c>
    </row>
    <row r="122" spans="1:28" x14ac:dyDescent="0.2">
      <c r="C122" s="11" t="s">
        <v>538</v>
      </c>
      <c r="D122" s="37"/>
      <c r="E122" s="37"/>
      <c r="F122" s="37"/>
      <c r="G122" s="37" t="str">
        <f>CONCATENATE(Source!DM37,Source!FU37, "=", Source!FY37, "%")</f>
        <v>*0,85=53,55%</v>
      </c>
      <c r="H122" s="37" t="str">
        <f>CONCATENATE(Source!AU37)</f>
        <v>54</v>
      </c>
    </row>
    <row r="123" spans="1:28" x14ac:dyDescent="0.2">
      <c r="C123" s="11" t="s">
        <v>539</v>
      </c>
      <c r="D123" s="37"/>
      <c r="E123" s="37"/>
      <c r="F123" s="37"/>
      <c r="G123" s="62">
        <f>((Source!AF37+Source!AE37)*Source!FX37/100)+((Source!AF37+Source!AE37)*Source!FY37/100)+Source!AB37</f>
        <v>12522.21777875</v>
      </c>
      <c r="H123" s="63">
        <f>Source!O37+Source!X37+Source!Y37</f>
        <v>52559.82</v>
      </c>
    </row>
    <row r="124" spans="1:28" ht="39.75" x14ac:dyDescent="0.2">
      <c r="A124" s="51">
        <v>8</v>
      </c>
      <c r="B124" s="51" t="str">
        <f>Source!E39</f>
        <v>6,1</v>
      </c>
      <c r="C124" s="51" t="s">
        <v>484</v>
      </c>
      <c r="D124" s="51" t="str">
        <f>Source!F39</f>
        <v>Цена поставщика</v>
      </c>
      <c r="E124" s="34" t="str">
        <f>Source!H39</f>
        <v>м2</v>
      </c>
      <c r="F124" s="14">
        <f>Source!I39</f>
        <v>61.990000000000009</v>
      </c>
      <c r="G124" s="24">
        <f>Source!AB39</f>
        <v>1565.09</v>
      </c>
      <c r="H124" s="25">
        <f>Source!O39</f>
        <v>656824.92000000004</v>
      </c>
      <c r="T124">
        <f>Source!O39+Source!X39+Source!Y39</f>
        <v>656824.92000000004</v>
      </c>
      <c r="U124">
        <f>Source!P39</f>
        <v>656824.92000000004</v>
      </c>
      <c r="V124">
        <f>Source!S39</f>
        <v>0</v>
      </c>
      <c r="W124">
        <f>Source!Q39</f>
        <v>0</v>
      </c>
      <c r="X124">
        <f>Source!R39</f>
        <v>0</v>
      </c>
      <c r="Y124">
        <f>Source!U39</f>
        <v>0</v>
      </c>
      <c r="Z124">
        <f>Source!V39</f>
        <v>0</v>
      </c>
      <c r="AA124">
        <f>Source!X39</f>
        <v>0</v>
      </c>
      <c r="AB124">
        <f>Source!Y39</f>
        <v>0</v>
      </c>
    </row>
    <row r="125" spans="1:28" ht="14.25" x14ac:dyDescent="0.2">
      <c r="C125" s="28" t="s">
        <v>527</v>
      </c>
      <c r="D125" s="28">
        <f>Source!BC39</f>
        <v>6.77</v>
      </c>
      <c r="F125" s="14"/>
      <c r="G125" s="14"/>
      <c r="H125" s="14"/>
    </row>
    <row r="126" spans="1:28" ht="57" x14ac:dyDescent="0.2">
      <c r="A126" s="51">
        <v>9</v>
      </c>
      <c r="B126" s="51" t="str">
        <f>Source!E41</f>
        <v>7</v>
      </c>
      <c r="C126" s="51" t="str">
        <f>Source!G41</f>
        <v>Установка в жилых и общественных зданиях оконных блоков из ПВХ профилей глухих с площадью проема более 2 м2</v>
      </c>
      <c r="D126" s="51" t="str">
        <f>Source!F41</f>
        <v>10-01-034-02</v>
      </c>
      <c r="E126" s="34" t="str">
        <f>Source!H41</f>
        <v>100 м2</v>
      </c>
      <c r="F126" s="14">
        <f>Source!I41</f>
        <v>6.6299999999999998E-2</v>
      </c>
      <c r="G126" s="24">
        <f>Source!AB41</f>
        <v>9559.6234999999997</v>
      </c>
      <c r="H126" s="25">
        <f>Source!O41</f>
        <v>4290.84</v>
      </c>
      <c r="T126">
        <f>Source!O41+Source!X41+Source!Y41</f>
        <v>5328</v>
      </c>
      <c r="U126">
        <f>Source!P41</f>
        <v>3527.65</v>
      </c>
      <c r="V126">
        <f>Source!S41</f>
        <v>620</v>
      </c>
      <c r="W126">
        <f>Source!Q41</f>
        <v>143.19</v>
      </c>
      <c r="X126">
        <f>Source!R41</f>
        <v>28.23</v>
      </c>
      <c r="Y126">
        <f>Source!U41</f>
        <v>10.478350349999999</v>
      </c>
      <c r="Z126">
        <f>Source!V41</f>
        <v>0.35056125000000005</v>
      </c>
      <c r="AA126">
        <f>Source!X41</f>
        <v>687.12</v>
      </c>
      <c r="AB126">
        <f>Source!Y41</f>
        <v>350.04</v>
      </c>
    </row>
    <row r="127" spans="1:28" ht="14.25" x14ac:dyDescent="0.2">
      <c r="C127" s="28" t="str">
        <f>"Объем: "&amp;Source!I41&amp;"=6,63/"&amp;"100"</f>
        <v>Объем: 0,0663=6,63/100</v>
      </c>
      <c r="F127" s="14"/>
      <c r="G127" s="14"/>
      <c r="H127" s="14"/>
    </row>
    <row r="128" spans="1:28" x14ac:dyDescent="0.2">
      <c r="C128" s="28" t="s">
        <v>525</v>
      </c>
      <c r="D128" s="28">
        <f>Source!BA41</f>
        <v>6.77</v>
      </c>
    </row>
    <row r="129" spans="1:28" x14ac:dyDescent="0.2">
      <c r="C129" s="28" t="s">
        <v>526</v>
      </c>
      <c r="D129" s="28">
        <f>Source!BB41</f>
        <v>6.77</v>
      </c>
    </row>
    <row r="130" spans="1:28" x14ac:dyDescent="0.2">
      <c r="C130" s="28" t="s">
        <v>527</v>
      </c>
      <c r="D130" s="28">
        <f>Source!BC41</f>
        <v>6.77</v>
      </c>
    </row>
    <row r="131" spans="1:28" x14ac:dyDescent="0.2">
      <c r="C131" s="28" t="s">
        <v>528</v>
      </c>
      <c r="D131" s="28">
        <f>Source!BS41</f>
        <v>6.77</v>
      </c>
    </row>
    <row r="132" spans="1:28" x14ac:dyDescent="0.2">
      <c r="C132" s="28" t="s">
        <v>530</v>
      </c>
      <c r="D132" s="113" t="s">
        <v>56</v>
      </c>
      <c r="E132" s="113"/>
      <c r="F132" s="113"/>
      <c r="G132" s="113"/>
      <c r="H132" s="113"/>
    </row>
    <row r="133" spans="1:28" x14ac:dyDescent="0.2">
      <c r="C133" s="28" t="s">
        <v>531</v>
      </c>
      <c r="D133" s="113" t="s">
        <v>56</v>
      </c>
      <c r="E133" s="113"/>
      <c r="F133" s="113"/>
      <c r="G133" s="113"/>
      <c r="H133" s="113"/>
    </row>
    <row r="134" spans="1:28" x14ac:dyDescent="0.2">
      <c r="C134" s="28" t="s">
        <v>532</v>
      </c>
      <c r="D134" s="113" t="s">
        <v>57</v>
      </c>
      <c r="E134" s="113"/>
      <c r="F134" s="113"/>
      <c r="G134" s="113"/>
      <c r="H134" s="113"/>
    </row>
    <row r="135" spans="1:28" x14ac:dyDescent="0.2">
      <c r="C135" s="28" t="s">
        <v>533</v>
      </c>
      <c r="D135" s="113" t="s">
        <v>57</v>
      </c>
      <c r="E135" s="113"/>
      <c r="F135" s="113"/>
      <c r="G135" s="113"/>
      <c r="H135" s="113"/>
    </row>
    <row r="136" spans="1:28" x14ac:dyDescent="0.2">
      <c r="C136" s="28" t="s">
        <v>534</v>
      </c>
      <c r="D136" s="113" t="s">
        <v>56</v>
      </c>
      <c r="E136" s="113"/>
      <c r="F136" s="113"/>
      <c r="G136" s="113"/>
      <c r="H136" s="113"/>
    </row>
    <row r="137" spans="1:28" x14ac:dyDescent="0.2">
      <c r="C137" s="11" t="s">
        <v>535</v>
      </c>
      <c r="D137" s="37"/>
      <c r="E137" s="37"/>
      <c r="F137" s="37">
        <f>Source!BZ41</f>
        <v>118</v>
      </c>
      <c r="G137" s="62">
        <f>(Source!AF41+Source!AE41)*Source!FX41/100</f>
        <v>1533.752082</v>
      </c>
      <c r="H137" s="63">
        <f>Source!X41</f>
        <v>687.12</v>
      </c>
    </row>
    <row r="138" spans="1:28" x14ac:dyDescent="0.2">
      <c r="C138" s="11" t="s">
        <v>536</v>
      </c>
      <c r="D138" s="37"/>
      <c r="E138" s="37"/>
      <c r="F138" s="37"/>
      <c r="G138" s="37" t="str">
        <f>CONCATENATE(Source!DL41,Source!FT41, "=", Source!FX41, "%")</f>
        <v>*0,9=106,2%</v>
      </c>
      <c r="H138" s="37" t="str">
        <f>CONCATENATE(Source!AT41)</f>
        <v>106</v>
      </c>
    </row>
    <row r="139" spans="1:28" x14ac:dyDescent="0.2">
      <c r="C139" s="11" t="s">
        <v>537</v>
      </c>
      <c r="D139" s="37"/>
      <c r="E139" s="37"/>
      <c r="F139" s="37">
        <f>Source!CA41</f>
        <v>63</v>
      </c>
      <c r="G139" s="62">
        <f>(Source!AF41+Source!AE41)*Source!FY41/100</f>
        <v>773.37499049999997</v>
      </c>
      <c r="H139" s="63">
        <f>Source!Y41</f>
        <v>350.04</v>
      </c>
    </row>
    <row r="140" spans="1:28" x14ac:dyDescent="0.2">
      <c r="C140" s="11" t="s">
        <v>538</v>
      </c>
      <c r="D140" s="37"/>
      <c r="E140" s="37"/>
      <c r="F140" s="37"/>
      <c r="G140" s="37" t="str">
        <f>CONCATENATE(Source!DM41,Source!FU41, "=", Source!FY41, "%")</f>
        <v>*0,85=53,55%</v>
      </c>
      <c r="H140" s="37" t="str">
        <f>CONCATENATE(Source!AU41)</f>
        <v>54</v>
      </c>
    </row>
    <row r="141" spans="1:28" x14ac:dyDescent="0.2">
      <c r="C141" s="11" t="s">
        <v>539</v>
      </c>
      <c r="D141" s="37"/>
      <c r="E141" s="37"/>
      <c r="F141" s="37"/>
      <c r="G141" s="62">
        <f>((Source!AF41+Source!AE41)*Source!FX41/100)+((Source!AF41+Source!AE41)*Source!FY41/100)+Source!AB41</f>
        <v>11866.750572499999</v>
      </c>
      <c r="H141" s="63">
        <f>Source!O41+Source!X41+Source!Y41</f>
        <v>5328</v>
      </c>
    </row>
    <row r="142" spans="1:28" ht="14.25" x14ac:dyDescent="0.2">
      <c r="A142" s="51">
        <v>10</v>
      </c>
      <c r="B142" s="51" t="str">
        <f>Source!E43</f>
        <v>7,1</v>
      </c>
      <c r="C142" s="51" t="str">
        <f>Source!G43</f>
        <v>Блоки оконные пластиковые</v>
      </c>
      <c r="D142" s="51" t="str">
        <f>Source!F43</f>
        <v>11.3.02.03</v>
      </c>
      <c r="E142" s="34" t="str">
        <f>Source!H43</f>
        <v>м2</v>
      </c>
      <c r="F142" s="14">
        <f>Source!I43</f>
        <v>6.63</v>
      </c>
      <c r="G142" s="24">
        <f>Source!AB43</f>
        <v>0</v>
      </c>
      <c r="H142" s="25">
        <f>Source!O43</f>
        <v>0</v>
      </c>
      <c r="T142">
        <f>Source!O43+Source!X43+Source!Y43</f>
        <v>0</v>
      </c>
      <c r="U142">
        <f>Source!P43</f>
        <v>0</v>
      </c>
      <c r="V142">
        <f>Source!S43</f>
        <v>0</v>
      </c>
      <c r="W142">
        <f>Source!Q43</f>
        <v>0</v>
      </c>
      <c r="X142">
        <f>Source!R43</f>
        <v>0</v>
      </c>
      <c r="Y142">
        <f>Source!U43</f>
        <v>0</v>
      </c>
      <c r="Z142">
        <f>Source!V43</f>
        <v>0</v>
      </c>
      <c r="AA142">
        <f>Source!X43</f>
        <v>0</v>
      </c>
      <c r="AB142">
        <f>Source!Y43</f>
        <v>0</v>
      </c>
    </row>
    <row r="143" spans="1:28" ht="14.25" x14ac:dyDescent="0.2">
      <c r="C143" s="28" t="s">
        <v>527</v>
      </c>
      <c r="D143" s="28">
        <f>Source!BC43</f>
        <v>6.77</v>
      </c>
      <c r="F143" s="14"/>
      <c r="G143" s="14"/>
      <c r="H143" s="14"/>
    </row>
    <row r="144" spans="1:28" ht="39.75" x14ac:dyDescent="0.2">
      <c r="A144" s="51">
        <v>11</v>
      </c>
      <c r="B144" s="51" t="str">
        <f>Source!E45</f>
        <v>7,2</v>
      </c>
      <c r="C144" s="51" t="s">
        <v>485</v>
      </c>
      <c r="D144" s="51" t="str">
        <f>Source!F45</f>
        <v>Цена поставщика</v>
      </c>
      <c r="E144" s="34" t="str">
        <f>Source!H45</f>
        <v>м2</v>
      </c>
      <c r="F144" s="14">
        <f>Source!I45</f>
        <v>6.63</v>
      </c>
      <c r="G144" s="24">
        <f>Source!AB45</f>
        <v>813.95</v>
      </c>
      <c r="H144" s="25">
        <f>Source!O45</f>
        <v>36534.230000000003</v>
      </c>
      <c r="T144">
        <f>Source!O45+Source!X45+Source!Y45</f>
        <v>36534.230000000003</v>
      </c>
      <c r="U144">
        <f>Source!P45</f>
        <v>36534.230000000003</v>
      </c>
      <c r="V144">
        <f>Source!S45</f>
        <v>0</v>
      </c>
      <c r="W144">
        <f>Source!Q45</f>
        <v>0</v>
      </c>
      <c r="X144">
        <f>Source!R45</f>
        <v>0</v>
      </c>
      <c r="Y144">
        <f>Source!U45</f>
        <v>0</v>
      </c>
      <c r="Z144">
        <f>Source!V45</f>
        <v>0</v>
      </c>
      <c r="AA144">
        <f>Source!X45</f>
        <v>0</v>
      </c>
      <c r="AB144">
        <f>Source!Y45</f>
        <v>0</v>
      </c>
    </row>
    <row r="145" spans="1:28" ht="14.25" x14ac:dyDescent="0.2">
      <c r="C145" s="28" t="s">
        <v>527</v>
      </c>
      <c r="D145" s="28">
        <f>Source!BC45</f>
        <v>6.77</v>
      </c>
      <c r="F145" s="14"/>
      <c r="G145" s="14"/>
      <c r="H145" s="14"/>
    </row>
    <row r="146" spans="1:28" ht="28.5" x14ac:dyDescent="0.2">
      <c r="A146" s="51">
        <v>12</v>
      </c>
      <c r="B146" s="51" t="str">
        <f>Source!E47</f>
        <v>8</v>
      </c>
      <c r="C146" s="51" t="str">
        <f>Source!G47</f>
        <v>Установка подоконных досок из ПВХ в каменных стенах толщиной до 0,51 м</v>
      </c>
      <c r="D146" s="51" t="str">
        <f>Source!F47</f>
        <v>10-01-035-01</v>
      </c>
      <c r="E146" s="34" t="str">
        <f>Source!H47</f>
        <v>100 м</v>
      </c>
      <c r="F146" s="14">
        <f>Source!I47</f>
        <v>2.0722</v>
      </c>
      <c r="G146" s="24">
        <f>Source!AB47</f>
        <v>4213.95</v>
      </c>
      <c r="H146" s="25">
        <f>Source!O47</f>
        <v>59116.63</v>
      </c>
      <c r="T146">
        <f>Source!O47+Source!X47+Source!Y47</f>
        <v>63846.29</v>
      </c>
      <c r="U146">
        <f>Source!P47</f>
        <v>56005.75</v>
      </c>
      <c r="V146">
        <f>Source!S47</f>
        <v>2916.06</v>
      </c>
      <c r="W146">
        <f>Source!Q47</f>
        <v>194.82</v>
      </c>
      <c r="X146">
        <f>Source!R47</f>
        <v>39.979999999999997</v>
      </c>
      <c r="Y146">
        <f>Source!U47</f>
        <v>50.496405700000004</v>
      </c>
      <c r="Z146">
        <f>Source!V47</f>
        <v>0.49214749999999996</v>
      </c>
      <c r="AA146">
        <f>Source!X47</f>
        <v>3133.4</v>
      </c>
      <c r="AB146">
        <f>Source!Y47</f>
        <v>1596.26</v>
      </c>
    </row>
    <row r="147" spans="1:28" ht="14.25" x14ac:dyDescent="0.2">
      <c r="C147" s="28" t="str">
        <f>"Объем: "&amp;Source!I47&amp;"=207,22/"&amp;"100"</f>
        <v>Объем: 2,0722=207,22/100</v>
      </c>
      <c r="F147" s="14"/>
      <c r="G147" s="14"/>
      <c r="H147" s="14"/>
    </row>
    <row r="148" spans="1:28" x14ac:dyDescent="0.2">
      <c r="C148" s="28" t="s">
        <v>525</v>
      </c>
      <c r="D148" s="28">
        <f>Source!BA47</f>
        <v>6.77</v>
      </c>
    </row>
    <row r="149" spans="1:28" x14ac:dyDescent="0.2">
      <c r="C149" s="28" t="s">
        <v>526</v>
      </c>
      <c r="D149" s="28">
        <f>Source!BB47</f>
        <v>6.77</v>
      </c>
    </row>
    <row r="150" spans="1:28" x14ac:dyDescent="0.2">
      <c r="C150" s="28" t="s">
        <v>527</v>
      </c>
      <c r="D150" s="28">
        <f>Source!BC47</f>
        <v>6.77</v>
      </c>
    </row>
    <row r="151" spans="1:28" x14ac:dyDescent="0.2">
      <c r="C151" s="28" t="s">
        <v>528</v>
      </c>
      <c r="D151" s="28">
        <f>Source!BS47</f>
        <v>6.77</v>
      </c>
    </row>
    <row r="152" spans="1:28" x14ac:dyDescent="0.2">
      <c r="C152" s="28" t="s">
        <v>530</v>
      </c>
      <c r="D152" s="113" t="s">
        <v>56</v>
      </c>
      <c r="E152" s="113"/>
      <c r="F152" s="113"/>
      <c r="G152" s="113"/>
      <c r="H152" s="113"/>
    </row>
    <row r="153" spans="1:28" x14ac:dyDescent="0.2">
      <c r="C153" s="28" t="s">
        <v>531</v>
      </c>
      <c r="D153" s="113" t="s">
        <v>56</v>
      </c>
      <c r="E153" s="113"/>
      <c r="F153" s="113"/>
      <c r="G153" s="113"/>
      <c r="H153" s="113"/>
    </row>
    <row r="154" spans="1:28" x14ac:dyDescent="0.2">
      <c r="C154" s="28" t="s">
        <v>532</v>
      </c>
      <c r="D154" s="113" t="s">
        <v>57</v>
      </c>
      <c r="E154" s="113"/>
      <c r="F154" s="113"/>
      <c r="G154" s="113"/>
      <c r="H154" s="113"/>
    </row>
    <row r="155" spans="1:28" x14ac:dyDescent="0.2">
      <c r="C155" s="28" t="s">
        <v>533</v>
      </c>
      <c r="D155" s="113" t="s">
        <v>57</v>
      </c>
      <c r="E155" s="113"/>
      <c r="F155" s="113"/>
      <c r="G155" s="113"/>
      <c r="H155" s="113"/>
    </row>
    <row r="156" spans="1:28" x14ac:dyDescent="0.2">
      <c r="C156" s="28" t="s">
        <v>534</v>
      </c>
      <c r="D156" s="113" t="s">
        <v>56</v>
      </c>
      <c r="E156" s="113"/>
      <c r="F156" s="113"/>
      <c r="G156" s="113"/>
      <c r="H156" s="113"/>
    </row>
    <row r="157" spans="1:28" x14ac:dyDescent="0.2">
      <c r="C157" s="11" t="s">
        <v>535</v>
      </c>
      <c r="D157" s="37"/>
      <c r="E157" s="37"/>
      <c r="F157" s="37">
        <f>Source!BZ47</f>
        <v>118</v>
      </c>
      <c r="G157" s="62">
        <f>(Source!AF47+Source!AE47)*Source!FX47/100</f>
        <v>223.77667499999998</v>
      </c>
      <c r="H157" s="63">
        <f>Source!X47</f>
        <v>3133.4</v>
      </c>
    </row>
    <row r="158" spans="1:28" x14ac:dyDescent="0.2">
      <c r="C158" s="11" t="s">
        <v>536</v>
      </c>
      <c r="D158" s="37"/>
      <c r="E158" s="37"/>
      <c r="F158" s="37"/>
      <c r="G158" s="37" t="str">
        <f>CONCATENATE(Source!DL47,Source!FT47, "=", Source!FX47, "%")</f>
        <v>*0,9=106,2%</v>
      </c>
      <c r="H158" s="37" t="str">
        <f>CONCATENATE(Source!AT47)</f>
        <v>106</v>
      </c>
    </row>
    <row r="159" spans="1:28" x14ac:dyDescent="0.2">
      <c r="C159" s="11" t="s">
        <v>537</v>
      </c>
      <c r="D159" s="37"/>
      <c r="E159" s="37"/>
      <c r="F159" s="37">
        <f>Source!CA47</f>
        <v>63</v>
      </c>
      <c r="G159" s="62">
        <f>(Source!AF47+Source!AE47)*Source!FY47/100</f>
        <v>112.83654375</v>
      </c>
      <c r="H159" s="63">
        <f>Source!Y47</f>
        <v>1596.26</v>
      </c>
    </row>
    <row r="160" spans="1:28" x14ac:dyDescent="0.2">
      <c r="C160" s="11" t="s">
        <v>538</v>
      </c>
      <c r="D160" s="37"/>
      <c r="E160" s="37"/>
      <c r="F160" s="37"/>
      <c r="G160" s="37" t="str">
        <f>CONCATENATE(Source!DM47,Source!FU47, "=", Source!FY47, "%")</f>
        <v>*0,85=53,55%</v>
      </c>
      <c r="H160" s="37" t="str">
        <f>CONCATENATE(Source!AU47)</f>
        <v>54</v>
      </c>
    </row>
    <row r="161" spans="1:28" x14ac:dyDescent="0.2">
      <c r="C161" s="11" t="s">
        <v>539</v>
      </c>
      <c r="D161" s="37"/>
      <c r="E161" s="37"/>
      <c r="F161" s="37"/>
      <c r="G161" s="62">
        <f>((Source!AF47+Source!AE47)*Source!FX47/100)+((Source!AF47+Source!AE47)*Source!FY47/100)+Source!AB47</f>
        <v>4550.5632187499996</v>
      </c>
      <c r="H161" s="63">
        <f>Source!O47+Source!X47+Source!Y47</f>
        <v>63846.29</v>
      </c>
    </row>
    <row r="162" spans="1:28" ht="28.5" x14ac:dyDescent="0.2">
      <c r="A162" s="51">
        <v>13</v>
      </c>
      <c r="B162" s="51" t="str">
        <f>Source!E49</f>
        <v>8,1</v>
      </c>
      <c r="C162" s="51" t="str">
        <f>Source!G49</f>
        <v>Доски подоконные ПВХ, шириной 500 мм</v>
      </c>
      <c r="D162" s="51" t="str">
        <f>Source!F49</f>
        <v>11.3.03.01-0010</v>
      </c>
      <c r="E162" s="34" t="str">
        <f>Source!H49</f>
        <v>м</v>
      </c>
      <c r="F162" s="14">
        <f>Source!I49</f>
        <v>207.22</v>
      </c>
      <c r="G162" s="24">
        <f>Source!AB49</f>
        <v>64.349999999999994</v>
      </c>
      <c r="H162" s="25">
        <f>Source!O49</f>
        <v>90275.29</v>
      </c>
      <c r="T162">
        <f>Source!O49+Source!X49+Source!Y49</f>
        <v>90275.29</v>
      </c>
      <c r="U162">
        <f>Source!P49</f>
        <v>90275.29</v>
      </c>
      <c r="V162">
        <f>Source!S49</f>
        <v>0</v>
      </c>
      <c r="W162">
        <f>Source!Q49</f>
        <v>0</v>
      </c>
      <c r="X162">
        <f>Source!R49</f>
        <v>0</v>
      </c>
      <c r="Y162">
        <f>Source!U49</f>
        <v>0</v>
      </c>
      <c r="Z162">
        <f>Source!V49</f>
        <v>0</v>
      </c>
      <c r="AA162">
        <f>Source!X49</f>
        <v>0</v>
      </c>
      <c r="AB162">
        <f>Source!Y49</f>
        <v>0</v>
      </c>
    </row>
    <row r="163" spans="1:28" ht="14.25" x14ac:dyDescent="0.2">
      <c r="C163" s="28" t="s">
        <v>527</v>
      </c>
      <c r="D163" s="28">
        <f>Source!BC49</f>
        <v>6.77</v>
      </c>
      <c r="F163" s="14"/>
      <c r="G163" s="14"/>
      <c r="H163" s="14"/>
    </row>
    <row r="164" spans="1:28" ht="42.75" x14ac:dyDescent="0.2">
      <c r="A164" s="51">
        <v>14</v>
      </c>
      <c r="B164" s="51" t="str">
        <f>Source!E51</f>
        <v>9</v>
      </c>
      <c r="C164" s="51" t="str">
        <f>Source!G51</f>
        <v>Устройство мелких покрытий (брандмауэры, парапеты, свесы и т.п.) из листовой оцинкованной стали</v>
      </c>
      <c r="D164" s="51" t="str">
        <f>Source!F51</f>
        <v>12-01-010-01</v>
      </c>
      <c r="E164" s="34" t="str">
        <f>Source!H51</f>
        <v>100 м2</v>
      </c>
      <c r="F164" s="14">
        <f>Source!I51</f>
        <v>0.5262</v>
      </c>
      <c r="G164" s="24">
        <f>Source!AB51</f>
        <v>10023.954</v>
      </c>
      <c r="H164" s="25">
        <f>Source!O51</f>
        <v>35709.07</v>
      </c>
      <c r="T164">
        <f>Source!O51+Source!X51+Source!Y51</f>
        <v>42156.869999999995</v>
      </c>
      <c r="U164">
        <f>Source!P51</f>
        <v>31671.57</v>
      </c>
      <c r="V164">
        <f>Source!S51</f>
        <v>3940.07</v>
      </c>
      <c r="W164">
        <f>Source!Q51</f>
        <v>97.43</v>
      </c>
      <c r="X164">
        <f>Source!R51</f>
        <v>15.63</v>
      </c>
      <c r="Y164">
        <f>Source!U51</f>
        <v>68.228407500000003</v>
      </c>
      <c r="Z164">
        <f>Source!V51</f>
        <v>0.17759250000000001</v>
      </c>
      <c r="AA164">
        <f>Source!X51</f>
        <v>4272.16</v>
      </c>
      <c r="AB164">
        <f>Source!Y51</f>
        <v>2175.64</v>
      </c>
    </row>
    <row r="165" spans="1:28" ht="14.25" x14ac:dyDescent="0.2">
      <c r="C165" s="28" t="str">
        <f>"Объем: "&amp;Source!I51&amp;"=52,62/"&amp;"100"</f>
        <v>Объем: 0,5262=52,62/100</v>
      </c>
      <c r="F165" s="14"/>
      <c r="G165" s="14"/>
      <c r="H165" s="14"/>
    </row>
    <row r="166" spans="1:28" x14ac:dyDescent="0.2">
      <c r="C166" s="28" t="s">
        <v>525</v>
      </c>
      <c r="D166" s="28">
        <f>Source!BA51</f>
        <v>6.77</v>
      </c>
    </row>
    <row r="167" spans="1:28" x14ac:dyDescent="0.2">
      <c r="C167" s="28" t="s">
        <v>526</v>
      </c>
      <c r="D167" s="28">
        <f>Source!BB51</f>
        <v>6.77</v>
      </c>
    </row>
    <row r="168" spans="1:28" x14ac:dyDescent="0.2">
      <c r="C168" s="28" t="s">
        <v>527</v>
      </c>
      <c r="D168" s="28">
        <f>Source!BC51</f>
        <v>6.77</v>
      </c>
    </row>
    <row r="169" spans="1:28" x14ac:dyDescent="0.2">
      <c r="C169" s="28" t="s">
        <v>528</v>
      </c>
      <c r="D169" s="28">
        <f>Source!BS51</f>
        <v>6.77</v>
      </c>
    </row>
    <row r="170" spans="1:28" x14ac:dyDescent="0.2">
      <c r="C170" s="28" t="s">
        <v>530</v>
      </c>
      <c r="D170" s="113" t="s">
        <v>56</v>
      </c>
      <c r="E170" s="113"/>
      <c r="F170" s="113"/>
      <c r="G170" s="113"/>
      <c r="H170" s="113"/>
    </row>
    <row r="171" spans="1:28" x14ac:dyDescent="0.2">
      <c r="C171" s="28" t="s">
        <v>531</v>
      </c>
      <c r="D171" s="113" t="s">
        <v>56</v>
      </c>
      <c r="E171" s="113"/>
      <c r="F171" s="113"/>
      <c r="G171" s="113"/>
      <c r="H171" s="113"/>
    </row>
    <row r="172" spans="1:28" x14ac:dyDescent="0.2">
      <c r="C172" s="28" t="s">
        <v>532</v>
      </c>
      <c r="D172" s="113" t="s">
        <v>57</v>
      </c>
      <c r="E172" s="113"/>
      <c r="F172" s="113"/>
      <c r="G172" s="113"/>
      <c r="H172" s="113"/>
    </row>
    <row r="173" spans="1:28" x14ac:dyDescent="0.2">
      <c r="C173" s="28" t="s">
        <v>533</v>
      </c>
      <c r="D173" s="113" t="s">
        <v>57</v>
      </c>
      <c r="E173" s="113"/>
      <c r="F173" s="113"/>
      <c r="G173" s="113"/>
      <c r="H173" s="113"/>
    </row>
    <row r="174" spans="1:28" x14ac:dyDescent="0.2">
      <c r="C174" s="28" t="s">
        <v>534</v>
      </c>
      <c r="D174" s="113" t="s">
        <v>56</v>
      </c>
      <c r="E174" s="113"/>
      <c r="F174" s="113"/>
      <c r="G174" s="113"/>
      <c r="H174" s="113"/>
    </row>
    <row r="175" spans="1:28" x14ac:dyDescent="0.2">
      <c r="C175" s="11" t="s">
        <v>535</v>
      </c>
      <c r="D175" s="37"/>
      <c r="E175" s="37"/>
      <c r="F175" s="37">
        <f>Source!BZ51</f>
        <v>120</v>
      </c>
      <c r="G175" s="62">
        <f>(Source!AF51+Source!AE51)*Source!FX51/100</f>
        <v>1199.24442</v>
      </c>
      <c r="H175" s="63">
        <f>Source!X51</f>
        <v>4272.16</v>
      </c>
    </row>
    <row r="176" spans="1:28" x14ac:dyDescent="0.2">
      <c r="C176" s="11" t="s">
        <v>536</v>
      </c>
      <c r="D176" s="37"/>
      <c r="E176" s="37"/>
      <c r="F176" s="37"/>
      <c r="G176" s="37" t="str">
        <f>CONCATENATE(Source!DL51,Source!FT51, "=", Source!FX51, "%")</f>
        <v>*0,9=108%</v>
      </c>
      <c r="H176" s="37" t="str">
        <f>CONCATENATE(Source!AT51)</f>
        <v>108</v>
      </c>
    </row>
    <row r="177" spans="1:28" x14ac:dyDescent="0.2">
      <c r="C177" s="11" t="s">
        <v>537</v>
      </c>
      <c r="D177" s="37"/>
      <c r="E177" s="37"/>
      <c r="F177" s="37">
        <f>Source!CA51</f>
        <v>65</v>
      </c>
      <c r="G177" s="62">
        <f>(Source!AF51+Source!AE51)*Source!FY51/100</f>
        <v>613.50235375</v>
      </c>
      <c r="H177" s="63">
        <f>Source!Y51</f>
        <v>2175.64</v>
      </c>
    </row>
    <row r="178" spans="1:28" x14ac:dyDescent="0.2">
      <c r="C178" s="11" t="s">
        <v>538</v>
      </c>
      <c r="D178" s="37"/>
      <c r="E178" s="37"/>
      <c r="F178" s="37"/>
      <c r="G178" s="37" t="str">
        <f>CONCATENATE(Source!DM51,Source!FU51, "=", Source!FY51, "%")</f>
        <v>*0,85=55,25%</v>
      </c>
      <c r="H178" s="37" t="str">
        <f>CONCATENATE(Source!AU51)</f>
        <v>55</v>
      </c>
    </row>
    <row r="179" spans="1:28" x14ac:dyDescent="0.2">
      <c r="C179" s="11" t="s">
        <v>539</v>
      </c>
      <c r="D179" s="37"/>
      <c r="E179" s="37"/>
      <c r="F179" s="37"/>
      <c r="G179" s="62">
        <f>((Source!AF51+Source!AE51)*Source!FX51/100)+((Source!AF51+Source!AE51)*Source!FY51/100)+Source!AB51</f>
        <v>11836.700773749999</v>
      </c>
      <c r="H179" s="63">
        <f>Source!O51+Source!X51+Source!Y51</f>
        <v>42156.869999999995</v>
      </c>
    </row>
    <row r="180" spans="1:28" ht="57" x14ac:dyDescent="0.2">
      <c r="A180" s="51">
        <v>15</v>
      </c>
      <c r="B180" s="51" t="str">
        <f>Source!E53</f>
        <v>10</v>
      </c>
      <c r="C180" s="51" t="str">
        <f>Source!G53</f>
        <v>Ремонт штукатурки откосов внутри здания по камню и бетону цементно-известковым раствором прямолинейных</v>
      </c>
      <c r="D180" s="51" t="str">
        <f>Source!F53</f>
        <v>61-7-1</v>
      </c>
      <c r="E180" s="34" t="str">
        <f>Source!H53</f>
        <v>100 м2</v>
      </c>
      <c r="F180" s="14">
        <f>Source!I53</f>
        <v>0.90449999999999997</v>
      </c>
      <c r="G180" s="24">
        <f>Source!AB53</f>
        <v>5751.96</v>
      </c>
      <c r="H180" s="25">
        <f>Source!O53</f>
        <v>35221.93</v>
      </c>
      <c r="T180">
        <f>Source!O53+Source!X53+Source!Y53</f>
        <v>62487.909999999996</v>
      </c>
      <c r="U180">
        <f>Source!P53</f>
        <v>13959.36</v>
      </c>
      <c r="V180">
        <f>Source!S53</f>
        <v>21040.53</v>
      </c>
      <c r="W180">
        <f>Source!Q53</f>
        <v>222.04</v>
      </c>
      <c r="X180">
        <f>Source!R53</f>
        <v>95.89</v>
      </c>
      <c r="Y180">
        <f>Source!U53</f>
        <v>346.47776999999996</v>
      </c>
      <c r="Z180">
        <f>Source!V53</f>
        <v>1.0492199999999998</v>
      </c>
      <c r="AA180">
        <f>Source!X53</f>
        <v>16697.77</v>
      </c>
      <c r="AB180">
        <f>Source!Y53</f>
        <v>10568.21</v>
      </c>
    </row>
    <row r="181" spans="1:28" ht="14.25" x14ac:dyDescent="0.2">
      <c r="C181" s="28" t="str">
        <f>"Объем: "&amp;Source!I53&amp;"=90,45/"&amp;"100"</f>
        <v>Объем: 0,9045=90,45/100</v>
      </c>
      <c r="F181" s="14"/>
      <c r="G181" s="14"/>
      <c r="H181" s="14"/>
    </row>
    <row r="182" spans="1:28" x14ac:dyDescent="0.2">
      <c r="C182" s="28" t="s">
        <v>525</v>
      </c>
      <c r="D182" s="28">
        <f>Source!BA53</f>
        <v>6.77</v>
      </c>
    </row>
    <row r="183" spans="1:28" x14ac:dyDescent="0.2">
      <c r="C183" s="28" t="s">
        <v>526</v>
      </c>
      <c r="D183" s="28">
        <f>Source!BB53</f>
        <v>6.77</v>
      </c>
    </row>
    <row r="184" spans="1:28" x14ac:dyDescent="0.2">
      <c r="C184" s="28" t="s">
        <v>527</v>
      </c>
      <c r="D184" s="28">
        <f>Source!BC53</f>
        <v>6.77</v>
      </c>
    </row>
    <row r="185" spans="1:28" x14ac:dyDescent="0.2">
      <c r="C185" s="28" t="s">
        <v>528</v>
      </c>
      <c r="D185" s="28">
        <f>Source!BS53</f>
        <v>6.77</v>
      </c>
    </row>
    <row r="186" spans="1:28" x14ac:dyDescent="0.2">
      <c r="C186" s="11" t="s">
        <v>535</v>
      </c>
      <c r="D186" s="37"/>
      <c r="E186" s="37"/>
      <c r="F186" s="37">
        <f>Source!BZ53</f>
        <v>79</v>
      </c>
      <c r="G186" s="62">
        <f>(Source!AF53+Source!AE53)*Source!FX53/100</f>
        <v>2726.8509000000004</v>
      </c>
      <c r="H186" s="63">
        <f>Source!X53</f>
        <v>16697.77</v>
      </c>
    </row>
    <row r="187" spans="1:28" x14ac:dyDescent="0.2">
      <c r="C187" s="11" t="s">
        <v>537</v>
      </c>
      <c r="D187" s="37"/>
      <c r="E187" s="37"/>
      <c r="F187" s="37">
        <f>Source!CA53</f>
        <v>50</v>
      </c>
      <c r="G187" s="62">
        <f>(Source!AF53+Source!AE53)*Source!FY53/100</f>
        <v>1725.855</v>
      </c>
      <c r="H187" s="63">
        <f>Source!Y53</f>
        <v>10568.21</v>
      </c>
    </row>
    <row r="188" spans="1:28" x14ac:dyDescent="0.2">
      <c r="C188" s="11" t="s">
        <v>539</v>
      </c>
      <c r="D188" s="37"/>
      <c r="E188" s="37"/>
      <c r="F188" s="37"/>
      <c r="G188" s="62">
        <f>((Source!AF53+Source!AE53)*Source!FX53/100)+((Source!AF53+Source!AE53)*Source!FY53/100)+Source!AB53</f>
        <v>10204.6659</v>
      </c>
      <c r="H188" s="63">
        <f>Source!O53+Source!X53+Source!Y53</f>
        <v>62487.909999999996</v>
      </c>
    </row>
    <row r="189" spans="1:28" ht="42.75" x14ac:dyDescent="0.2">
      <c r="A189" s="51">
        <v>16</v>
      </c>
      <c r="B189" s="51" t="str">
        <f>Source!E55</f>
        <v>10,1</v>
      </c>
      <c r="C189" s="51" t="s">
        <v>540</v>
      </c>
      <c r="D189" s="51" t="str">
        <f>Source!F55</f>
        <v>04.3.01.12-0111</v>
      </c>
      <c r="E189" s="34" t="str">
        <f>Source!H55</f>
        <v>м3</v>
      </c>
      <c r="F189" s="14">
        <f>Source!I55</f>
        <v>-3.9798</v>
      </c>
      <c r="G189" s="24">
        <f>Source!AB55</f>
        <v>517.91</v>
      </c>
      <c r="H189" s="25">
        <f>Source!O55</f>
        <v>-13954.18</v>
      </c>
      <c r="T189">
        <f>Source!O55+Source!X55+Source!Y55</f>
        <v>-13954.18</v>
      </c>
      <c r="U189">
        <f>Source!P55</f>
        <v>-13954.18</v>
      </c>
      <c r="V189">
        <f>Source!S55</f>
        <v>0</v>
      </c>
      <c r="W189">
        <f>Source!Q55</f>
        <v>0</v>
      </c>
      <c r="X189">
        <f>Source!R55</f>
        <v>0</v>
      </c>
      <c r="Y189">
        <f>Source!U55</f>
        <v>0</v>
      </c>
      <c r="Z189">
        <f>Source!V55</f>
        <v>0</v>
      </c>
      <c r="AA189">
        <f>Source!X55</f>
        <v>0</v>
      </c>
      <c r="AB189">
        <f>Source!Y55</f>
        <v>0</v>
      </c>
    </row>
    <row r="190" spans="1:28" ht="14.25" x14ac:dyDescent="0.2">
      <c r="C190" s="28" t="s">
        <v>527</v>
      </c>
      <c r="D190" s="28">
        <f>Source!BC55</f>
        <v>6.77</v>
      </c>
      <c r="F190" s="14"/>
      <c r="G190" s="14"/>
      <c r="H190" s="14"/>
    </row>
    <row r="191" spans="1:28" ht="28.5" x14ac:dyDescent="0.2">
      <c r="A191" s="51">
        <v>17</v>
      </c>
      <c r="B191" s="51" t="str">
        <f>Source!E57</f>
        <v>10,2</v>
      </c>
      <c r="C191" s="51" t="str">
        <f>Source!G57</f>
        <v>Раствор готовый кладочный цементно-известковый марки 150</v>
      </c>
      <c r="D191" s="51" t="str">
        <f>Source!F57</f>
        <v>04.3.01.12-0006</v>
      </c>
      <c r="E191" s="34" t="str">
        <f>Source!H57</f>
        <v>м3</v>
      </c>
      <c r="F191" s="14">
        <f>Source!I57</f>
        <v>3.9798</v>
      </c>
      <c r="G191" s="24">
        <f>Source!AB57</f>
        <v>559.23</v>
      </c>
      <c r="H191" s="25">
        <f>Source!O57</f>
        <v>15067.47</v>
      </c>
      <c r="T191">
        <f>Source!O57+Source!X57+Source!Y57</f>
        <v>15067.47</v>
      </c>
      <c r="U191">
        <f>Source!P57</f>
        <v>15067.47</v>
      </c>
      <c r="V191">
        <f>Source!S57</f>
        <v>0</v>
      </c>
      <c r="W191">
        <f>Source!Q57</f>
        <v>0</v>
      </c>
      <c r="X191">
        <f>Source!R57</f>
        <v>0</v>
      </c>
      <c r="Y191">
        <f>Source!U57</f>
        <v>0</v>
      </c>
      <c r="Z191">
        <f>Source!V57</f>
        <v>0</v>
      </c>
      <c r="AA191">
        <f>Source!X57</f>
        <v>0</v>
      </c>
      <c r="AB191">
        <f>Source!Y57</f>
        <v>0</v>
      </c>
    </row>
    <row r="192" spans="1:28" ht="14.25" x14ac:dyDescent="0.2">
      <c r="C192" s="28" t="s">
        <v>527</v>
      </c>
      <c r="D192" s="28">
        <f>Source!BC57</f>
        <v>6.77</v>
      </c>
      <c r="F192" s="14"/>
      <c r="G192" s="14"/>
      <c r="H192" s="14"/>
    </row>
    <row r="193" spans="1:28" ht="57" x14ac:dyDescent="0.2">
      <c r="A193" s="51">
        <v>18</v>
      </c>
      <c r="B193" s="51" t="str">
        <f>Source!E59</f>
        <v>11</v>
      </c>
      <c r="C193" s="51" t="str">
        <f>Source!G59</f>
        <v>Облицовка оконных и дверных откосов декоративным бумажно-слоистым пластиком или листами из синтетических материалов на клее</v>
      </c>
      <c r="D193" s="51" t="str">
        <f>Source!F59</f>
        <v>15-01-050-04</v>
      </c>
      <c r="E193" s="34" t="str">
        <f>Source!H59</f>
        <v>100 м2</v>
      </c>
      <c r="F193" s="14">
        <f>Source!I59</f>
        <v>2.2132999999999998</v>
      </c>
      <c r="G193" s="24">
        <f>Source!AB59</f>
        <v>1801.9784999999999</v>
      </c>
      <c r="H193" s="25">
        <f>Source!O59</f>
        <v>27000.91</v>
      </c>
      <c r="T193">
        <f>Source!O59+Source!X59+Source!Y59</f>
        <v>64577.08</v>
      </c>
      <c r="U193">
        <f>Source!P59</f>
        <v>5.39</v>
      </c>
      <c r="V193">
        <f>Source!S59</f>
        <v>26333.23</v>
      </c>
      <c r="W193">
        <f>Source!Q59</f>
        <v>662.29</v>
      </c>
      <c r="X193">
        <f>Source!R59</f>
        <v>128.86000000000001</v>
      </c>
      <c r="Y193">
        <f>Source!U59</f>
        <v>423.71525864999995</v>
      </c>
      <c r="Z193">
        <f>Source!V59</f>
        <v>1.6046424999999997</v>
      </c>
      <c r="AA193">
        <f>Source!X59</f>
        <v>25138.99</v>
      </c>
      <c r="AB193">
        <f>Source!Y59</f>
        <v>12437.18</v>
      </c>
    </row>
    <row r="194" spans="1:28" ht="14.25" x14ac:dyDescent="0.2">
      <c r="C194" s="28" t="str">
        <f>"Объем: "&amp;Source!I59&amp;"=221,33/"&amp;"100"</f>
        <v>Объем: 2,2133=221,33/100</v>
      </c>
      <c r="F194" s="14"/>
      <c r="G194" s="14"/>
      <c r="H194" s="14"/>
    </row>
    <row r="195" spans="1:28" x14ac:dyDescent="0.2">
      <c r="C195" s="28" t="s">
        <v>525</v>
      </c>
      <c r="D195" s="28">
        <f>Source!BA59</f>
        <v>6.77</v>
      </c>
    </row>
    <row r="196" spans="1:28" x14ac:dyDescent="0.2">
      <c r="C196" s="28" t="s">
        <v>526</v>
      </c>
      <c r="D196" s="28">
        <f>Source!BB59</f>
        <v>6.77</v>
      </c>
    </row>
    <row r="197" spans="1:28" x14ac:dyDescent="0.2">
      <c r="C197" s="28" t="s">
        <v>527</v>
      </c>
      <c r="D197" s="28">
        <f>Source!BC59</f>
        <v>6.77</v>
      </c>
    </row>
    <row r="198" spans="1:28" x14ac:dyDescent="0.2">
      <c r="C198" s="28" t="s">
        <v>528</v>
      </c>
      <c r="D198" s="28">
        <f>Source!BS59</f>
        <v>6.77</v>
      </c>
    </row>
    <row r="199" spans="1:28" x14ac:dyDescent="0.2">
      <c r="C199" s="28" t="s">
        <v>530</v>
      </c>
      <c r="D199" s="113" t="s">
        <v>56</v>
      </c>
      <c r="E199" s="113"/>
      <c r="F199" s="113"/>
      <c r="G199" s="113"/>
      <c r="H199" s="113"/>
    </row>
    <row r="200" spans="1:28" x14ac:dyDescent="0.2">
      <c r="C200" s="28" t="s">
        <v>531</v>
      </c>
      <c r="D200" s="113" t="s">
        <v>56</v>
      </c>
      <c r="E200" s="113"/>
      <c r="F200" s="113"/>
      <c r="G200" s="113"/>
      <c r="H200" s="113"/>
    </row>
    <row r="201" spans="1:28" x14ac:dyDescent="0.2">
      <c r="C201" s="28" t="s">
        <v>532</v>
      </c>
      <c r="D201" s="113" t="s">
        <v>57</v>
      </c>
      <c r="E201" s="113"/>
      <c r="F201" s="113"/>
      <c r="G201" s="113"/>
      <c r="H201" s="113"/>
    </row>
    <row r="202" spans="1:28" x14ac:dyDescent="0.2">
      <c r="C202" s="28" t="s">
        <v>533</v>
      </c>
      <c r="D202" s="113" t="s">
        <v>57</v>
      </c>
      <c r="E202" s="113"/>
      <c r="F202" s="113"/>
      <c r="G202" s="113"/>
      <c r="H202" s="113"/>
    </row>
    <row r="203" spans="1:28" x14ac:dyDescent="0.2">
      <c r="C203" s="28" t="s">
        <v>534</v>
      </c>
      <c r="D203" s="113" t="s">
        <v>56</v>
      </c>
      <c r="E203" s="113"/>
      <c r="F203" s="113"/>
      <c r="G203" s="113"/>
      <c r="H203" s="113"/>
    </row>
    <row r="204" spans="1:28" x14ac:dyDescent="0.2">
      <c r="C204" s="11" t="s">
        <v>535</v>
      </c>
      <c r="D204" s="37"/>
      <c r="E204" s="37"/>
      <c r="F204" s="37">
        <f>Source!BZ59</f>
        <v>105</v>
      </c>
      <c r="G204" s="62">
        <f>(Source!AF59+Source!AE59)*Source!FX59/100</f>
        <v>1668.8874825</v>
      </c>
      <c r="H204" s="63">
        <f>Source!X59</f>
        <v>25138.99</v>
      </c>
    </row>
    <row r="205" spans="1:28" x14ac:dyDescent="0.2">
      <c r="C205" s="11" t="s">
        <v>536</v>
      </c>
      <c r="D205" s="37"/>
      <c r="E205" s="37"/>
      <c r="F205" s="37"/>
      <c r="G205" s="37" t="str">
        <f>CONCATENATE(Source!DL59,Source!FT59, "=", Source!FX59, "%")</f>
        <v>*0,9=94,5%</v>
      </c>
      <c r="H205" s="37" t="str">
        <f>CONCATENATE(Source!AT59)</f>
        <v>95</v>
      </c>
    </row>
    <row r="206" spans="1:28" x14ac:dyDescent="0.2">
      <c r="C206" s="11" t="s">
        <v>537</v>
      </c>
      <c r="D206" s="37"/>
      <c r="E206" s="37"/>
      <c r="F206" s="37">
        <f>Source!CA59</f>
        <v>55</v>
      </c>
      <c r="G206" s="62">
        <f>(Source!AF59+Source!AE59)*Source!FY59/100</f>
        <v>825.61364875000004</v>
      </c>
      <c r="H206" s="63">
        <f>Source!Y59</f>
        <v>12437.18</v>
      </c>
    </row>
    <row r="207" spans="1:28" x14ac:dyDescent="0.2">
      <c r="C207" s="11" t="s">
        <v>538</v>
      </c>
      <c r="D207" s="37"/>
      <c r="E207" s="37"/>
      <c r="F207" s="37"/>
      <c r="G207" s="37" t="str">
        <f>CONCATENATE(Source!DM59,Source!FU59, "=", Source!FY59, "%")</f>
        <v>*0,85=46,75%</v>
      </c>
      <c r="H207" s="37" t="str">
        <f>CONCATENATE(Source!AU59)</f>
        <v>47</v>
      </c>
    </row>
    <row r="208" spans="1:28" x14ac:dyDescent="0.2">
      <c r="C208" s="11" t="s">
        <v>539</v>
      </c>
      <c r="D208" s="37"/>
      <c r="E208" s="37"/>
      <c r="F208" s="37"/>
      <c r="G208" s="62">
        <f>((Source!AF59+Source!AE59)*Source!FX59/100)+((Source!AF59+Source!AE59)*Source!FY59/100)+Source!AB59</f>
        <v>4296.4796312500002</v>
      </c>
      <c r="H208" s="63">
        <f>Source!O59+Source!X59+Source!Y59</f>
        <v>64577.08</v>
      </c>
    </row>
    <row r="209" spans="1:28" ht="14.25" x14ac:dyDescent="0.2">
      <c r="A209" s="51">
        <v>19</v>
      </c>
      <c r="B209" s="51" t="str">
        <f>Source!E61</f>
        <v>11,1</v>
      </c>
      <c r="C209" s="51" t="str">
        <f>Source!G61</f>
        <v>Листы облицовочные декоративные</v>
      </c>
      <c r="D209" s="51" t="str">
        <f>Source!F61</f>
        <v>01.6.01.11</v>
      </c>
      <c r="E209" s="34" t="str">
        <f>Source!H61</f>
        <v>м2</v>
      </c>
      <c r="F209" s="14">
        <f>Source!I61</f>
        <v>232.3965</v>
      </c>
      <c r="G209" s="24">
        <f>Source!AB61</f>
        <v>0</v>
      </c>
      <c r="H209" s="25">
        <f>Source!O61</f>
        <v>0</v>
      </c>
      <c r="T209">
        <f>Source!O61+Source!X61+Source!Y61</f>
        <v>0</v>
      </c>
      <c r="U209">
        <f>Source!P61</f>
        <v>0</v>
      </c>
      <c r="V209">
        <f>Source!S61</f>
        <v>0</v>
      </c>
      <c r="W209">
        <f>Source!Q61</f>
        <v>0</v>
      </c>
      <c r="X209">
        <f>Source!R61</f>
        <v>0</v>
      </c>
      <c r="Y209">
        <f>Source!U61</f>
        <v>0</v>
      </c>
      <c r="Z209">
        <f>Source!V61</f>
        <v>0</v>
      </c>
      <c r="AA209">
        <f>Source!X61</f>
        <v>0</v>
      </c>
      <c r="AB209">
        <f>Source!Y61</f>
        <v>0</v>
      </c>
    </row>
    <row r="210" spans="1:28" ht="14.25" x14ac:dyDescent="0.2">
      <c r="C210" s="28" t="s">
        <v>527</v>
      </c>
      <c r="D210" s="28">
        <f>Source!BC61</f>
        <v>6.77</v>
      </c>
      <c r="F210" s="14"/>
      <c r="G210" s="14"/>
      <c r="H210" s="14"/>
    </row>
    <row r="211" spans="1:28" ht="85.5" x14ac:dyDescent="0.2">
      <c r="A211" s="51">
        <v>20</v>
      </c>
      <c r="B211" s="51" t="str">
        <f>Source!E63</f>
        <v>11,2</v>
      </c>
      <c r="C211" s="51" t="str">
        <f>Source!G63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211" s="51" t="str">
        <f>Source!F63</f>
        <v>11.3.03.05-0011</v>
      </c>
      <c r="E211" s="34" t="str">
        <f>Source!H63</f>
        <v>м2</v>
      </c>
      <c r="F211" s="14">
        <f>Source!I63</f>
        <v>232.3965</v>
      </c>
      <c r="G211" s="24">
        <f>Source!AB63</f>
        <v>59.16</v>
      </c>
      <c r="H211" s="25">
        <f>Source!O63</f>
        <v>93077.87</v>
      </c>
      <c r="T211">
        <f>Source!O63+Source!X63+Source!Y63</f>
        <v>93077.87</v>
      </c>
      <c r="U211">
        <f>Source!P63</f>
        <v>93077.87</v>
      </c>
      <c r="V211">
        <f>Source!S63</f>
        <v>0</v>
      </c>
      <c r="W211">
        <f>Source!Q63</f>
        <v>0</v>
      </c>
      <c r="X211">
        <f>Source!R63</f>
        <v>0</v>
      </c>
      <c r="Y211">
        <f>Source!U63</f>
        <v>0</v>
      </c>
      <c r="Z211">
        <f>Source!V63</f>
        <v>0</v>
      </c>
      <c r="AA211">
        <f>Source!X63</f>
        <v>0</v>
      </c>
      <c r="AB211">
        <f>Source!Y63</f>
        <v>0</v>
      </c>
    </row>
    <row r="212" spans="1:28" ht="14.25" x14ac:dyDescent="0.2">
      <c r="C212" s="28" t="s">
        <v>527</v>
      </c>
      <c r="D212" s="28">
        <f>Source!BC63</f>
        <v>6.77</v>
      </c>
      <c r="F212" s="14"/>
      <c r="G212" s="14"/>
      <c r="H212" s="14"/>
    </row>
    <row r="213" spans="1:28" ht="14.25" x14ac:dyDescent="0.2">
      <c r="A213" s="51">
        <v>21</v>
      </c>
      <c r="B213" s="51" t="str">
        <f>Source!E65</f>
        <v>11,3</v>
      </c>
      <c r="C213" s="51" t="str">
        <f>Source!G65</f>
        <v>Клей</v>
      </c>
      <c r="D213" s="51" t="str">
        <f>Source!F65</f>
        <v>14.1.06.05</v>
      </c>
      <c r="E213" s="34" t="str">
        <f>Source!H65</f>
        <v>кг</v>
      </c>
      <c r="F213" s="14">
        <f>Source!I65</f>
        <v>66.399000000000001</v>
      </c>
      <c r="G213" s="24">
        <f>Source!AB65</f>
        <v>0</v>
      </c>
      <c r="H213" s="25">
        <f>Source!O65</f>
        <v>0</v>
      </c>
      <c r="T213">
        <f>Source!O65+Source!X65+Source!Y65</f>
        <v>0</v>
      </c>
      <c r="U213">
        <f>Source!P65</f>
        <v>0</v>
      </c>
      <c r="V213">
        <f>Source!S65</f>
        <v>0</v>
      </c>
      <c r="W213">
        <f>Source!Q65</f>
        <v>0</v>
      </c>
      <c r="X213">
        <f>Source!R65</f>
        <v>0</v>
      </c>
      <c r="Y213">
        <f>Source!U65</f>
        <v>0</v>
      </c>
      <c r="Z213">
        <f>Source!V65</f>
        <v>0</v>
      </c>
      <c r="AA213">
        <f>Source!X65</f>
        <v>0</v>
      </c>
      <c r="AB213">
        <f>Source!Y65</f>
        <v>0</v>
      </c>
    </row>
    <row r="214" spans="1:28" ht="14.25" x14ac:dyDescent="0.2">
      <c r="C214" s="28" t="s">
        <v>527</v>
      </c>
      <c r="D214" s="28">
        <f>Source!BC65</f>
        <v>6.77</v>
      </c>
      <c r="F214" s="14"/>
      <c r="G214" s="14"/>
      <c r="H214" s="14"/>
    </row>
    <row r="215" spans="1:28" ht="28.5" x14ac:dyDescent="0.2">
      <c r="A215" s="51">
        <v>22</v>
      </c>
      <c r="B215" s="51" t="str">
        <f>Source!E67</f>
        <v>11,4</v>
      </c>
      <c r="C215" s="51" t="str">
        <f>Source!G67</f>
        <v>Клей Forbo 522, для укладки ПВХ-покрытий</v>
      </c>
      <c r="D215" s="51" t="str">
        <f>Source!F67</f>
        <v>14.1.02.04-0102</v>
      </c>
      <c r="E215" s="34" t="str">
        <f>Source!H67</f>
        <v>кг</v>
      </c>
      <c r="F215" s="14">
        <f>Source!I67</f>
        <v>66.399000000000001</v>
      </c>
      <c r="G215" s="24">
        <f>Source!AB67</f>
        <v>25.56</v>
      </c>
      <c r="H215" s="25">
        <f>Source!O67</f>
        <v>11489.76</v>
      </c>
      <c r="T215">
        <f>Source!O67+Source!X67+Source!Y67</f>
        <v>11489.76</v>
      </c>
      <c r="U215">
        <f>Source!P67</f>
        <v>11489.76</v>
      </c>
      <c r="V215">
        <f>Source!S67</f>
        <v>0</v>
      </c>
      <c r="W215">
        <f>Source!Q67</f>
        <v>0</v>
      </c>
      <c r="X215">
        <f>Source!R67</f>
        <v>0</v>
      </c>
      <c r="Y215">
        <f>Source!U67</f>
        <v>0</v>
      </c>
      <c r="Z215">
        <f>Source!V67</f>
        <v>0</v>
      </c>
      <c r="AA215">
        <f>Source!X67</f>
        <v>0</v>
      </c>
      <c r="AB215">
        <f>Source!Y67</f>
        <v>0</v>
      </c>
    </row>
    <row r="216" spans="1:28" ht="14.25" x14ac:dyDescent="0.2">
      <c r="C216" s="28" t="s">
        <v>527</v>
      </c>
      <c r="D216" s="28">
        <f>Source!BC67</f>
        <v>6.77</v>
      </c>
      <c r="F216" s="14"/>
      <c r="G216" s="14"/>
      <c r="H216" s="14"/>
    </row>
    <row r="217" spans="1:28" ht="28.5" x14ac:dyDescent="0.2">
      <c r="A217" s="51">
        <v>23</v>
      </c>
      <c r="B217" s="51" t="str">
        <f>Source!E69</f>
        <v>11,5</v>
      </c>
      <c r="C217" s="51" t="str">
        <f>Source!G69</f>
        <v>Грунтовка: «Бетоконтакт», КНАУФ</v>
      </c>
      <c r="D217" s="51" t="str">
        <f>Source!F69</f>
        <v>14.3.01.01-0001</v>
      </c>
      <c r="E217" s="34" t="str">
        <f>Source!H69</f>
        <v>кг</v>
      </c>
      <c r="F217" s="14">
        <f>Source!I69</f>
        <v>19.698</v>
      </c>
      <c r="G217" s="24">
        <f>Source!AB69</f>
        <v>15.09</v>
      </c>
      <c r="H217" s="25">
        <f>Source!O69</f>
        <v>2012.33</v>
      </c>
      <c r="T217">
        <f>Source!O69+Source!X69+Source!Y69</f>
        <v>2012.33</v>
      </c>
      <c r="U217">
        <f>Source!P69</f>
        <v>2012.33</v>
      </c>
      <c r="V217">
        <f>Source!S69</f>
        <v>0</v>
      </c>
      <c r="W217">
        <f>Source!Q69</f>
        <v>0</v>
      </c>
      <c r="X217">
        <f>Source!R69</f>
        <v>0</v>
      </c>
      <c r="Y217">
        <f>Source!U69</f>
        <v>0</v>
      </c>
      <c r="Z217">
        <f>Source!V69</f>
        <v>0</v>
      </c>
      <c r="AA217">
        <f>Source!X69</f>
        <v>0</v>
      </c>
      <c r="AB217">
        <f>Source!Y69</f>
        <v>0</v>
      </c>
    </row>
    <row r="218" spans="1:28" ht="14.25" x14ac:dyDescent="0.2">
      <c r="C218" s="28" t="s">
        <v>527</v>
      </c>
      <c r="D218" s="28">
        <f>Source!BC69</f>
        <v>6.77</v>
      </c>
      <c r="F218" s="14"/>
      <c r="G218" s="14"/>
      <c r="H218" s="14"/>
    </row>
    <row r="219" spans="1:28" ht="14.25" x14ac:dyDescent="0.2">
      <c r="A219" s="51">
        <v>24</v>
      </c>
      <c r="B219" s="51" t="str">
        <f>Source!E71</f>
        <v>11,6</v>
      </c>
      <c r="C219" s="51" t="str">
        <f>Source!G71</f>
        <v>Грунтовка</v>
      </c>
      <c r="D219" s="51" t="str">
        <f>Source!F71</f>
        <v>14.4.01.21</v>
      </c>
      <c r="E219" s="34" t="str">
        <f>Source!H71</f>
        <v>т</v>
      </c>
      <c r="F219" s="14">
        <f>Source!I71</f>
        <v>1.9698E-2</v>
      </c>
      <c r="G219" s="24">
        <f>Source!AB71</f>
        <v>0</v>
      </c>
      <c r="H219" s="25">
        <f>Source!O71</f>
        <v>0</v>
      </c>
      <c r="T219">
        <f>Source!O71+Source!X71+Source!Y71</f>
        <v>0</v>
      </c>
      <c r="U219">
        <f>Source!P71</f>
        <v>0</v>
      </c>
      <c r="V219">
        <f>Source!S71</f>
        <v>0</v>
      </c>
      <c r="W219">
        <f>Source!Q71</f>
        <v>0</v>
      </c>
      <c r="X219">
        <f>Source!R71</f>
        <v>0</v>
      </c>
      <c r="Y219">
        <f>Source!U71</f>
        <v>0</v>
      </c>
      <c r="Z219">
        <f>Source!V71</f>
        <v>0</v>
      </c>
      <c r="AA219">
        <f>Source!X71</f>
        <v>0</v>
      </c>
      <c r="AB219">
        <f>Source!Y71</f>
        <v>0</v>
      </c>
    </row>
    <row r="220" spans="1:28" ht="14.25" x14ac:dyDescent="0.2">
      <c r="C220" s="28" t="s">
        <v>527</v>
      </c>
      <c r="D220" s="28">
        <f>Source!BC71</f>
        <v>6.77</v>
      </c>
      <c r="F220" s="14"/>
      <c r="G220" s="14"/>
      <c r="H220" s="14"/>
    </row>
    <row r="221" spans="1:28" ht="28.5" x14ac:dyDescent="0.2">
      <c r="A221" s="51">
        <v>25</v>
      </c>
      <c r="B221" s="51" t="str">
        <f>Source!E73</f>
        <v>12</v>
      </c>
      <c r="C221" s="51" t="str">
        <f>Source!G73</f>
        <v>Установка уголков ПВХ на клее</v>
      </c>
      <c r="D221" s="51" t="str">
        <f>Source!F73</f>
        <v>10-01-036-01</v>
      </c>
      <c r="E221" s="34" t="str">
        <f>Source!H73</f>
        <v>100 м</v>
      </c>
      <c r="F221" s="14">
        <f>Source!I73</f>
        <v>4.4265999999999996</v>
      </c>
      <c r="G221" s="24">
        <f>Source!AB73</f>
        <v>101.7225</v>
      </c>
      <c r="H221" s="25">
        <f>Source!O73</f>
        <v>3048.43</v>
      </c>
      <c r="T221">
        <f>Source!O73+Source!X73+Source!Y73</f>
        <v>6199.75</v>
      </c>
      <c r="U221">
        <f>Source!P73</f>
        <v>1078.8499999999999</v>
      </c>
      <c r="V221">
        <f>Source!S73</f>
        <v>1969.58</v>
      </c>
      <c r="W221">
        <f>Source!Q73</f>
        <v>0</v>
      </c>
      <c r="X221">
        <f>Source!R73</f>
        <v>0</v>
      </c>
      <c r="Y221">
        <f>Source!U73</f>
        <v>34.106952999999997</v>
      </c>
      <c r="Z221">
        <f>Source!V73</f>
        <v>0</v>
      </c>
      <c r="AA221">
        <f>Source!X73</f>
        <v>2087.75</v>
      </c>
      <c r="AB221">
        <f>Source!Y73</f>
        <v>1063.57</v>
      </c>
    </row>
    <row r="222" spans="1:28" ht="14.25" x14ac:dyDescent="0.2">
      <c r="C222" s="28" t="str">
        <f>"Объем: "&amp;Source!I73&amp;"=442,66/"&amp;"100"</f>
        <v>Объем: 4,4266=442,66/100</v>
      </c>
      <c r="F222" s="14"/>
      <c r="G222" s="14"/>
      <c r="H222" s="14"/>
    </row>
    <row r="223" spans="1:28" x14ac:dyDescent="0.2">
      <c r="C223" s="28" t="s">
        <v>525</v>
      </c>
      <c r="D223" s="28">
        <f>Source!BA73</f>
        <v>6.77</v>
      </c>
    </row>
    <row r="224" spans="1:28" x14ac:dyDescent="0.2">
      <c r="C224" s="28" t="s">
        <v>526</v>
      </c>
      <c r="D224" s="28">
        <f>Source!BB73</f>
        <v>6.77</v>
      </c>
    </row>
    <row r="225" spans="1:28" x14ac:dyDescent="0.2">
      <c r="C225" s="28" t="s">
        <v>527</v>
      </c>
      <c r="D225" s="28">
        <f>Source!BC73</f>
        <v>6.77</v>
      </c>
    </row>
    <row r="226" spans="1:28" x14ac:dyDescent="0.2">
      <c r="C226" s="28" t="s">
        <v>528</v>
      </c>
      <c r="D226" s="28">
        <f>Source!BS73</f>
        <v>6.77</v>
      </c>
    </row>
    <row r="227" spans="1:28" x14ac:dyDescent="0.2">
      <c r="C227" s="28" t="s">
        <v>530</v>
      </c>
      <c r="D227" s="113" t="s">
        <v>56</v>
      </c>
      <c r="E227" s="113"/>
      <c r="F227" s="113"/>
      <c r="G227" s="113"/>
      <c r="H227" s="113"/>
    </row>
    <row r="228" spans="1:28" x14ac:dyDescent="0.2">
      <c r="C228" s="28" t="s">
        <v>531</v>
      </c>
      <c r="D228" s="113" t="s">
        <v>56</v>
      </c>
      <c r="E228" s="113"/>
      <c r="F228" s="113"/>
      <c r="G228" s="113"/>
      <c r="H228" s="113"/>
    </row>
    <row r="229" spans="1:28" x14ac:dyDescent="0.2">
      <c r="C229" s="28" t="s">
        <v>532</v>
      </c>
      <c r="D229" s="113" t="s">
        <v>57</v>
      </c>
      <c r="E229" s="113"/>
      <c r="F229" s="113"/>
      <c r="G229" s="113"/>
      <c r="H229" s="113"/>
    </row>
    <row r="230" spans="1:28" x14ac:dyDescent="0.2">
      <c r="C230" s="28" t="s">
        <v>533</v>
      </c>
      <c r="D230" s="113" t="s">
        <v>57</v>
      </c>
      <c r="E230" s="113"/>
      <c r="F230" s="113"/>
      <c r="G230" s="113"/>
      <c r="H230" s="113"/>
    </row>
    <row r="231" spans="1:28" x14ac:dyDescent="0.2">
      <c r="C231" s="28" t="s">
        <v>534</v>
      </c>
      <c r="D231" s="113" t="s">
        <v>56</v>
      </c>
      <c r="E231" s="113"/>
      <c r="F231" s="113"/>
      <c r="G231" s="113"/>
      <c r="H231" s="113"/>
    </row>
    <row r="232" spans="1:28" x14ac:dyDescent="0.2">
      <c r="C232" s="11" t="s">
        <v>535</v>
      </c>
      <c r="D232" s="37"/>
      <c r="E232" s="37"/>
      <c r="F232" s="37">
        <f>Source!BZ73</f>
        <v>118</v>
      </c>
      <c r="G232" s="62">
        <f>(Source!AF73+Source!AE73)*Source!FX73/100</f>
        <v>69.797294999999991</v>
      </c>
      <c r="H232" s="63">
        <f>Source!X73</f>
        <v>2087.75</v>
      </c>
    </row>
    <row r="233" spans="1:28" x14ac:dyDescent="0.2">
      <c r="C233" s="11" t="s">
        <v>536</v>
      </c>
      <c r="D233" s="37"/>
      <c r="E233" s="37"/>
      <c r="F233" s="37"/>
      <c r="G233" s="37" t="str">
        <f>CONCATENATE(Source!DL73,Source!FT73, "=", Source!FX73, "%")</f>
        <v>*0,9=106,2%</v>
      </c>
      <c r="H233" s="37" t="str">
        <f>CONCATENATE(Source!AT73)</f>
        <v>106</v>
      </c>
    </row>
    <row r="234" spans="1:28" x14ac:dyDescent="0.2">
      <c r="C234" s="11" t="s">
        <v>537</v>
      </c>
      <c r="D234" s="37"/>
      <c r="E234" s="37"/>
      <c r="F234" s="37">
        <f>Source!CA73</f>
        <v>63</v>
      </c>
      <c r="G234" s="62">
        <f>(Source!AF73+Source!AE73)*Source!FY73/100</f>
        <v>35.194398749999998</v>
      </c>
      <c r="H234" s="63">
        <f>Source!Y73</f>
        <v>1063.57</v>
      </c>
    </row>
    <row r="235" spans="1:28" x14ac:dyDescent="0.2">
      <c r="C235" s="11" t="s">
        <v>538</v>
      </c>
      <c r="D235" s="37"/>
      <c r="E235" s="37"/>
      <c r="F235" s="37"/>
      <c r="G235" s="37" t="str">
        <f>CONCATENATE(Source!DM73,Source!FU73, "=", Source!FY73, "%")</f>
        <v>*0,85=53,55%</v>
      </c>
      <c r="H235" s="37" t="str">
        <f>CONCATENATE(Source!AU73)</f>
        <v>54</v>
      </c>
    </row>
    <row r="236" spans="1:28" x14ac:dyDescent="0.2">
      <c r="C236" s="11" t="s">
        <v>539</v>
      </c>
      <c r="D236" s="37"/>
      <c r="E236" s="37"/>
      <c r="F236" s="37"/>
      <c r="G236" s="62">
        <f>((Source!AF73+Source!AE73)*Source!FX73/100)+((Source!AF73+Source!AE73)*Source!FY73/100)+Source!AB73</f>
        <v>206.71419374999999</v>
      </c>
      <c r="H236" s="63">
        <f>Source!O73+Source!X73+Source!Y73</f>
        <v>6199.75</v>
      </c>
    </row>
    <row r="237" spans="1:28" ht="14.25" x14ac:dyDescent="0.2">
      <c r="A237" s="51">
        <v>26</v>
      </c>
      <c r="B237" s="51" t="str">
        <f>Source!E75</f>
        <v>12,1</v>
      </c>
      <c r="C237" s="51" t="str">
        <f>Source!G75</f>
        <v>Уголок ПВХ</v>
      </c>
      <c r="D237" s="51" t="str">
        <f>Source!F75</f>
        <v>11.3.03.13</v>
      </c>
      <c r="E237" s="34" t="str">
        <f>Source!H75</f>
        <v>П.М</v>
      </c>
      <c r="F237" s="14">
        <f>Source!I75</f>
        <v>442.66</v>
      </c>
      <c r="G237" s="24">
        <f>Source!AB75</f>
        <v>0</v>
      </c>
      <c r="H237" s="25">
        <f>Source!O75</f>
        <v>0</v>
      </c>
      <c r="T237">
        <f>Source!O75+Source!X75+Source!Y75</f>
        <v>0</v>
      </c>
      <c r="U237">
        <f>Source!P75</f>
        <v>0</v>
      </c>
      <c r="V237">
        <f>Source!S75</f>
        <v>0</v>
      </c>
      <c r="W237">
        <f>Source!Q75</f>
        <v>0</v>
      </c>
      <c r="X237">
        <f>Source!R75</f>
        <v>0</v>
      </c>
      <c r="Y237">
        <f>Source!U75</f>
        <v>0</v>
      </c>
      <c r="Z237">
        <f>Source!V75</f>
        <v>0</v>
      </c>
      <c r="AA237">
        <f>Source!X75</f>
        <v>0</v>
      </c>
      <c r="AB237">
        <f>Source!Y75</f>
        <v>0</v>
      </c>
    </row>
    <row r="238" spans="1:28" ht="14.25" x14ac:dyDescent="0.2">
      <c r="C238" s="28" t="s">
        <v>527</v>
      </c>
      <c r="D238" s="28">
        <f>Source!BC75</f>
        <v>6.77</v>
      </c>
      <c r="F238" s="14"/>
      <c r="G238" s="14"/>
      <c r="H238" s="14"/>
    </row>
    <row r="239" spans="1:28" ht="28.5" x14ac:dyDescent="0.2">
      <c r="A239" s="51">
        <v>27</v>
      </c>
      <c r="B239" s="51" t="str">
        <f>Source!E77</f>
        <v>12,2</v>
      </c>
      <c r="C239" s="51" t="str">
        <f>Source!G77</f>
        <v>Уголок ПВХ, размером 40х40 мм</v>
      </c>
      <c r="D239" s="51" t="str">
        <f>Source!F77</f>
        <v>11.3.03.13-0047</v>
      </c>
      <c r="E239" s="34" t="str">
        <f>Source!H77</f>
        <v>10 м</v>
      </c>
      <c r="F239" s="14">
        <f>Source!I77</f>
        <v>44.265999999999998</v>
      </c>
      <c r="G239" s="24">
        <f>Source!AB77</f>
        <v>44.3</v>
      </c>
      <c r="H239" s="25">
        <f>Source!O77</f>
        <v>13275.86</v>
      </c>
      <c r="T239">
        <f>Source!O77+Source!X77+Source!Y77</f>
        <v>13275.86</v>
      </c>
      <c r="U239">
        <f>Source!P77</f>
        <v>13275.86</v>
      </c>
      <c r="V239">
        <f>Source!S77</f>
        <v>0</v>
      </c>
      <c r="W239">
        <f>Source!Q77</f>
        <v>0</v>
      </c>
      <c r="X239">
        <f>Source!R77</f>
        <v>0</v>
      </c>
      <c r="Y239">
        <f>Source!U77</f>
        <v>0</v>
      </c>
      <c r="Z239">
        <f>Source!V77</f>
        <v>0</v>
      </c>
      <c r="AA239">
        <f>Source!X77</f>
        <v>0</v>
      </c>
      <c r="AB239">
        <f>Source!Y77</f>
        <v>0</v>
      </c>
    </row>
    <row r="240" spans="1:28" ht="14.25" x14ac:dyDescent="0.2">
      <c r="C240" s="28" t="s">
        <v>527</v>
      </c>
      <c r="D240" s="28">
        <f>Source!BC77</f>
        <v>6.77</v>
      </c>
      <c r="F240" s="14"/>
      <c r="G240" s="14"/>
      <c r="H240" s="14"/>
    </row>
    <row r="241" spans="1:28" ht="42.75" x14ac:dyDescent="0.2">
      <c r="A241" s="51">
        <v>28</v>
      </c>
      <c r="B241" s="51" t="str">
        <f>Source!E79</f>
        <v>13</v>
      </c>
      <c r="C241" s="51" t="str">
        <f>Source!G79</f>
        <v>Демонтаж: Монтаж лотков, решеток, затворов из полосовой и тонколистовой стали</v>
      </c>
      <c r="D241" s="51" t="str">
        <f>Source!F79</f>
        <v>09-06-001-02</v>
      </c>
      <c r="E241" s="34" t="str">
        <f>Source!H79</f>
        <v>т</v>
      </c>
      <c r="F241" s="14">
        <f>Source!I79</f>
        <v>0.62</v>
      </c>
      <c r="G241" s="24">
        <f>Source!AB79</f>
        <v>391.32799999999997</v>
      </c>
      <c r="H241" s="25">
        <f>Source!O79</f>
        <v>1642.56</v>
      </c>
      <c r="T241">
        <f>Source!O79+Source!X79+Source!Y79</f>
        <v>3607.33</v>
      </c>
      <c r="U241">
        <f>Source!P79</f>
        <v>0</v>
      </c>
      <c r="V241">
        <f>Source!S79</f>
        <v>1272.94</v>
      </c>
      <c r="W241">
        <f>Source!Q79</f>
        <v>369.62</v>
      </c>
      <c r="X241">
        <f>Source!R79</f>
        <v>11.22</v>
      </c>
      <c r="Y241">
        <f>Source!U79</f>
        <v>22.042859999999997</v>
      </c>
      <c r="Z241">
        <f>Source!V79</f>
        <v>0.13453999999999999</v>
      </c>
      <c r="AA241">
        <f>Source!X79</f>
        <v>1040.17</v>
      </c>
      <c r="AB241">
        <f>Source!Y79</f>
        <v>924.6</v>
      </c>
    </row>
    <row r="242" spans="1:28" ht="14.25" x14ac:dyDescent="0.2">
      <c r="C242" s="28" t="s">
        <v>525</v>
      </c>
      <c r="D242" s="28">
        <f>Source!BA79</f>
        <v>6.77</v>
      </c>
      <c r="F242" s="14"/>
      <c r="G242" s="14"/>
      <c r="H242" s="14"/>
    </row>
    <row r="243" spans="1:28" x14ac:dyDescent="0.2">
      <c r="C243" s="28" t="s">
        <v>526</v>
      </c>
      <c r="D243" s="28">
        <f>Source!BB79</f>
        <v>6.77</v>
      </c>
    </row>
    <row r="244" spans="1:28" x14ac:dyDescent="0.2">
      <c r="C244" s="28" t="s">
        <v>527</v>
      </c>
      <c r="D244" s="28">
        <f>Source!BC79</f>
        <v>6.77</v>
      </c>
    </row>
    <row r="245" spans="1:28" x14ac:dyDescent="0.2">
      <c r="C245" s="28" t="s">
        <v>528</v>
      </c>
      <c r="D245" s="28">
        <f>Source!BS79</f>
        <v>6.77</v>
      </c>
    </row>
    <row r="246" spans="1:28" x14ac:dyDescent="0.2">
      <c r="C246" s="28" t="s">
        <v>529</v>
      </c>
      <c r="D246" s="113" t="s">
        <v>19</v>
      </c>
      <c r="E246" s="113"/>
      <c r="F246" s="113"/>
      <c r="G246" s="113"/>
      <c r="H246" s="113"/>
    </row>
    <row r="247" spans="1:28" x14ac:dyDescent="0.2">
      <c r="C247" s="28" t="s">
        <v>530</v>
      </c>
      <c r="D247" s="113" t="s">
        <v>40</v>
      </c>
      <c r="E247" s="113"/>
      <c r="F247" s="113"/>
      <c r="G247" s="113"/>
      <c r="H247" s="113"/>
    </row>
    <row r="248" spans="1:28" x14ac:dyDescent="0.2">
      <c r="C248" s="28" t="s">
        <v>531</v>
      </c>
      <c r="D248" s="113" t="s">
        <v>40</v>
      </c>
      <c r="E248" s="113"/>
      <c r="F248" s="113"/>
      <c r="G248" s="113"/>
      <c r="H248" s="113"/>
    </row>
    <row r="249" spans="1:28" x14ac:dyDescent="0.2">
      <c r="C249" s="28" t="s">
        <v>532</v>
      </c>
      <c r="D249" s="113" t="s">
        <v>40</v>
      </c>
      <c r="E249" s="113"/>
      <c r="F249" s="113"/>
      <c r="G249" s="113"/>
      <c r="H249" s="113"/>
    </row>
    <row r="250" spans="1:28" x14ac:dyDescent="0.2">
      <c r="C250" s="28" t="s">
        <v>533</v>
      </c>
      <c r="D250" s="113" t="s">
        <v>40</v>
      </c>
      <c r="E250" s="113"/>
      <c r="F250" s="113"/>
      <c r="G250" s="113"/>
      <c r="H250" s="113"/>
    </row>
    <row r="251" spans="1:28" x14ac:dyDescent="0.2">
      <c r="C251" s="28" t="s">
        <v>534</v>
      </c>
      <c r="D251" s="113" t="s">
        <v>40</v>
      </c>
      <c r="E251" s="113"/>
      <c r="F251" s="113"/>
      <c r="G251" s="113"/>
      <c r="H251" s="113"/>
    </row>
    <row r="252" spans="1:28" x14ac:dyDescent="0.2">
      <c r="C252" s="11" t="s">
        <v>535</v>
      </c>
      <c r="D252" s="37"/>
      <c r="E252" s="37"/>
      <c r="F252" s="37">
        <f>Source!BZ79</f>
        <v>90</v>
      </c>
      <c r="G252" s="62">
        <f>(Source!AF79+Source!AE79)*Source!FX79/100</f>
        <v>247.81301999999997</v>
      </c>
      <c r="H252" s="63">
        <f>Source!X79</f>
        <v>1040.17</v>
      </c>
    </row>
    <row r="253" spans="1:28" x14ac:dyDescent="0.2">
      <c r="C253" s="11" t="s">
        <v>536</v>
      </c>
      <c r="D253" s="37"/>
      <c r="E253" s="37"/>
      <c r="F253" s="37"/>
      <c r="G253" s="37" t="str">
        <f>CONCATENATE(Source!DL79,Source!FT79, "=", Source!FX79, "%")</f>
        <v>*0,9=81%</v>
      </c>
      <c r="H253" s="37" t="str">
        <f>CONCATENATE(Source!AT79)</f>
        <v>81</v>
      </c>
    </row>
    <row r="254" spans="1:28" x14ac:dyDescent="0.2">
      <c r="C254" s="11" t="s">
        <v>537</v>
      </c>
      <c r="D254" s="37"/>
      <c r="E254" s="37"/>
      <c r="F254" s="37">
        <f>Source!CA79</f>
        <v>85</v>
      </c>
      <c r="G254" s="62">
        <f>(Source!AF79+Source!AE79)*Source!FY79/100</f>
        <v>221.04309499999997</v>
      </c>
      <c r="H254" s="63">
        <f>Source!Y79</f>
        <v>924.6</v>
      </c>
    </row>
    <row r="255" spans="1:28" x14ac:dyDescent="0.2">
      <c r="C255" s="11" t="s">
        <v>538</v>
      </c>
      <c r="D255" s="37"/>
      <c r="E255" s="37"/>
      <c r="F255" s="37"/>
      <c r="G255" s="37" t="str">
        <f>CONCATENATE(Source!DM79,Source!FU79, "=", Source!FY79, "%")</f>
        <v>*0,85=72,25%</v>
      </c>
      <c r="H255" s="37" t="str">
        <f>CONCATENATE(Source!AU79)</f>
        <v>72</v>
      </c>
    </row>
    <row r="256" spans="1:28" x14ac:dyDescent="0.2">
      <c r="C256" s="11" t="s">
        <v>539</v>
      </c>
      <c r="D256" s="37"/>
      <c r="E256" s="37"/>
      <c r="F256" s="37"/>
      <c r="G256" s="62">
        <f>((Source!AF79+Source!AE79)*Source!FX79/100)+((Source!AF79+Source!AE79)*Source!FY79/100)+Source!AB79</f>
        <v>860.18411499999991</v>
      </c>
      <c r="H256" s="63">
        <f>Source!O79+Source!X79+Source!Y79</f>
        <v>3607.33</v>
      </c>
    </row>
    <row r="257" spans="1:28" ht="28.5" x14ac:dyDescent="0.2">
      <c r="A257" s="51">
        <v>29</v>
      </c>
      <c r="B257" s="51" t="str">
        <f>Source!E81</f>
        <v>14</v>
      </c>
      <c r="C257" s="51" t="str">
        <f>Source!G81</f>
        <v>Монтаж лотков, решеток, затворов из полосовой и тонколистовой стали</v>
      </c>
      <c r="D257" s="51" t="str">
        <f>Source!F81</f>
        <v>09-06-001-02</v>
      </c>
      <c r="E257" s="34" t="str">
        <f>Source!H81</f>
        <v>т</v>
      </c>
      <c r="F257" s="14">
        <f>Source!I81</f>
        <v>0.62</v>
      </c>
      <c r="G257" s="24">
        <f>Source!AB81</f>
        <v>737.43600000000004</v>
      </c>
      <c r="H257" s="25">
        <f>Source!O81</f>
        <v>3095.31</v>
      </c>
      <c r="T257">
        <f>Source!O81+Source!X81+Source!Y81</f>
        <v>6325.58</v>
      </c>
      <c r="U257">
        <f>Source!P81</f>
        <v>344.02</v>
      </c>
      <c r="V257">
        <f>Source!S81</f>
        <v>2091.25</v>
      </c>
      <c r="W257">
        <f>Source!Q81</f>
        <v>660.04</v>
      </c>
      <c r="X257">
        <f>Source!R81</f>
        <v>20.04</v>
      </c>
      <c r="Y257">
        <f>Source!U81</f>
        <v>36.213269999999994</v>
      </c>
      <c r="Z257">
        <f>Source!V81</f>
        <v>0.24024999999999999</v>
      </c>
      <c r="AA257">
        <f>Source!X81</f>
        <v>1710.14</v>
      </c>
      <c r="AB257">
        <f>Source!Y81</f>
        <v>1520.13</v>
      </c>
    </row>
    <row r="258" spans="1:28" ht="14.25" x14ac:dyDescent="0.2">
      <c r="C258" s="28" t="s">
        <v>525</v>
      </c>
      <c r="D258" s="28">
        <f>Source!BA81</f>
        <v>6.77</v>
      </c>
      <c r="F258" s="14"/>
      <c r="G258" s="14"/>
      <c r="H258" s="14"/>
    </row>
    <row r="259" spans="1:28" x14ac:dyDescent="0.2">
      <c r="C259" s="28" t="s">
        <v>526</v>
      </c>
      <c r="D259" s="28">
        <f>Source!BB81</f>
        <v>6.77</v>
      </c>
    </row>
    <row r="260" spans="1:28" x14ac:dyDescent="0.2">
      <c r="C260" s="28" t="s">
        <v>527</v>
      </c>
      <c r="D260" s="28">
        <f>Source!BC81</f>
        <v>6.77</v>
      </c>
    </row>
    <row r="261" spans="1:28" x14ac:dyDescent="0.2">
      <c r="C261" s="28" t="s">
        <v>528</v>
      </c>
      <c r="D261" s="28">
        <f>Source!BS81</f>
        <v>6.77</v>
      </c>
    </row>
    <row r="262" spans="1:28" x14ac:dyDescent="0.2">
      <c r="C262" s="28" t="s">
        <v>530</v>
      </c>
      <c r="D262" s="113" t="s">
        <v>56</v>
      </c>
      <c r="E262" s="113"/>
      <c r="F262" s="113"/>
      <c r="G262" s="113"/>
      <c r="H262" s="113"/>
    </row>
    <row r="263" spans="1:28" x14ac:dyDescent="0.2">
      <c r="C263" s="28" t="s">
        <v>531</v>
      </c>
      <c r="D263" s="113" t="s">
        <v>56</v>
      </c>
      <c r="E263" s="113"/>
      <c r="F263" s="113"/>
      <c r="G263" s="113"/>
      <c r="H263" s="113"/>
    </row>
    <row r="264" spans="1:28" x14ac:dyDescent="0.2">
      <c r="C264" s="28" t="s">
        <v>532</v>
      </c>
      <c r="D264" s="113" t="s">
        <v>57</v>
      </c>
      <c r="E264" s="113"/>
      <c r="F264" s="113"/>
      <c r="G264" s="113"/>
      <c r="H264" s="113"/>
    </row>
    <row r="265" spans="1:28" x14ac:dyDescent="0.2">
      <c r="C265" s="28" t="s">
        <v>533</v>
      </c>
      <c r="D265" s="113" t="s">
        <v>57</v>
      </c>
      <c r="E265" s="113"/>
      <c r="F265" s="113"/>
      <c r="G265" s="113"/>
      <c r="H265" s="113"/>
    </row>
    <row r="266" spans="1:28" x14ac:dyDescent="0.2">
      <c r="C266" s="28" t="s">
        <v>534</v>
      </c>
      <c r="D266" s="113" t="s">
        <v>56</v>
      </c>
      <c r="E266" s="113"/>
      <c r="F266" s="113"/>
      <c r="G266" s="113"/>
      <c r="H266" s="113"/>
    </row>
    <row r="267" spans="1:28" x14ac:dyDescent="0.2">
      <c r="C267" s="11" t="s">
        <v>535</v>
      </c>
      <c r="D267" s="37"/>
      <c r="E267" s="37"/>
      <c r="F267" s="37">
        <f>Source!BZ81</f>
        <v>90</v>
      </c>
      <c r="G267" s="62">
        <f>(Source!AF81+Source!AE81)*Source!FX81/100</f>
        <v>407.43081000000001</v>
      </c>
      <c r="H267" s="63">
        <f>Source!X81</f>
        <v>1710.14</v>
      </c>
    </row>
    <row r="268" spans="1:28" x14ac:dyDescent="0.2">
      <c r="C268" s="11" t="s">
        <v>536</v>
      </c>
      <c r="D268" s="37"/>
      <c r="E268" s="37"/>
      <c r="F268" s="37"/>
      <c r="G268" s="37" t="str">
        <f>CONCATENATE(Source!DL81,Source!FT81, "=", Source!FX81, "%")</f>
        <v>*0,9=81%</v>
      </c>
      <c r="H268" s="37" t="str">
        <f>CONCATENATE(Source!AT81)</f>
        <v>81</v>
      </c>
    </row>
    <row r="269" spans="1:28" x14ac:dyDescent="0.2">
      <c r="C269" s="11" t="s">
        <v>537</v>
      </c>
      <c r="D269" s="37"/>
      <c r="E269" s="37"/>
      <c r="F269" s="37">
        <f>Source!CA81</f>
        <v>85</v>
      </c>
      <c r="G269" s="62">
        <f>(Source!AF81+Source!AE81)*Source!FY81/100</f>
        <v>363.41822249999996</v>
      </c>
      <c r="H269" s="63">
        <f>Source!Y81</f>
        <v>1520.13</v>
      </c>
    </row>
    <row r="270" spans="1:28" x14ac:dyDescent="0.2">
      <c r="C270" s="11" t="s">
        <v>538</v>
      </c>
      <c r="D270" s="37"/>
      <c r="E270" s="37"/>
      <c r="F270" s="37"/>
      <c r="G270" s="37" t="str">
        <f>CONCATENATE(Source!DM81,Source!FU81, "=", Source!FY81, "%")</f>
        <v>*0,85=72,25%</v>
      </c>
      <c r="H270" s="37" t="str">
        <f>CONCATENATE(Source!AU81)</f>
        <v>72</v>
      </c>
    </row>
    <row r="271" spans="1:28" x14ac:dyDescent="0.2">
      <c r="C271" s="11" t="s">
        <v>539</v>
      </c>
      <c r="D271" s="37"/>
      <c r="E271" s="37"/>
      <c r="F271" s="37"/>
      <c r="G271" s="62">
        <f>((Source!AF81+Source!AE81)*Source!FX81/100)+((Source!AF81+Source!AE81)*Source!FY81/100)+Source!AB81</f>
        <v>1508.2850324999999</v>
      </c>
      <c r="H271" s="63">
        <f>Source!O81+Source!X81+Source!Y81</f>
        <v>6325.58</v>
      </c>
    </row>
    <row r="272" spans="1:28" ht="14.25" x14ac:dyDescent="0.2">
      <c r="A272" s="51">
        <v>30</v>
      </c>
      <c r="B272" s="51" t="str">
        <f>Source!E83</f>
        <v>14,1</v>
      </c>
      <c r="C272" s="51" t="str">
        <f>Source!G83</f>
        <v>Конструкции стальные</v>
      </c>
      <c r="D272" s="51" t="str">
        <f>Source!F83</f>
        <v>07.2.07.13</v>
      </c>
      <c r="E272" s="34" t="str">
        <f>Source!H83</f>
        <v>т</v>
      </c>
      <c r="F272" s="14">
        <f>Source!I83</f>
        <v>0.62</v>
      </c>
      <c r="G272" s="24">
        <f>Source!AB83</f>
        <v>0</v>
      </c>
      <c r="H272" s="25">
        <f>Source!O83</f>
        <v>0</v>
      </c>
      <c r="T272">
        <f>Source!O83+Source!X83+Source!Y83</f>
        <v>0</v>
      </c>
      <c r="U272">
        <f>Source!P83</f>
        <v>0</v>
      </c>
      <c r="V272">
        <f>Source!S83</f>
        <v>0</v>
      </c>
      <c r="W272">
        <f>Source!Q83</f>
        <v>0</v>
      </c>
      <c r="X272">
        <f>Source!R83</f>
        <v>0</v>
      </c>
      <c r="Y272">
        <f>Source!U83</f>
        <v>0</v>
      </c>
      <c r="Z272">
        <f>Source!V83</f>
        <v>0</v>
      </c>
      <c r="AA272">
        <f>Source!X83</f>
        <v>0</v>
      </c>
      <c r="AB272">
        <f>Source!Y83</f>
        <v>0</v>
      </c>
    </row>
    <row r="273" spans="1:28" ht="14.25" x14ac:dyDescent="0.2">
      <c r="C273" s="28" t="s">
        <v>527</v>
      </c>
      <c r="D273" s="28">
        <f>Source!BC83</f>
        <v>6.77</v>
      </c>
      <c r="F273" s="14"/>
      <c r="G273" s="14"/>
      <c r="H273" s="14"/>
    </row>
    <row r="274" spans="1:28" ht="42.75" x14ac:dyDescent="0.2">
      <c r="A274" s="51">
        <v>31</v>
      </c>
      <c r="B274" s="51" t="str">
        <f>Source!E85</f>
        <v>14,2</v>
      </c>
      <c r="C274" s="51" t="str">
        <f>Source!G85</f>
        <v>Решетки металлическая окрашенная распашная размером 1700х1300 мм  (прим.)</v>
      </c>
      <c r="D274" s="51" t="str">
        <f>Source!F85</f>
        <v>09.2.01.05-0061</v>
      </c>
      <c r="E274" s="34" t="str">
        <f>Source!H85</f>
        <v>шт.</v>
      </c>
      <c r="F274" s="14">
        <f>Source!I85</f>
        <v>14</v>
      </c>
      <c r="G274" s="24">
        <f>Source!AB85</f>
        <v>1777.38</v>
      </c>
      <c r="H274" s="25">
        <f>Source!O85</f>
        <v>168460.08</v>
      </c>
      <c r="T274">
        <f>Source!O85+Source!X85+Source!Y85</f>
        <v>168460.08</v>
      </c>
      <c r="U274">
        <f>Source!P85</f>
        <v>168460.08</v>
      </c>
      <c r="V274">
        <f>Source!S85</f>
        <v>0</v>
      </c>
      <c r="W274">
        <f>Source!Q85</f>
        <v>0</v>
      </c>
      <c r="X274">
        <f>Source!R85</f>
        <v>0</v>
      </c>
      <c r="Y274">
        <f>Source!U85</f>
        <v>0</v>
      </c>
      <c r="Z274">
        <f>Source!V85</f>
        <v>0</v>
      </c>
      <c r="AA274">
        <f>Source!X85</f>
        <v>0</v>
      </c>
      <c r="AB274">
        <f>Source!Y85</f>
        <v>0</v>
      </c>
    </row>
    <row r="275" spans="1:28" ht="14.25" x14ac:dyDescent="0.2">
      <c r="C275" s="28" t="s">
        <v>527</v>
      </c>
      <c r="D275" s="28">
        <f>Source!BC85</f>
        <v>6.77</v>
      </c>
      <c r="F275" s="14"/>
      <c r="G275" s="14"/>
      <c r="H275" s="14"/>
    </row>
    <row r="276" spans="1:28" ht="28.5" x14ac:dyDescent="0.2">
      <c r="A276" s="51">
        <v>32</v>
      </c>
      <c r="B276" s="51" t="str">
        <f>Source!E87</f>
        <v>15</v>
      </c>
      <c r="C276" s="51" t="str">
        <f>Source!G87</f>
        <v>Затаривание строительного мусора в мешки</v>
      </c>
      <c r="D276" s="51" t="str">
        <f>Source!F87</f>
        <v>69-15-1</v>
      </c>
      <c r="E276" s="34" t="str">
        <f>Source!H87</f>
        <v>т</v>
      </c>
      <c r="F276" s="14">
        <f>Source!I87</f>
        <v>22.61</v>
      </c>
      <c r="G276" s="24">
        <f>Source!AB87</f>
        <v>23.81</v>
      </c>
      <c r="H276" s="25">
        <f>Source!O87</f>
        <v>3644.59</v>
      </c>
      <c r="T276">
        <f>Source!O87+Source!X87+Source!Y87</f>
        <v>5096.4400000000005</v>
      </c>
      <c r="U276">
        <f>Source!P87</f>
        <v>2510.34</v>
      </c>
      <c r="V276">
        <f>Source!S87</f>
        <v>1134.25</v>
      </c>
      <c r="W276">
        <f>Source!Q87</f>
        <v>0</v>
      </c>
      <c r="X276">
        <f>Source!R87</f>
        <v>0</v>
      </c>
      <c r="Y276">
        <f>Source!U87</f>
        <v>23.2883</v>
      </c>
      <c r="Z276">
        <f>Source!V87</f>
        <v>0</v>
      </c>
      <c r="AA276">
        <f>Source!X87</f>
        <v>884.72</v>
      </c>
      <c r="AB276">
        <f>Source!Y87</f>
        <v>567.13</v>
      </c>
    </row>
    <row r="277" spans="1:28" ht="14.25" x14ac:dyDescent="0.2">
      <c r="C277" s="28" t="s">
        <v>525</v>
      </c>
      <c r="D277" s="28">
        <f>Source!BA87</f>
        <v>6.77</v>
      </c>
      <c r="F277" s="14"/>
      <c r="G277" s="14"/>
      <c r="H277" s="14"/>
    </row>
    <row r="278" spans="1:28" x14ac:dyDescent="0.2">
      <c r="C278" s="28" t="s">
        <v>526</v>
      </c>
      <c r="D278" s="28">
        <f>Source!BB87</f>
        <v>6.77</v>
      </c>
    </row>
    <row r="279" spans="1:28" x14ac:dyDescent="0.2">
      <c r="C279" s="28" t="s">
        <v>527</v>
      </c>
      <c r="D279" s="28">
        <f>Source!BC87</f>
        <v>6.77</v>
      </c>
    </row>
    <row r="280" spans="1:28" x14ac:dyDescent="0.2">
      <c r="C280" s="28" t="s">
        <v>528</v>
      </c>
      <c r="D280" s="28">
        <f>Source!BS87</f>
        <v>6.77</v>
      </c>
    </row>
    <row r="281" spans="1:28" x14ac:dyDescent="0.2">
      <c r="C281" s="11" t="s">
        <v>535</v>
      </c>
      <c r="D281" s="37"/>
      <c r="E281" s="37"/>
      <c r="F281" s="37">
        <f>Source!BZ87</f>
        <v>78</v>
      </c>
      <c r="G281" s="62">
        <f>(Source!AF87+Source!AE87)*Source!FX87/100</f>
        <v>5.7797999999999998</v>
      </c>
      <c r="H281" s="63">
        <f>Source!X87</f>
        <v>884.72</v>
      </c>
    </row>
    <row r="282" spans="1:28" x14ac:dyDescent="0.2">
      <c r="C282" s="11" t="s">
        <v>537</v>
      </c>
      <c r="D282" s="37"/>
      <c r="E282" s="37"/>
      <c r="F282" s="37">
        <f>Source!CA87</f>
        <v>50</v>
      </c>
      <c r="G282" s="62">
        <f>(Source!AF87+Source!AE87)*Source!FY87/100</f>
        <v>3.7050000000000001</v>
      </c>
      <c r="H282" s="63">
        <f>Source!Y87</f>
        <v>567.13</v>
      </c>
    </row>
    <row r="283" spans="1:28" x14ac:dyDescent="0.2">
      <c r="C283" s="11" t="s">
        <v>539</v>
      </c>
      <c r="D283" s="37"/>
      <c r="E283" s="37"/>
      <c r="F283" s="37"/>
      <c r="G283" s="62">
        <f>((Source!AF87+Source!AE87)*Source!FX87/100)+((Source!AF87+Source!AE87)*Source!FY87/100)+Source!AB87</f>
        <v>33.294799999999995</v>
      </c>
      <c r="H283" s="63">
        <f>Source!O87+Source!X87+Source!Y87</f>
        <v>5096.4400000000005</v>
      </c>
    </row>
    <row r="284" spans="1:28" ht="42.75" x14ac:dyDescent="0.2">
      <c r="A284" s="51">
        <v>33</v>
      </c>
      <c r="B284" s="51" t="str">
        <f>Source!E89</f>
        <v>16</v>
      </c>
      <c r="C284" s="51" t="str">
        <f>Source!G89</f>
        <v>Погрузочные работы при автомобильных перевозках мусора строительного с погрузкой вручную</v>
      </c>
      <c r="D284" s="51" t="str">
        <f>Source!F89</f>
        <v>т01-01-01-041</v>
      </c>
      <c r="E284" s="34" t="str">
        <f>Source!H89</f>
        <v>1 Т ГРУЗА</v>
      </c>
      <c r="F284" s="14">
        <f>Source!I89</f>
        <v>22.61</v>
      </c>
      <c r="G284" s="24">
        <f>Source!AB89</f>
        <v>42.98</v>
      </c>
      <c r="H284" s="25">
        <f>Source!GM89</f>
        <v>6578.94</v>
      </c>
      <c r="T284">
        <f>Source!GM89</f>
        <v>6578.94</v>
      </c>
      <c r="U284">
        <f>Source!P89</f>
        <v>0</v>
      </c>
      <c r="V284">
        <f>Source!S89</f>
        <v>0</v>
      </c>
      <c r="W284">
        <f>Source!Q89</f>
        <v>0</v>
      </c>
      <c r="X284">
        <f>Source!R89</f>
        <v>0</v>
      </c>
      <c r="Y284">
        <f>Source!U89</f>
        <v>0</v>
      </c>
      <c r="Z284">
        <f>Source!V89</f>
        <v>0</v>
      </c>
      <c r="AA284">
        <f>Source!X89</f>
        <v>0</v>
      </c>
      <c r="AB284">
        <f>Source!Y89</f>
        <v>0</v>
      </c>
    </row>
    <row r="285" spans="1:28" ht="14.25" x14ac:dyDescent="0.2">
      <c r="C285" s="28" t="s">
        <v>541</v>
      </c>
      <c r="D285" s="28">
        <f>Source!AZ89</f>
        <v>6.77</v>
      </c>
      <c r="F285" s="14"/>
      <c r="G285" s="14"/>
      <c r="H285" s="14"/>
    </row>
    <row r="286" spans="1:28" ht="57" x14ac:dyDescent="0.2">
      <c r="A286" s="51">
        <v>34</v>
      </c>
      <c r="B286" s="51" t="str">
        <f>Source!E91</f>
        <v>17</v>
      </c>
      <c r="C286" s="51" t="str">
        <f>Source!G91</f>
        <v>Перевозка грузов I класса автомобилями бортовыми грузоподъемностью до 15 т на расстояние до 35 км</v>
      </c>
      <c r="D286" s="51" t="str">
        <f>Source!F91</f>
        <v>т03-01-01-035</v>
      </c>
      <c r="E286" s="34" t="str">
        <f>Source!H91</f>
        <v>1 Т ГРУЗА</v>
      </c>
      <c r="F286" s="14">
        <f>Source!I91</f>
        <v>22.61</v>
      </c>
      <c r="G286" s="24">
        <f>Source!AB91</f>
        <v>19.54</v>
      </c>
      <c r="H286" s="25">
        <f>Source!GM91</f>
        <v>2990.98</v>
      </c>
      <c r="T286">
        <f>Source!GM91</f>
        <v>2990.98</v>
      </c>
      <c r="U286">
        <f>Source!P91</f>
        <v>0</v>
      </c>
      <c r="V286">
        <f>Source!S91</f>
        <v>0</v>
      </c>
      <c r="W286">
        <f>Source!Q91</f>
        <v>0</v>
      </c>
      <c r="X286">
        <f>Source!R91</f>
        <v>0</v>
      </c>
      <c r="Y286">
        <f>Source!U91</f>
        <v>0</v>
      </c>
      <c r="Z286">
        <f>Source!V91</f>
        <v>0</v>
      </c>
      <c r="AA286">
        <f>Source!X91</f>
        <v>0</v>
      </c>
      <c r="AB286">
        <f>Source!Y91</f>
        <v>0</v>
      </c>
    </row>
    <row r="287" spans="1:28" ht="14.25" x14ac:dyDescent="0.2">
      <c r="C287" s="28" t="s">
        <v>541</v>
      </c>
      <c r="D287" s="28">
        <f>Source!AZ91</f>
        <v>6.77</v>
      </c>
      <c r="F287" s="14"/>
      <c r="G287" s="14"/>
      <c r="H287" s="14"/>
    </row>
    <row r="289" spans="1:33" ht="15" x14ac:dyDescent="0.25">
      <c r="A289" s="64"/>
      <c r="B289" s="64"/>
      <c r="C289" s="88" t="str">
        <f>CONCATENATE("Итого по локальной смете: ",IF(Source!G93&lt;&gt;"Новая локальная смета", Source!G93, ""))</f>
        <v xml:space="preserve">Итого по локальной смете: </v>
      </c>
      <c r="D289" s="88"/>
      <c r="E289" s="88"/>
      <c r="F289" s="88"/>
      <c r="G289" s="64"/>
      <c r="H289" s="65">
        <f>IF(SUM(T37:T288)=0, "-", SUM(T37:T288))</f>
        <v>5277754.5300000031</v>
      </c>
    </row>
    <row r="290" spans="1:33" ht="15" x14ac:dyDescent="0.25">
      <c r="A290" s="64"/>
      <c r="B290" s="64"/>
      <c r="C290" s="64"/>
      <c r="D290" s="64"/>
      <c r="E290" s="64"/>
      <c r="F290" s="64"/>
      <c r="G290" s="64"/>
      <c r="H290" s="64"/>
    </row>
    <row r="292" spans="1:33" ht="14.25" x14ac:dyDescent="0.2">
      <c r="C292" s="82" t="str">
        <f>Source!H121</f>
        <v>Всего</v>
      </c>
      <c r="D292" s="82"/>
      <c r="E292" s="82"/>
      <c r="F292" s="82"/>
      <c r="G292" s="76">
        <f>IF(Source!P121=0, "", Source!P121)</f>
        <v>5277754.53</v>
      </c>
      <c r="H292" s="76"/>
    </row>
    <row r="293" spans="1:33" ht="14.25" x14ac:dyDescent="0.2">
      <c r="C293" s="82" t="str">
        <f>Source!H122</f>
        <v>Итого НДС 20 %</v>
      </c>
      <c r="D293" s="82"/>
      <c r="E293" s="82"/>
      <c r="F293" s="82"/>
      <c r="G293" s="76">
        <f>IF(Source!P122=0, "", Source!P122)</f>
        <v>1055550.9099999999</v>
      </c>
      <c r="H293" s="76"/>
    </row>
    <row r="294" spans="1:33" ht="14.25" x14ac:dyDescent="0.2">
      <c r="C294" s="82" t="str">
        <f>Source!H123</f>
        <v>Всего по смете</v>
      </c>
      <c r="D294" s="82"/>
      <c r="E294" s="82"/>
      <c r="F294" s="82"/>
      <c r="G294" s="76">
        <f>IF(Source!P123=0, "", Source!P123)</f>
        <v>6333305.4400000004</v>
      </c>
      <c r="H294" s="76"/>
    </row>
    <row r="296" spans="1:33" ht="60" x14ac:dyDescent="0.25">
      <c r="A296" s="64"/>
      <c r="B296" s="64"/>
      <c r="C296" s="88" t="str">
        <f>CONCATENATE("Итого по смете: ",IF(Source!G125&lt;&gt;"Новый объект", Source!G125, ""))</f>
        <v>Итого по смете: на  ремонт  оконных проёмов с заменой оконных блоков на оконные блоки из ПВХ в помещениях  подвала, 2-го этажа,  3-го этажа,  4-го этажа лабораторного корпуса  А НИЯУ МИФИ по адресу: г. Москва, Каширское шоссе, д. 31, стр. 2</v>
      </c>
      <c r="D296" s="88"/>
      <c r="E296" s="88"/>
      <c r="F296" s="88"/>
      <c r="G296" s="64"/>
      <c r="H296" s="65">
        <f>IF(SUM(T1:T295)=0, "-", SUM(T1:T295))</f>
        <v>5277754.5300000031</v>
      </c>
      <c r="AG296" s="66" t="str">
        <f>CONCATENATE("Итого по смете: ",IF(Source!G125&lt;&gt;"Новый объект", Source!G125, ""))</f>
        <v>Итого по смете: на  ремонт  оконных проёмов с заменой оконных блоков на оконные блоки из ПВХ в помещениях  подвала, 2-го этажа,  3-го этажа,  4-го этажа лабораторного корпуса  А НИЯУ МИФИ по адресу: г. Москва, Каширское шоссе, д. 31, стр. 2</v>
      </c>
    </row>
    <row r="297" spans="1:33" ht="15" x14ac:dyDescent="0.25">
      <c r="A297" s="64"/>
      <c r="B297" s="64"/>
      <c r="C297" s="64"/>
      <c r="D297" s="64"/>
      <c r="E297" s="64"/>
      <c r="F297" s="64"/>
      <c r="G297" s="64"/>
      <c r="H297" s="64"/>
    </row>
    <row r="298" spans="1:33" ht="14.25" x14ac:dyDescent="0.2">
      <c r="C298" s="82" t="str">
        <f>Source!H153</f>
        <v>Всего</v>
      </c>
      <c r="D298" s="82"/>
      <c r="E298" s="82"/>
      <c r="F298" s="82"/>
      <c r="G298" s="76">
        <f>IF(Source!P153=0, "", Source!P153)</f>
        <v>5277754.53</v>
      </c>
      <c r="H298" s="76"/>
    </row>
    <row r="299" spans="1:33" ht="14.25" x14ac:dyDescent="0.2">
      <c r="C299" s="82" t="str">
        <f>Source!H154</f>
        <v>Итого НДС 20 %</v>
      </c>
      <c r="D299" s="82"/>
      <c r="E299" s="82"/>
      <c r="F299" s="82"/>
      <c r="G299" s="76">
        <f>IF(Source!P154=0, "", Source!P154)</f>
        <v>1055550.9099999999</v>
      </c>
      <c r="H299" s="76"/>
    </row>
    <row r="300" spans="1:33" ht="14.25" x14ac:dyDescent="0.2">
      <c r="C300" s="82" t="str">
        <f>Source!H155</f>
        <v>Всего по смете</v>
      </c>
      <c r="D300" s="82"/>
      <c r="E300" s="82"/>
      <c r="F300" s="82"/>
      <c r="G300" s="76">
        <f>IF(Source!P155=0, "", Source!P155)</f>
        <v>6333305.4400000004</v>
      </c>
      <c r="H300" s="76"/>
    </row>
    <row r="303" spans="1:33" ht="15" thickBot="1" x14ac:dyDescent="0.25">
      <c r="A303" s="116" t="s">
        <v>542</v>
      </c>
      <c r="B303" s="116"/>
      <c r="C303" s="67" t="str">
        <f>IF(Source!AC12&lt;&gt;"", Source!AC12," ")</f>
        <v xml:space="preserve"> </v>
      </c>
      <c r="D303" s="14"/>
      <c r="E303" s="68"/>
      <c r="F303" s="14"/>
      <c r="G303" s="117" t="str">
        <f>IF(Source!AB12&lt;&gt;"", Source!AB12," ")</f>
        <v xml:space="preserve"> </v>
      </c>
      <c r="H303" s="117"/>
      <c r="I303" s="14"/>
      <c r="J303" s="14"/>
      <c r="K303" s="14"/>
      <c r="L303" s="14"/>
    </row>
    <row r="304" spans="1:33" ht="14.25" x14ac:dyDescent="0.2">
      <c r="A304" s="14"/>
      <c r="B304" s="14"/>
      <c r="C304" s="69" t="s">
        <v>543</v>
      </c>
      <c r="D304" s="14"/>
      <c r="E304" s="69" t="s">
        <v>544</v>
      </c>
      <c r="F304" s="14"/>
      <c r="G304" s="118" t="s">
        <v>545</v>
      </c>
      <c r="H304" s="118"/>
      <c r="I304" s="14"/>
      <c r="J304" s="14"/>
      <c r="K304" s="14"/>
      <c r="L304" s="14"/>
    </row>
    <row r="305" spans="1:12" ht="14.25" x14ac:dyDescent="0.2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</row>
    <row r="306" spans="1:12" ht="14.25" x14ac:dyDescent="0.2">
      <c r="A306" s="14"/>
      <c r="B306" s="14"/>
      <c r="C306" s="15" t="s">
        <v>546</v>
      </c>
      <c r="D306" s="14"/>
      <c r="E306" s="14"/>
      <c r="F306" s="14"/>
      <c r="G306" s="14"/>
      <c r="H306" s="14"/>
      <c r="I306" s="14"/>
      <c r="J306" s="14"/>
      <c r="K306" s="14"/>
      <c r="L306" s="14"/>
    </row>
    <row r="307" spans="1:12" ht="14.25" x14ac:dyDescent="0.2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</row>
    <row r="308" spans="1:12" ht="15" thickBot="1" x14ac:dyDescent="0.25">
      <c r="A308" s="116" t="s">
        <v>547</v>
      </c>
      <c r="B308" s="116"/>
      <c r="C308" s="67" t="str">
        <f>IF(Source!AG12&lt;&gt;"", Source!AG12," ")</f>
        <v xml:space="preserve"> </v>
      </c>
      <c r="D308" s="14"/>
      <c r="E308" s="68"/>
      <c r="F308" s="14"/>
      <c r="G308" s="117" t="str">
        <f>IF(Source!AF12&lt;&gt;"", Source!AF12," ")</f>
        <v xml:space="preserve"> </v>
      </c>
      <c r="H308" s="117"/>
      <c r="I308" s="14"/>
      <c r="J308" s="14"/>
      <c r="K308" s="14"/>
      <c r="L308" s="14"/>
    </row>
    <row r="309" spans="1:12" ht="14.25" x14ac:dyDescent="0.2">
      <c r="A309" s="14"/>
      <c r="B309" s="14"/>
      <c r="C309" s="69" t="s">
        <v>543</v>
      </c>
      <c r="D309" s="14"/>
      <c r="E309" s="69" t="s">
        <v>544</v>
      </c>
      <c r="F309" s="14"/>
      <c r="G309" s="118" t="s">
        <v>545</v>
      </c>
      <c r="H309" s="118"/>
      <c r="I309" s="14"/>
      <c r="J309" s="14"/>
      <c r="K309" s="14"/>
      <c r="L309" s="14"/>
    </row>
    <row r="310" spans="1:12" ht="14.25" x14ac:dyDescent="0.2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</row>
    <row r="311" spans="1:12" ht="14.25" x14ac:dyDescent="0.2">
      <c r="A311" s="14"/>
      <c r="B311" s="14"/>
      <c r="C311" s="15" t="s">
        <v>546</v>
      </c>
      <c r="D311" s="14"/>
      <c r="E311" s="14"/>
      <c r="F311" s="14"/>
      <c r="G311" s="14"/>
      <c r="H311" s="14"/>
      <c r="I311" s="14"/>
      <c r="J311" s="14"/>
      <c r="K311" s="14"/>
      <c r="L311" s="14"/>
    </row>
  </sheetData>
  <mergeCells count="116">
    <mergeCell ref="A303:B303"/>
    <mergeCell ref="G303:H303"/>
    <mergeCell ref="G304:H304"/>
    <mergeCell ref="A308:B308"/>
    <mergeCell ref="G308:H308"/>
    <mergeCell ref="G309:H309"/>
    <mergeCell ref="C296:F296"/>
    <mergeCell ref="C298:F298"/>
    <mergeCell ref="G298:H298"/>
    <mergeCell ref="C299:F299"/>
    <mergeCell ref="G299:H299"/>
    <mergeCell ref="C300:F300"/>
    <mergeCell ref="G300:H300"/>
    <mergeCell ref="C292:F292"/>
    <mergeCell ref="G292:H292"/>
    <mergeCell ref="C293:F293"/>
    <mergeCell ref="G293:H293"/>
    <mergeCell ref="C294:F294"/>
    <mergeCell ref="G294:H294"/>
    <mergeCell ref="D262:H262"/>
    <mergeCell ref="D263:H263"/>
    <mergeCell ref="D264:H264"/>
    <mergeCell ref="D265:H265"/>
    <mergeCell ref="D266:H266"/>
    <mergeCell ref="C289:F289"/>
    <mergeCell ref="D246:H246"/>
    <mergeCell ref="D247:H247"/>
    <mergeCell ref="D248:H248"/>
    <mergeCell ref="D249:H249"/>
    <mergeCell ref="D250:H250"/>
    <mergeCell ref="D251:H251"/>
    <mergeCell ref="D203:H203"/>
    <mergeCell ref="D227:H227"/>
    <mergeCell ref="D228:H228"/>
    <mergeCell ref="D229:H229"/>
    <mergeCell ref="D230:H230"/>
    <mergeCell ref="D231:H231"/>
    <mergeCell ref="D173:H173"/>
    <mergeCell ref="D174:H174"/>
    <mergeCell ref="D199:H199"/>
    <mergeCell ref="D200:H200"/>
    <mergeCell ref="D201:H201"/>
    <mergeCell ref="D202:H202"/>
    <mergeCell ref="D154:H154"/>
    <mergeCell ref="D155:H155"/>
    <mergeCell ref="D156:H156"/>
    <mergeCell ref="D170:H170"/>
    <mergeCell ref="D171:H171"/>
    <mergeCell ref="D172:H172"/>
    <mergeCell ref="D133:H133"/>
    <mergeCell ref="D134:H134"/>
    <mergeCell ref="D135:H135"/>
    <mergeCell ref="D136:H136"/>
    <mergeCell ref="D152:H152"/>
    <mergeCell ref="D153:H153"/>
    <mergeCell ref="D114:H114"/>
    <mergeCell ref="D115:H115"/>
    <mergeCell ref="D116:H116"/>
    <mergeCell ref="D117:H117"/>
    <mergeCell ref="D118:H118"/>
    <mergeCell ref="D132:H132"/>
    <mergeCell ref="D75:H75"/>
    <mergeCell ref="D96:H96"/>
    <mergeCell ref="D97:H97"/>
    <mergeCell ref="D98:H98"/>
    <mergeCell ref="D99:H99"/>
    <mergeCell ref="D100:H100"/>
    <mergeCell ref="D48:H48"/>
    <mergeCell ref="D70:H70"/>
    <mergeCell ref="D71:H71"/>
    <mergeCell ref="D72:H72"/>
    <mergeCell ref="D73:H73"/>
    <mergeCell ref="D74:H74"/>
    <mergeCell ref="A37:H37"/>
    <mergeCell ref="D43:H43"/>
    <mergeCell ref="D44:H44"/>
    <mergeCell ref="D45:H45"/>
    <mergeCell ref="D46:H46"/>
    <mergeCell ref="D47:H47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19" t="str">
        <f>Source!B1</f>
        <v>Smeta.RU  (495) 974-1589</v>
      </c>
      <c r="B1" s="119"/>
      <c r="C1" s="119"/>
      <c r="D1" s="119"/>
      <c r="E1" s="14"/>
      <c r="F1" s="14"/>
      <c r="G1" s="14"/>
      <c r="H1" s="91" t="s">
        <v>548</v>
      </c>
      <c r="I1" s="91"/>
      <c r="J1" s="91"/>
      <c r="K1" s="91"/>
      <c r="L1" s="91"/>
    </row>
    <row r="2" spans="1:12" ht="14.25" x14ac:dyDescent="0.2">
      <c r="A2" s="14"/>
      <c r="B2" s="14"/>
      <c r="C2" s="14"/>
      <c r="D2" s="14"/>
      <c r="E2" s="14"/>
      <c r="F2" s="14"/>
      <c r="G2" s="14"/>
      <c r="H2" s="91" t="s">
        <v>487</v>
      </c>
      <c r="I2" s="91"/>
      <c r="J2" s="91"/>
      <c r="K2" s="91"/>
      <c r="L2" s="91"/>
    </row>
    <row r="3" spans="1:12" ht="14.25" x14ac:dyDescent="0.2">
      <c r="A3" s="14"/>
      <c r="B3" s="14"/>
      <c r="C3" s="14"/>
      <c r="D3" s="14"/>
      <c r="E3" s="14"/>
      <c r="F3" s="14"/>
      <c r="G3" s="14"/>
      <c r="H3" s="91" t="s">
        <v>488</v>
      </c>
      <c r="I3" s="91"/>
      <c r="J3" s="91"/>
      <c r="K3" s="91"/>
      <c r="L3" s="91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92" t="s">
        <v>549</v>
      </c>
      <c r="L4" s="93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84" t="s">
        <v>490</v>
      </c>
      <c r="J5" s="84"/>
      <c r="K5" s="92">
        <v>322001</v>
      </c>
      <c r="L5" s="93"/>
    </row>
    <row r="6" spans="1:12" ht="14.25" x14ac:dyDescent="0.2">
      <c r="A6" s="84" t="s">
        <v>550</v>
      </c>
      <c r="B6" s="84"/>
      <c r="C6" s="120"/>
      <c r="D6" s="120"/>
      <c r="E6" s="120"/>
      <c r="F6" s="120"/>
      <c r="G6" s="120"/>
      <c r="H6" s="120"/>
      <c r="I6" s="120"/>
      <c r="J6" s="13" t="s">
        <v>493</v>
      </c>
      <c r="K6" s="92"/>
      <c r="L6" s="93"/>
    </row>
    <row r="7" spans="1:12" ht="14.25" x14ac:dyDescent="0.2">
      <c r="A7" s="14"/>
      <c r="B7" s="14"/>
      <c r="C7" s="98" t="s">
        <v>494</v>
      </c>
      <c r="D7" s="98"/>
      <c r="E7" s="98"/>
      <c r="F7" s="98"/>
      <c r="G7" s="98"/>
      <c r="H7" s="98"/>
      <c r="I7" s="98"/>
      <c r="J7" s="14"/>
      <c r="K7" s="56"/>
      <c r="L7" s="70"/>
    </row>
    <row r="8" spans="1:12" ht="14.25" x14ac:dyDescent="0.2">
      <c r="A8" s="84" t="s">
        <v>551</v>
      </c>
      <c r="B8" s="84"/>
      <c r="C8" s="120"/>
      <c r="D8" s="120"/>
      <c r="E8" s="120"/>
      <c r="F8" s="120"/>
      <c r="G8" s="120"/>
      <c r="H8" s="120"/>
      <c r="I8" s="27"/>
      <c r="J8" s="13" t="s">
        <v>493</v>
      </c>
      <c r="K8" s="95"/>
      <c r="L8" s="96"/>
    </row>
    <row r="9" spans="1:12" ht="14.25" x14ac:dyDescent="0.2">
      <c r="A9" s="14"/>
      <c r="B9" s="14"/>
      <c r="C9" s="98" t="s">
        <v>494</v>
      </c>
      <c r="D9" s="98"/>
      <c r="E9" s="98"/>
      <c r="F9" s="98"/>
      <c r="G9" s="98"/>
      <c r="H9" s="98"/>
      <c r="I9" s="98"/>
      <c r="J9" s="14"/>
      <c r="K9" s="56"/>
      <c r="L9" s="70"/>
    </row>
    <row r="10" spans="1:12" ht="14.25" x14ac:dyDescent="0.2">
      <c r="A10" s="84" t="s">
        <v>552</v>
      </c>
      <c r="B10" s="84"/>
      <c r="C10" s="120"/>
      <c r="D10" s="120"/>
      <c r="E10" s="120"/>
      <c r="F10" s="120"/>
      <c r="G10" s="120"/>
      <c r="H10" s="120"/>
      <c r="I10" s="120"/>
      <c r="J10" s="13" t="s">
        <v>493</v>
      </c>
      <c r="K10" s="95"/>
      <c r="L10" s="96"/>
    </row>
    <row r="11" spans="1:12" ht="14.25" x14ac:dyDescent="0.2">
      <c r="A11" s="14"/>
      <c r="B11" s="14"/>
      <c r="C11" s="98" t="s">
        <v>494</v>
      </c>
      <c r="D11" s="98"/>
      <c r="E11" s="98"/>
      <c r="F11" s="98"/>
      <c r="G11" s="98"/>
      <c r="H11" s="98"/>
      <c r="I11" s="98"/>
      <c r="J11" s="14"/>
      <c r="K11" s="56"/>
      <c r="L11" s="70"/>
    </row>
    <row r="12" spans="1:12" ht="14.25" x14ac:dyDescent="0.2">
      <c r="A12" s="84" t="s">
        <v>553</v>
      </c>
      <c r="B12" s="84"/>
      <c r="C12" s="120"/>
      <c r="D12" s="120"/>
      <c r="E12" s="120"/>
      <c r="F12" s="120"/>
      <c r="G12" s="120"/>
      <c r="H12" s="120"/>
      <c r="I12" s="120"/>
      <c r="J12" s="13" t="s">
        <v>493</v>
      </c>
      <c r="K12" s="95"/>
      <c r="L12" s="96"/>
    </row>
    <row r="13" spans="1:12" ht="14.25" x14ac:dyDescent="0.2">
      <c r="A13" s="14"/>
      <c r="B13" s="14"/>
      <c r="C13" s="98" t="s">
        <v>498</v>
      </c>
      <c r="D13" s="98"/>
      <c r="E13" s="98"/>
      <c r="F13" s="98"/>
      <c r="G13" s="98"/>
      <c r="H13" s="84" t="s">
        <v>554</v>
      </c>
      <c r="I13" s="84"/>
      <c r="J13" s="109"/>
      <c r="K13" s="92"/>
      <c r="L13" s="93"/>
    </row>
    <row r="14" spans="1:12" ht="14.25" x14ac:dyDescent="0.2">
      <c r="A14" s="14"/>
      <c r="B14" s="14"/>
      <c r="C14" s="14"/>
      <c r="D14" s="14"/>
      <c r="E14" s="84" t="s">
        <v>555</v>
      </c>
      <c r="F14" s="84"/>
      <c r="G14" s="84"/>
      <c r="H14" s="84"/>
      <c r="I14" s="121" t="s">
        <v>503</v>
      </c>
      <c r="J14" s="122"/>
      <c r="K14" s="92"/>
      <c r="L14" s="93"/>
    </row>
    <row r="15" spans="1:12" ht="14.25" x14ac:dyDescent="0.2">
      <c r="A15" s="14"/>
      <c r="B15" s="14"/>
      <c r="C15" s="14"/>
      <c r="D15" s="14"/>
      <c r="E15" s="14"/>
      <c r="F15" s="14"/>
      <c r="G15" s="14"/>
      <c r="H15" s="14"/>
      <c r="I15" s="123" t="s">
        <v>504</v>
      </c>
      <c r="J15" s="124"/>
      <c r="K15" s="110"/>
      <c r="L15" s="111"/>
    </row>
    <row r="16" spans="1:12" ht="14.25" x14ac:dyDescent="0.2">
      <c r="A16" s="14"/>
      <c r="B16" s="14"/>
      <c r="C16" s="14"/>
      <c r="D16" s="14"/>
      <c r="E16" s="14"/>
      <c r="F16" s="14"/>
      <c r="G16" s="14"/>
      <c r="H16" s="14"/>
      <c r="I16" s="122" t="s">
        <v>556</v>
      </c>
      <c r="J16" s="122"/>
      <c r="K16" s="125"/>
      <c r="L16" s="126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27" t="s">
        <v>506</v>
      </c>
      <c r="D19" s="128"/>
      <c r="E19" s="127" t="s">
        <v>507</v>
      </c>
      <c r="F19" s="131"/>
      <c r="G19" s="14"/>
      <c r="H19" s="14"/>
      <c r="I19" s="127" t="s">
        <v>508</v>
      </c>
      <c r="J19" s="128"/>
      <c r="K19" s="128"/>
      <c r="L19" s="131"/>
    </row>
    <row r="20" spans="1:12" ht="14.25" x14ac:dyDescent="0.2">
      <c r="A20" s="14"/>
      <c r="B20" s="14"/>
      <c r="C20" s="129"/>
      <c r="D20" s="130"/>
      <c r="E20" s="129"/>
      <c r="F20" s="132"/>
      <c r="G20" s="14"/>
      <c r="H20" s="14"/>
      <c r="I20" s="133" t="s">
        <v>509</v>
      </c>
      <c r="J20" s="134"/>
      <c r="K20" s="133" t="s">
        <v>510</v>
      </c>
      <c r="L20" s="135"/>
    </row>
    <row r="21" spans="1:12" ht="14.25" x14ac:dyDescent="0.2">
      <c r="A21" s="14"/>
      <c r="B21" s="14"/>
      <c r="C21" s="101"/>
      <c r="D21" s="136"/>
      <c r="E21" s="137"/>
      <c r="F21" s="138"/>
      <c r="G21" s="71"/>
      <c r="H21" s="71"/>
      <c r="I21" s="137"/>
      <c r="J21" s="139"/>
      <c r="K21" s="137"/>
      <c r="L21" s="138"/>
    </row>
    <row r="22" spans="1:1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ht="18" x14ac:dyDescent="0.25">
      <c r="A24" s="108" t="s">
        <v>557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</row>
    <row r="25" spans="1:12" ht="18" x14ac:dyDescent="0.25">
      <c r="A25" s="108" t="s">
        <v>558</v>
      </c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</row>
    <row r="26" spans="1:12" ht="14.25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4.25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ht="14.25" x14ac:dyDescent="0.2">
      <c r="A28" s="140" t="s">
        <v>463</v>
      </c>
      <c r="B28" s="140" t="s">
        <v>559</v>
      </c>
      <c r="C28" s="142"/>
      <c r="D28" s="142"/>
      <c r="E28" s="142"/>
      <c r="F28" s="140" t="s">
        <v>489</v>
      </c>
      <c r="G28" s="140" t="s">
        <v>560</v>
      </c>
      <c r="H28" s="142"/>
      <c r="I28" s="142"/>
      <c r="J28" s="142"/>
      <c r="K28" s="142"/>
      <c r="L28" s="144"/>
    </row>
    <row r="29" spans="1:12" x14ac:dyDescent="0.2">
      <c r="A29" s="141"/>
      <c r="B29" s="141"/>
      <c r="C29" s="143"/>
      <c r="D29" s="143"/>
      <c r="E29" s="143"/>
      <c r="F29" s="141"/>
      <c r="G29" s="140" t="s">
        <v>561</v>
      </c>
      <c r="H29" s="142"/>
      <c r="I29" s="140" t="s">
        <v>562</v>
      </c>
      <c r="J29" s="142"/>
      <c r="K29" s="140" t="s">
        <v>563</v>
      </c>
      <c r="L29" s="144"/>
    </row>
    <row r="30" spans="1:12" x14ac:dyDescent="0.2">
      <c r="A30" s="141"/>
      <c r="B30" s="141"/>
      <c r="C30" s="143"/>
      <c r="D30" s="143"/>
      <c r="E30" s="143"/>
      <c r="F30" s="141"/>
      <c r="G30" s="141"/>
      <c r="H30" s="143"/>
      <c r="I30" s="141"/>
      <c r="J30" s="143"/>
      <c r="K30" s="141"/>
      <c r="L30" s="145"/>
    </row>
    <row r="31" spans="1:12" x14ac:dyDescent="0.2">
      <c r="A31" s="141"/>
      <c r="B31" s="141"/>
      <c r="C31" s="143"/>
      <c r="D31" s="143"/>
      <c r="E31" s="143"/>
      <c r="F31" s="141"/>
      <c r="G31" s="141"/>
      <c r="H31" s="143"/>
      <c r="I31" s="141"/>
      <c r="J31" s="143"/>
      <c r="K31" s="141"/>
      <c r="L31" s="145"/>
    </row>
    <row r="32" spans="1:12" x14ac:dyDescent="0.2">
      <c r="A32" s="141"/>
      <c r="B32" s="141"/>
      <c r="C32" s="143"/>
      <c r="D32" s="143"/>
      <c r="E32" s="143"/>
      <c r="F32" s="141"/>
      <c r="G32" s="141"/>
      <c r="H32" s="143"/>
      <c r="I32" s="141"/>
      <c r="J32" s="143"/>
      <c r="K32" s="141"/>
      <c r="L32" s="145"/>
    </row>
    <row r="33" spans="1:12" ht="14.25" x14ac:dyDescent="0.2">
      <c r="A33" s="56">
        <v>1</v>
      </c>
      <c r="B33" s="92">
        <v>2</v>
      </c>
      <c r="C33" s="149"/>
      <c r="D33" s="149"/>
      <c r="E33" s="149"/>
      <c r="F33" s="56">
        <v>3</v>
      </c>
      <c r="G33" s="92">
        <v>4</v>
      </c>
      <c r="H33" s="149"/>
      <c r="I33" s="92">
        <v>5</v>
      </c>
      <c r="J33" s="149"/>
      <c r="K33" s="92">
        <v>6</v>
      </c>
      <c r="L33" s="93"/>
    </row>
    <row r="34" spans="1:12" ht="14.25" x14ac:dyDescent="0.2">
      <c r="A34" s="72"/>
      <c r="B34" s="150" t="s">
        <v>564</v>
      </c>
      <c r="C34" s="151"/>
      <c r="D34" s="151"/>
      <c r="E34" s="151"/>
      <c r="F34" s="73"/>
      <c r="G34" s="152"/>
      <c r="H34" s="153"/>
      <c r="I34" s="152"/>
      <c r="J34" s="153"/>
      <c r="K34" s="152"/>
      <c r="L34" s="154"/>
    </row>
    <row r="35" spans="1:12" ht="14.25" x14ac:dyDescent="0.2">
      <c r="A35" s="74"/>
      <c r="B35" s="155" t="s">
        <v>565</v>
      </c>
      <c r="C35" s="156"/>
      <c r="D35" s="156"/>
      <c r="E35" s="156"/>
      <c r="F35" s="156"/>
      <c r="G35" s="156"/>
      <c r="H35" s="156"/>
      <c r="I35" s="156"/>
      <c r="J35" s="156"/>
      <c r="K35" s="151"/>
      <c r="L35" s="157"/>
    </row>
    <row r="36" spans="1:12" ht="14.25" x14ac:dyDescent="0.2">
      <c r="A36" s="122" t="s">
        <v>566</v>
      </c>
      <c r="B36" s="122"/>
      <c r="C36" s="122"/>
      <c r="D36" s="122"/>
      <c r="E36" s="122"/>
      <c r="F36" s="122"/>
      <c r="G36" s="122"/>
      <c r="H36" s="122"/>
      <c r="I36" s="122"/>
      <c r="J36" s="158"/>
      <c r="K36" s="159"/>
      <c r="L36" s="158"/>
    </row>
    <row r="37" spans="1:12" ht="14.25" x14ac:dyDescent="0.2">
      <c r="A37" s="146" t="s">
        <v>567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60"/>
      <c r="L37" s="161"/>
    </row>
    <row r="38" spans="1:12" ht="14.25" x14ac:dyDescent="0.2">
      <c r="A38" s="146" t="s">
        <v>568</v>
      </c>
      <c r="B38" s="146"/>
      <c r="C38" s="146"/>
      <c r="D38" s="146"/>
      <c r="E38" s="146"/>
      <c r="F38" s="146"/>
      <c r="G38" s="146"/>
      <c r="H38" s="146"/>
      <c r="I38" s="146"/>
      <c r="J38" s="146"/>
      <c r="K38" s="147"/>
      <c r="L38" s="148"/>
    </row>
    <row r="39" spans="1:12" ht="14.25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2" spans="1:12" ht="14.25" x14ac:dyDescent="0.2">
      <c r="A42" s="116" t="s">
        <v>551</v>
      </c>
      <c r="B42" s="116"/>
      <c r="C42" s="162"/>
      <c r="D42" s="162"/>
      <c r="E42" s="162"/>
      <c r="F42" s="14"/>
      <c r="G42" s="162"/>
      <c r="H42" s="162"/>
      <c r="I42" s="14"/>
      <c r="J42" s="162"/>
      <c r="K42" s="162"/>
      <c r="L42" s="162"/>
    </row>
    <row r="43" spans="1:12" ht="14.25" x14ac:dyDescent="0.2">
      <c r="A43" s="14"/>
      <c r="B43" s="14"/>
      <c r="C43" s="163" t="s">
        <v>543</v>
      </c>
      <c r="D43" s="163"/>
      <c r="E43" s="163"/>
      <c r="F43" s="14"/>
      <c r="G43" s="163" t="s">
        <v>544</v>
      </c>
      <c r="H43" s="163"/>
      <c r="I43" s="14"/>
      <c r="J43" s="163" t="s">
        <v>545</v>
      </c>
      <c r="K43" s="163"/>
      <c r="L43" s="163"/>
    </row>
    <row r="44" spans="1:12" ht="14.25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2" ht="14.25" x14ac:dyDescent="0.2">
      <c r="A45" s="13" t="s">
        <v>569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</row>
    <row r="46" spans="1:12" ht="14.25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 ht="14.25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4.25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ht="14.25" x14ac:dyDescent="0.2">
      <c r="A49" s="116" t="s">
        <v>552</v>
      </c>
      <c r="B49" s="116"/>
      <c r="C49" s="162"/>
      <c r="D49" s="162"/>
      <c r="E49" s="162"/>
      <c r="F49" s="14"/>
      <c r="G49" s="162"/>
      <c r="H49" s="162"/>
      <c r="I49" s="14"/>
      <c r="J49" s="162"/>
      <c r="K49" s="162"/>
      <c r="L49" s="162"/>
    </row>
    <row r="50" spans="1:12" ht="14.25" x14ac:dyDescent="0.2">
      <c r="A50" s="14"/>
      <c r="B50" s="14"/>
      <c r="C50" s="163" t="s">
        <v>543</v>
      </c>
      <c r="D50" s="163"/>
      <c r="E50" s="163"/>
      <c r="F50" s="14"/>
      <c r="G50" s="163" t="s">
        <v>544</v>
      </c>
      <c r="H50" s="163"/>
      <c r="I50" s="14"/>
      <c r="J50" s="163" t="s">
        <v>545</v>
      </c>
      <c r="K50" s="163"/>
      <c r="L50" s="163"/>
    </row>
    <row r="51" spans="1:12" ht="14.25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</row>
    <row r="52" spans="1:12" ht="14.25" x14ac:dyDescent="0.2">
      <c r="A52" s="13" t="s">
        <v>569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</row>
  </sheetData>
  <mergeCells count="79">
    <mergeCell ref="A49:B49"/>
    <mergeCell ref="C49:E49"/>
    <mergeCell ref="G49:H49"/>
    <mergeCell ref="J49:L49"/>
    <mergeCell ref="C50:E50"/>
    <mergeCell ref="G50:H50"/>
    <mergeCell ref="J50:L50"/>
    <mergeCell ref="A42:B42"/>
    <mergeCell ref="C42:E42"/>
    <mergeCell ref="G42:H42"/>
    <mergeCell ref="J42:L42"/>
    <mergeCell ref="C43:E43"/>
    <mergeCell ref="G43:H43"/>
    <mergeCell ref="J43:L43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28:A32"/>
    <mergeCell ref="B28:E32"/>
    <mergeCell ref="F28:F32"/>
    <mergeCell ref="G28:L28"/>
    <mergeCell ref="G29:H32"/>
    <mergeCell ref="I29:J32"/>
    <mergeCell ref="K29:L32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C13:G13"/>
    <mergeCell ref="H13:J13"/>
    <mergeCell ref="K13:L13"/>
    <mergeCell ref="E14:H14"/>
    <mergeCell ref="I14:J14"/>
    <mergeCell ref="K14:L1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I5:J5"/>
    <mergeCell ref="K5:L5"/>
    <mergeCell ref="A1:D1"/>
    <mergeCell ref="H1:L1"/>
    <mergeCell ref="H2:L2"/>
    <mergeCell ref="H3:L3"/>
    <mergeCell ref="K4:L4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2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11</v>
      </c>
    </row>
    <row r="12" spans="1:133" x14ac:dyDescent="0.2">
      <c r="A12" s="1">
        <v>1</v>
      </c>
      <c r="B12" s="1">
        <v>186</v>
      </c>
      <c r="C12" s="1">
        <v>0</v>
      </c>
      <c r="D12" s="1">
        <f>ROW(A125)</f>
        <v>125</v>
      </c>
      <c r="E12" s="1">
        <v>0</v>
      </c>
      <c r="F12" s="1" t="s">
        <v>4</v>
      </c>
      <c r="G12" s="1" t="s">
        <v>572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B125</f>
        <v>186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объект_(Копия)_(Копия)_(Копия)_(Копия)_(Копия)</v>
      </c>
      <c r="G18" s="3" t="str">
        <f t="shared" si="0"/>
        <v>на  ремонт  оконных проёмов с заменой оконных блоков на оконные блоки из ПВХ в помещениях  подвала, 2-го этажа,  3-го этажа,  4-го этажа лабораторного корпуса  А НИЯУ МИФИ по адресу: г. Москва, Каширское шоссе, д. 31, стр. 2</v>
      </c>
      <c r="H18" s="3"/>
      <c r="I18" s="3"/>
      <c r="J18" s="3"/>
      <c r="K18" s="3"/>
      <c r="L18" s="3"/>
      <c r="M18" s="3"/>
      <c r="N18" s="3"/>
      <c r="O18" s="3">
        <f t="shared" ref="O18:AT18" si="1">O125</f>
        <v>125127.83</v>
      </c>
      <c r="P18" s="3">
        <f t="shared" si="1"/>
        <v>102513.61</v>
      </c>
      <c r="Q18" s="3">
        <f t="shared" si="1"/>
        <v>3654.3</v>
      </c>
      <c r="R18" s="3">
        <f t="shared" si="1"/>
        <v>662.75</v>
      </c>
      <c r="S18" s="3">
        <f t="shared" si="1"/>
        <v>18959.919999999998</v>
      </c>
      <c r="T18" s="3">
        <f t="shared" si="1"/>
        <v>0</v>
      </c>
      <c r="U18" s="3">
        <f t="shared" si="1"/>
        <v>2164.1171003000004</v>
      </c>
      <c r="V18" s="3">
        <f t="shared" si="1"/>
        <v>50.686992070000002</v>
      </c>
      <c r="W18" s="3">
        <f t="shared" si="1"/>
        <v>0</v>
      </c>
      <c r="X18" s="3">
        <f t="shared" si="1"/>
        <v>18608.759999999998</v>
      </c>
      <c r="Y18" s="3">
        <f t="shared" si="1"/>
        <v>10857.43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156007.6</v>
      </c>
      <c r="AS18" s="3">
        <f t="shared" si="1"/>
        <v>156007.6</v>
      </c>
      <c r="AT18" s="3">
        <f t="shared" si="1"/>
        <v>0</v>
      </c>
      <c r="AU18" s="3">
        <f t="shared" ref="AU18:BZ18" si="2">AU125</f>
        <v>0</v>
      </c>
      <c r="AV18" s="3">
        <f t="shared" si="2"/>
        <v>102513.61</v>
      </c>
      <c r="AW18" s="3">
        <f t="shared" si="2"/>
        <v>102513.61</v>
      </c>
      <c r="AX18" s="3">
        <f t="shared" si="2"/>
        <v>0</v>
      </c>
      <c r="AY18" s="3">
        <f t="shared" si="2"/>
        <v>102513.61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CA125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DG125</f>
        <v>5068698.79</v>
      </c>
      <c r="DH18" s="4">
        <f t="shared" si="4"/>
        <v>4915600.4800000004</v>
      </c>
      <c r="DI18" s="4">
        <f t="shared" si="4"/>
        <v>24739.59</v>
      </c>
      <c r="DJ18" s="4">
        <f t="shared" si="4"/>
        <v>4486.71</v>
      </c>
      <c r="DK18" s="4">
        <f t="shared" si="4"/>
        <v>128358.72</v>
      </c>
      <c r="DL18" s="4">
        <f t="shared" si="4"/>
        <v>0</v>
      </c>
      <c r="DM18" s="4">
        <f t="shared" si="4"/>
        <v>2164.1171003000004</v>
      </c>
      <c r="DN18" s="4">
        <f t="shared" si="4"/>
        <v>50.686992070000002</v>
      </c>
      <c r="DO18" s="4">
        <f t="shared" si="4"/>
        <v>0</v>
      </c>
      <c r="DP18" s="4">
        <f t="shared" si="4"/>
        <v>125981.19</v>
      </c>
      <c r="DQ18" s="4">
        <f t="shared" si="4"/>
        <v>73504.63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5277754.53</v>
      </c>
      <c r="EK18" s="4">
        <f t="shared" si="4"/>
        <v>5277754.53</v>
      </c>
      <c r="EL18" s="4">
        <f t="shared" si="4"/>
        <v>0</v>
      </c>
      <c r="EM18" s="4">
        <f t="shared" ref="EM18:FR18" si="5">EM125</f>
        <v>0</v>
      </c>
      <c r="EN18" s="4">
        <f t="shared" si="5"/>
        <v>4915600.4800000004</v>
      </c>
      <c r="EO18" s="4">
        <f t="shared" si="5"/>
        <v>4915600.4800000004</v>
      </c>
      <c r="EP18" s="4">
        <f t="shared" si="5"/>
        <v>0</v>
      </c>
      <c r="EQ18" s="4">
        <f t="shared" si="5"/>
        <v>4915600.4800000004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FS125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ROW(A93)</f>
        <v>93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B93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O93</f>
        <v>125127.83</v>
      </c>
      <c r="P22" s="3">
        <f t="shared" si="8"/>
        <v>102513.61</v>
      </c>
      <c r="Q22" s="3">
        <f t="shared" si="8"/>
        <v>3654.3</v>
      </c>
      <c r="R22" s="3">
        <f t="shared" si="8"/>
        <v>662.75</v>
      </c>
      <c r="S22" s="3">
        <f t="shared" si="8"/>
        <v>18959.919999999998</v>
      </c>
      <c r="T22" s="3">
        <f t="shared" si="8"/>
        <v>0</v>
      </c>
      <c r="U22" s="3">
        <f t="shared" si="8"/>
        <v>2164.1171003000004</v>
      </c>
      <c r="V22" s="3">
        <f t="shared" si="8"/>
        <v>50.686992070000002</v>
      </c>
      <c r="W22" s="3">
        <f t="shared" si="8"/>
        <v>0</v>
      </c>
      <c r="X22" s="3">
        <f t="shared" si="8"/>
        <v>18608.759999999998</v>
      </c>
      <c r="Y22" s="3">
        <f t="shared" si="8"/>
        <v>10857.43</v>
      </c>
      <c r="Z22" s="3">
        <f t="shared" si="8"/>
        <v>0</v>
      </c>
      <c r="AA22" s="3">
        <f t="shared" si="8"/>
        <v>0</v>
      </c>
      <c r="AB22" s="3">
        <f t="shared" si="8"/>
        <v>125127.83</v>
      </c>
      <c r="AC22" s="3">
        <f t="shared" si="8"/>
        <v>102513.61</v>
      </c>
      <c r="AD22" s="3">
        <f t="shared" si="8"/>
        <v>3654.3</v>
      </c>
      <c r="AE22" s="3">
        <f t="shared" si="8"/>
        <v>662.75</v>
      </c>
      <c r="AF22" s="3">
        <f t="shared" si="8"/>
        <v>18959.919999999998</v>
      </c>
      <c r="AG22" s="3">
        <f t="shared" si="8"/>
        <v>0</v>
      </c>
      <c r="AH22" s="3">
        <f t="shared" si="8"/>
        <v>2164.1171003000004</v>
      </c>
      <c r="AI22" s="3">
        <f t="shared" si="8"/>
        <v>50.686992070000002</v>
      </c>
      <c r="AJ22" s="3">
        <f t="shared" si="8"/>
        <v>0</v>
      </c>
      <c r="AK22" s="3">
        <f t="shared" si="8"/>
        <v>18608.759999999998</v>
      </c>
      <c r="AL22" s="3">
        <f t="shared" si="8"/>
        <v>10857.43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156007.6</v>
      </c>
      <c r="AS22" s="3">
        <f t="shared" si="8"/>
        <v>156007.6</v>
      </c>
      <c r="AT22" s="3">
        <f t="shared" si="8"/>
        <v>0</v>
      </c>
      <c r="AU22" s="3">
        <f t="shared" ref="AU22:BZ22" si="9">AU93</f>
        <v>0</v>
      </c>
      <c r="AV22" s="3">
        <f t="shared" si="9"/>
        <v>102513.61</v>
      </c>
      <c r="AW22" s="3">
        <f t="shared" si="9"/>
        <v>102513.61</v>
      </c>
      <c r="AX22" s="3">
        <f t="shared" si="9"/>
        <v>0</v>
      </c>
      <c r="AY22" s="3">
        <f t="shared" si="9"/>
        <v>102513.61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CA93</f>
        <v>156007.6</v>
      </c>
      <c r="CB22" s="3">
        <f t="shared" si="10"/>
        <v>156007.6</v>
      </c>
      <c r="CC22" s="3">
        <f t="shared" si="10"/>
        <v>0</v>
      </c>
      <c r="CD22" s="3">
        <f t="shared" si="10"/>
        <v>0</v>
      </c>
      <c r="CE22" s="3">
        <f t="shared" si="10"/>
        <v>102513.61</v>
      </c>
      <c r="CF22" s="3">
        <f t="shared" si="10"/>
        <v>102513.61</v>
      </c>
      <c r="CG22" s="3">
        <f t="shared" si="10"/>
        <v>0</v>
      </c>
      <c r="CH22" s="3">
        <f t="shared" si="10"/>
        <v>102513.61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DG93</f>
        <v>5068698.79</v>
      </c>
      <c r="DH22" s="4">
        <f t="shared" si="11"/>
        <v>4915600.4800000004</v>
      </c>
      <c r="DI22" s="4">
        <f t="shared" si="11"/>
        <v>24739.59</v>
      </c>
      <c r="DJ22" s="4">
        <f t="shared" si="11"/>
        <v>4486.71</v>
      </c>
      <c r="DK22" s="4">
        <f t="shared" si="11"/>
        <v>128358.72</v>
      </c>
      <c r="DL22" s="4">
        <f t="shared" si="11"/>
        <v>0</v>
      </c>
      <c r="DM22" s="4">
        <f t="shared" si="11"/>
        <v>2164.1171003000004</v>
      </c>
      <c r="DN22" s="4">
        <f t="shared" si="11"/>
        <v>50.686992070000002</v>
      </c>
      <c r="DO22" s="4">
        <f t="shared" si="11"/>
        <v>0</v>
      </c>
      <c r="DP22" s="4">
        <f t="shared" si="11"/>
        <v>125981.19</v>
      </c>
      <c r="DQ22" s="4">
        <f t="shared" si="11"/>
        <v>73504.63</v>
      </c>
      <c r="DR22" s="4">
        <f t="shared" si="11"/>
        <v>0</v>
      </c>
      <c r="DS22" s="4">
        <f t="shared" si="11"/>
        <v>0</v>
      </c>
      <c r="DT22" s="4">
        <f t="shared" si="11"/>
        <v>5068698.79</v>
      </c>
      <c r="DU22" s="4">
        <f t="shared" si="11"/>
        <v>4915600.4800000004</v>
      </c>
      <c r="DV22" s="4">
        <f t="shared" si="11"/>
        <v>24739.59</v>
      </c>
      <c r="DW22" s="4">
        <f t="shared" si="11"/>
        <v>4486.71</v>
      </c>
      <c r="DX22" s="4">
        <f t="shared" si="11"/>
        <v>128358.72</v>
      </c>
      <c r="DY22" s="4">
        <f t="shared" si="11"/>
        <v>0</v>
      </c>
      <c r="DZ22" s="4">
        <f t="shared" si="11"/>
        <v>2164.1171003000004</v>
      </c>
      <c r="EA22" s="4">
        <f t="shared" si="11"/>
        <v>50.686992070000002</v>
      </c>
      <c r="EB22" s="4">
        <f t="shared" si="11"/>
        <v>0</v>
      </c>
      <c r="EC22" s="4">
        <f t="shared" si="11"/>
        <v>125981.19</v>
      </c>
      <c r="ED22" s="4">
        <f t="shared" si="11"/>
        <v>73504.63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5277754.53</v>
      </c>
      <c r="EK22" s="4">
        <f t="shared" si="11"/>
        <v>5277754.53</v>
      </c>
      <c r="EL22" s="4">
        <f t="shared" si="11"/>
        <v>0</v>
      </c>
      <c r="EM22" s="4">
        <f t="shared" ref="EM22:FR22" si="12">EM93</f>
        <v>0</v>
      </c>
      <c r="EN22" s="4">
        <f t="shared" si="12"/>
        <v>4915600.4800000004</v>
      </c>
      <c r="EO22" s="4">
        <f t="shared" si="12"/>
        <v>4915600.4800000004</v>
      </c>
      <c r="EP22" s="4">
        <f t="shared" si="12"/>
        <v>0</v>
      </c>
      <c r="EQ22" s="4">
        <f t="shared" si="12"/>
        <v>4915600.4800000004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FS93</f>
        <v>5277754.53</v>
      </c>
      <c r="FT22" s="4">
        <f t="shared" si="13"/>
        <v>5277754.53</v>
      </c>
      <c r="FU22" s="4">
        <f t="shared" si="13"/>
        <v>0</v>
      </c>
      <c r="FV22" s="4">
        <f t="shared" si="13"/>
        <v>0</v>
      </c>
      <c r="FW22" s="4">
        <f t="shared" si="13"/>
        <v>4915600.4800000004</v>
      </c>
      <c r="FX22" s="4">
        <f t="shared" si="13"/>
        <v>4915600.4800000004</v>
      </c>
      <c r="FY22" s="4">
        <f t="shared" si="13"/>
        <v>0</v>
      </c>
      <c r="FZ22" s="4">
        <f t="shared" si="13"/>
        <v>4915600.4800000004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ROW(SmtRes!A1)</f>
        <v>1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v>4</v>
      </c>
      <c r="J24" s="2">
        <v>0</v>
      </c>
      <c r="K24" s="2"/>
      <c r="L24" s="2"/>
      <c r="M24" s="2"/>
      <c r="N24" s="2"/>
      <c r="O24" s="2">
        <f t="shared" ref="O24:O55" si="14">ROUND(CP24,2)</f>
        <v>27.26</v>
      </c>
      <c r="P24" s="2">
        <f t="shared" ref="P24:P55" si="15">ROUND(CQ24*I24,2)</f>
        <v>0</v>
      </c>
      <c r="Q24" s="2">
        <f t="shared" ref="Q24:Q55" si="16">ROUND(CR24*I24,2)</f>
        <v>0</v>
      </c>
      <c r="R24" s="2">
        <f t="shared" ref="R24:R55" si="17">ROUND(CS24*I24,2)</f>
        <v>0</v>
      </c>
      <c r="S24" s="2">
        <f t="shared" ref="S24:S55" si="18">ROUND(CT24*I24,2)</f>
        <v>27.26</v>
      </c>
      <c r="T24" s="2">
        <f t="shared" ref="T24:T55" si="19">ROUND(CU24*I24,2)</f>
        <v>0</v>
      </c>
      <c r="U24" s="2">
        <f t="shared" ref="U24:U55" si="20">CV24*I24</f>
        <v>3.04</v>
      </c>
      <c r="V24" s="2">
        <f t="shared" ref="V24:V55" si="21">CW24*I24</f>
        <v>0</v>
      </c>
      <c r="W24" s="2">
        <f t="shared" ref="W24:W55" si="22">ROUND(CX24*I24,2)</f>
        <v>0</v>
      </c>
      <c r="X24" s="2">
        <f t="shared" ref="X24:X55" si="23">ROUND(CY24,2)</f>
        <v>31.35</v>
      </c>
      <c r="Y24" s="2">
        <f t="shared" ref="Y24:Y55" si="24">ROUND(CZ24,2)</f>
        <v>19.350000000000001</v>
      </c>
      <c r="Z24" s="2"/>
      <c r="AA24" s="2">
        <v>16856227</v>
      </c>
      <c r="AB24" s="2">
        <f t="shared" ref="AB24:AB55" si="25">ROUND((AC24+AD24+AF24),6)</f>
        <v>6.8159999999999998</v>
      </c>
      <c r="AC24" s="2">
        <f>ROUND(((ES24*0)),6)</f>
        <v>0</v>
      </c>
      <c r="AD24" s="2">
        <f>ROUND(((((ET24*0.4))-((EU24*0.4)))+AE24),6)</f>
        <v>0</v>
      </c>
      <c r="AE24" s="2">
        <f>ROUND(((EU24*0.4)),6)</f>
        <v>0</v>
      </c>
      <c r="AF24" s="2">
        <f>ROUND(((EV24*0.4)),6)</f>
        <v>6.8159999999999998</v>
      </c>
      <c r="AG24" s="2">
        <f t="shared" ref="AG24:AG55" si="26">ROUND((AP24),6)</f>
        <v>0</v>
      </c>
      <c r="AH24" s="2">
        <f>((EW24*0.4))</f>
        <v>0.76</v>
      </c>
      <c r="AI24" s="2">
        <f>((EX24*0.4))</f>
        <v>0</v>
      </c>
      <c r="AJ24" s="2">
        <f t="shared" ref="AJ24:AJ55" si="27">(AS24)</f>
        <v>0</v>
      </c>
      <c r="AK24" s="2">
        <v>17.04</v>
      </c>
      <c r="AL24" s="2">
        <v>0</v>
      </c>
      <c r="AM24" s="2">
        <v>0</v>
      </c>
      <c r="AN24" s="2">
        <v>0</v>
      </c>
      <c r="AO24" s="2">
        <v>17.04</v>
      </c>
      <c r="AP24" s="2">
        <v>0</v>
      </c>
      <c r="AQ24" s="2">
        <v>1.9</v>
      </c>
      <c r="AR24" s="2">
        <v>0</v>
      </c>
      <c r="AS24" s="2">
        <v>0</v>
      </c>
      <c r="AT24" s="2">
        <v>115</v>
      </c>
      <c r="AU24" s="2">
        <v>71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20001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128</v>
      </c>
      <c r="CA24" s="2">
        <v>83</v>
      </c>
      <c r="CB24" s="2"/>
      <c r="CC24" s="2"/>
      <c r="CD24" s="2"/>
      <c r="CE24" s="2">
        <v>0</v>
      </c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18</v>
      </c>
      <c r="CO24" s="2">
        <v>0</v>
      </c>
      <c r="CP24" s="2">
        <f t="shared" ref="CP24:CP55" si="28">(P24+Q24+S24)</f>
        <v>27.26</v>
      </c>
      <c r="CQ24" s="2">
        <f t="shared" ref="CQ24:CQ55" si="29">AC24*BC24</f>
        <v>0</v>
      </c>
      <c r="CR24" s="2">
        <f t="shared" ref="CR24:CR55" si="30">AD24*BB24</f>
        <v>0</v>
      </c>
      <c r="CS24" s="2">
        <f t="shared" ref="CS24:CS55" si="31">AE24*BS24</f>
        <v>0</v>
      </c>
      <c r="CT24" s="2">
        <f t="shared" ref="CT24:CT55" si="32">AF24*BA24</f>
        <v>6.8159999999999998</v>
      </c>
      <c r="CU24" s="2">
        <f t="shared" ref="CU24:CU55" si="33">AG24</f>
        <v>0</v>
      </c>
      <c r="CV24" s="2">
        <f t="shared" ref="CV24:CV55" si="34">AH24</f>
        <v>0.76</v>
      </c>
      <c r="CW24" s="2">
        <f t="shared" ref="CW24:CW55" si="35">AI24</f>
        <v>0</v>
      </c>
      <c r="CX24" s="2">
        <f t="shared" ref="CX24:CX55" si="36">AJ24</f>
        <v>0</v>
      </c>
      <c r="CY24" s="2">
        <f t="shared" ref="CY24:CY55" si="37">(((S24+R24)*AT24)/100)</f>
        <v>31.349</v>
      </c>
      <c r="CZ24" s="2">
        <f t="shared" ref="CZ24:CZ55" si="38">(((S24+R24)*AU24)/100)</f>
        <v>19.354600000000001</v>
      </c>
      <c r="DA24" s="2"/>
      <c r="DB24" s="2"/>
      <c r="DC24" s="2" t="s">
        <v>6</v>
      </c>
      <c r="DD24" s="2" t="s">
        <v>19</v>
      </c>
      <c r="DE24" s="2" t="s">
        <v>20</v>
      </c>
      <c r="DF24" s="2" t="s">
        <v>20</v>
      </c>
      <c r="DG24" s="2" t="s">
        <v>20</v>
      </c>
      <c r="DH24" s="2" t="s">
        <v>6</v>
      </c>
      <c r="DI24" s="2" t="s">
        <v>20</v>
      </c>
      <c r="DJ24" s="2" t="s">
        <v>20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1013</v>
      </c>
      <c r="DV24" s="2" t="s">
        <v>16</v>
      </c>
      <c r="DW24" s="2" t="s">
        <v>16</v>
      </c>
      <c r="DX24" s="2">
        <v>1</v>
      </c>
      <c r="DY24" s="2"/>
      <c r="DZ24" s="2"/>
      <c r="EA24" s="2"/>
      <c r="EB24" s="2"/>
      <c r="EC24" s="2"/>
      <c r="ED24" s="2"/>
      <c r="EE24" s="2">
        <v>16510518</v>
      </c>
      <c r="EF24" s="2">
        <v>2</v>
      </c>
      <c r="EG24" s="2" t="s">
        <v>21</v>
      </c>
      <c r="EH24" s="2">
        <v>0</v>
      </c>
      <c r="EI24" s="2" t="s">
        <v>6</v>
      </c>
      <c r="EJ24" s="2">
        <v>1</v>
      </c>
      <c r="EK24" s="2">
        <v>20001</v>
      </c>
      <c r="EL24" s="2" t="s">
        <v>22</v>
      </c>
      <c r="EM24" s="2" t="s">
        <v>23</v>
      </c>
      <c r="EN24" s="2"/>
      <c r="EO24" s="2" t="s">
        <v>24</v>
      </c>
      <c r="EP24" s="2"/>
      <c r="EQ24" s="2">
        <v>0</v>
      </c>
      <c r="ER24" s="2">
        <v>17.04</v>
      </c>
      <c r="ES24" s="2">
        <v>0</v>
      </c>
      <c r="ET24" s="2">
        <v>0</v>
      </c>
      <c r="EU24" s="2">
        <v>0</v>
      </c>
      <c r="EV24" s="2">
        <v>17.04</v>
      </c>
      <c r="EW24" s="2">
        <v>1.9</v>
      </c>
      <c r="EX24" s="2">
        <v>0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39">ROUND(IF(AND(BH24=3,BI24=3),P24,0),2)</f>
        <v>0</v>
      </c>
      <c r="FS24" s="2">
        <v>0</v>
      </c>
      <c r="FT24" s="2" t="s">
        <v>25</v>
      </c>
      <c r="FU24" s="2" t="s">
        <v>26</v>
      </c>
      <c r="FV24" s="2"/>
      <c r="FW24" s="2"/>
      <c r="FX24" s="2">
        <v>115.2</v>
      </c>
      <c r="FY24" s="2">
        <v>70.55</v>
      </c>
      <c r="FZ24" s="2"/>
      <c r="GA24" s="2" t="s">
        <v>6</v>
      </c>
      <c r="GB24" s="2"/>
      <c r="GC24" s="2"/>
      <c r="GD24" s="2">
        <v>1</v>
      </c>
      <c r="GE24" s="2"/>
      <c r="GF24" s="2">
        <v>1362792865</v>
      </c>
      <c r="GG24" s="2">
        <v>2</v>
      </c>
      <c r="GH24" s="2">
        <v>1</v>
      </c>
      <c r="GI24" s="2">
        <v>-2</v>
      </c>
      <c r="GJ24" s="2">
        <v>0</v>
      </c>
      <c r="GK24" s="2">
        <v>0</v>
      </c>
      <c r="GL24" s="2">
        <f t="shared" ref="GL24:GL55" si="40">ROUND(IF(AND(BH24=3,BI24=3,FS24&lt;&gt;0),P24,0),2)</f>
        <v>0</v>
      </c>
      <c r="GM24" s="2">
        <f t="shared" ref="GM24:GM55" si="41">ROUND(O24+X24+Y24,2)+GX24</f>
        <v>77.959999999999994</v>
      </c>
      <c r="GN24" s="2">
        <f t="shared" ref="GN24:GN55" si="42">IF(OR(BI24=0,BI24=1),ROUND(O24+X24+Y24,2),0)</f>
        <v>77.959999999999994</v>
      </c>
      <c r="GO24" s="2">
        <f t="shared" ref="GO24:GO55" si="43">IF(BI24=2,ROUND(O24+X24+Y24,2),0)</f>
        <v>0</v>
      </c>
      <c r="GP24" s="2">
        <f t="shared" ref="GP24:GP55" si="44">IF(BI24=4,ROUND(O24+X24+Y24,2)+GX24,0)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5" si="45">ROUND((GT24),6)</f>
        <v>0</v>
      </c>
      <c r="GW24" s="2">
        <v>1</v>
      </c>
      <c r="GX24" s="2">
        <f t="shared" ref="GX24:GX55" si="46">ROUND(HC24*I24,2)</f>
        <v>0</v>
      </c>
      <c r="GY24" s="2"/>
      <c r="GZ24" s="2"/>
      <c r="HA24" s="2">
        <v>0</v>
      </c>
      <c r="HB24" s="2">
        <v>0</v>
      </c>
      <c r="HC24" s="2">
        <f t="shared" ref="HC24:HC55" si="47">GV24*GW24</f>
        <v>0</v>
      </c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ROW(SmtRes!A2)</f>
        <v>2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v>4</v>
      </c>
      <c r="J25">
        <v>0</v>
      </c>
      <c r="O25">
        <f t="shared" si="14"/>
        <v>184.58</v>
      </c>
      <c r="P25">
        <f t="shared" si="15"/>
        <v>0</v>
      </c>
      <c r="Q25">
        <f t="shared" si="16"/>
        <v>0</v>
      </c>
      <c r="R25">
        <f t="shared" si="17"/>
        <v>0</v>
      </c>
      <c r="S25">
        <f t="shared" si="18"/>
        <v>184.58</v>
      </c>
      <c r="T25">
        <f t="shared" si="19"/>
        <v>0</v>
      </c>
      <c r="U25">
        <f t="shared" si="20"/>
        <v>3.04</v>
      </c>
      <c r="V25">
        <f t="shared" si="21"/>
        <v>0</v>
      </c>
      <c r="W25">
        <f t="shared" si="22"/>
        <v>0</v>
      </c>
      <c r="X25">
        <f t="shared" si="23"/>
        <v>212.27</v>
      </c>
      <c r="Y25">
        <f t="shared" si="24"/>
        <v>131.05000000000001</v>
      </c>
      <c r="AA25">
        <v>16856228</v>
      </c>
      <c r="AB25">
        <f t="shared" si="25"/>
        <v>6.8159999999999998</v>
      </c>
      <c r="AC25">
        <f>ROUND(((ES25*0)),6)</f>
        <v>0</v>
      </c>
      <c r="AD25">
        <f>ROUND(((((ET25*0.4))-((EU25*0.4)))+AE25),6)</f>
        <v>0</v>
      </c>
      <c r="AE25">
        <f>ROUND(((EU25*0.4)),6)</f>
        <v>0</v>
      </c>
      <c r="AF25">
        <f>ROUND(((EV25*0.4)),6)</f>
        <v>6.8159999999999998</v>
      </c>
      <c r="AG25">
        <f t="shared" si="26"/>
        <v>0</v>
      </c>
      <c r="AH25">
        <f>((EW25*0.4))</f>
        <v>0.76</v>
      </c>
      <c r="AI25">
        <f>((EX25*0.4))</f>
        <v>0</v>
      </c>
      <c r="AJ25">
        <f t="shared" si="27"/>
        <v>0</v>
      </c>
      <c r="AK25">
        <v>17.04</v>
      </c>
      <c r="AL25">
        <v>0</v>
      </c>
      <c r="AM25">
        <v>0</v>
      </c>
      <c r="AN25">
        <v>0</v>
      </c>
      <c r="AO25">
        <v>17.04</v>
      </c>
      <c r="AP25">
        <v>0</v>
      </c>
      <c r="AQ25">
        <v>1.9</v>
      </c>
      <c r="AR25">
        <v>0</v>
      </c>
      <c r="AS25">
        <v>0</v>
      </c>
      <c r="AT25">
        <v>115</v>
      </c>
      <c r="AU25">
        <v>71</v>
      </c>
      <c r="AV25">
        <v>1</v>
      </c>
      <c r="AW25">
        <v>1</v>
      </c>
      <c r="AZ25">
        <v>6.77</v>
      </c>
      <c r="BA25">
        <v>6.77</v>
      </c>
      <c r="BB25">
        <v>6.77</v>
      </c>
      <c r="BC25">
        <v>6.77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20001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6.77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128</v>
      </c>
      <c r="CA25">
        <v>83</v>
      </c>
      <c r="CE25">
        <v>0</v>
      </c>
      <c r="CF25">
        <v>0</v>
      </c>
      <c r="CG25">
        <v>0</v>
      </c>
      <c r="CM25">
        <v>0</v>
      </c>
      <c r="CN25" t="s">
        <v>18</v>
      </c>
      <c r="CO25">
        <v>0</v>
      </c>
      <c r="CP25">
        <f t="shared" si="28"/>
        <v>184.58</v>
      </c>
      <c r="CQ25">
        <f t="shared" si="29"/>
        <v>0</v>
      </c>
      <c r="CR25">
        <f t="shared" si="30"/>
        <v>0</v>
      </c>
      <c r="CS25">
        <f t="shared" si="31"/>
        <v>0</v>
      </c>
      <c r="CT25">
        <f t="shared" si="32"/>
        <v>46.144319999999993</v>
      </c>
      <c r="CU25">
        <f t="shared" si="33"/>
        <v>0</v>
      </c>
      <c r="CV25">
        <f t="shared" si="34"/>
        <v>0.76</v>
      </c>
      <c r="CW25">
        <f t="shared" si="35"/>
        <v>0</v>
      </c>
      <c r="CX25">
        <f t="shared" si="36"/>
        <v>0</v>
      </c>
      <c r="CY25">
        <f t="shared" si="37"/>
        <v>212.267</v>
      </c>
      <c r="CZ25">
        <f t="shared" si="38"/>
        <v>131.05180000000001</v>
      </c>
      <c r="DC25" t="s">
        <v>6</v>
      </c>
      <c r="DD25" t="s">
        <v>19</v>
      </c>
      <c r="DE25" t="s">
        <v>20</v>
      </c>
      <c r="DF25" t="s">
        <v>20</v>
      </c>
      <c r="DG25" t="s">
        <v>20</v>
      </c>
      <c r="DH25" t="s">
        <v>6</v>
      </c>
      <c r="DI25" t="s">
        <v>20</v>
      </c>
      <c r="DJ25" t="s">
        <v>20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1013</v>
      </c>
      <c r="DV25" t="s">
        <v>16</v>
      </c>
      <c r="DW25" t="s">
        <v>16</v>
      </c>
      <c r="DX25">
        <v>1</v>
      </c>
      <c r="EE25">
        <v>16510518</v>
      </c>
      <c r="EF25">
        <v>2</v>
      </c>
      <c r="EG25" t="s">
        <v>21</v>
      </c>
      <c r="EH25">
        <v>0</v>
      </c>
      <c r="EI25" t="s">
        <v>6</v>
      </c>
      <c r="EJ25">
        <v>1</v>
      </c>
      <c r="EK25">
        <v>20001</v>
      </c>
      <c r="EL25" t="s">
        <v>22</v>
      </c>
      <c r="EM25" t="s">
        <v>23</v>
      </c>
      <c r="EO25" t="s">
        <v>24</v>
      </c>
      <c r="EQ25">
        <v>0</v>
      </c>
      <c r="ER25">
        <v>17.04</v>
      </c>
      <c r="ES25">
        <v>0</v>
      </c>
      <c r="ET25">
        <v>0</v>
      </c>
      <c r="EU25">
        <v>0</v>
      </c>
      <c r="EV25">
        <v>17.04</v>
      </c>
      <c r="EW25">
        <v>1.9</v>
      </c>
      <c r="EX25">
        <v>0</v>
      </c>
      <c r="EY25">
        <v>0</v>
      </c>
      <c r="FQ25">
        <v>0</v>
      </c>
      <c r="FR25">
        <f t="shared" si="39"/>
        <v>0</v>
      </c>
      <c r="FS25">
        <v>0</v>
      </c>
      <c r="FT25" t="s">
        <v>25</v>
      </c>
      <c r="FU25" t="s">
        <v>26</v>
      </c>
      <c r="FX25">
        <v>115.2</v>
      </c>
      <c r="FY25">
        <v>70.55</v>
      </c>
      <c r="GA25" t="s">
        <v>6</v>
      </c>
      <c r="GD25">
        <v>1</v>
      </c>
      <c r="GF25">
        <v>1362792865</v>
      </c>
      <c r="GG25">
        <v>1</v>
      </c>
      <c r="GH25">
        <v>1</v>
      </c>
      <c r="GI25">
        <v>4</v>
      </c>
      <c r="GJ25">
        <v>0</v>
      </c>
      <c r="GK25">
        <v>0</v>
      </c>
      <c r="GL25">
        <f t="shared" si="40"/>
        <v>0</v>
      </c>
      <c r="GM25">
        <f t="shared" si="41"/>
        <v>527.9</v>
      </c>
      <c r="GN25">
        <f t="shared" si="42"/>
        <v>527.9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6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HC25">
        <f t="shared" si="47"/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ROW(SmtRes!A5)</f>
        <v>5</v>
      </c>
      <c r="D26" s="2">
        <f>ROW(EtalonRes!A9)</f>
        <v>9</v>
      </c>
      <c r="E26" s="2" t="s">
        <v>27</v>
      </c>
      <c r="F26" s="2" t="s">
        <v>28</v>
      </c>
      <c r="G26" s="2" t="s">
        <v>29</v>
      </c>
      <c r="H26" s="2" t="s">
        <v>30</v>
      </c>
      <c r="I26" s="2">
        <f>ROUND(161.19/100,9)</f>
        <v>1.6119000000000001</v>
      </c>
      <c r="J26" s="2">
        <v>0</v>
      </c>
      <c r="K26" s="2"/>
      <c r="L26" s="2"/>
      <c r="M26" s="2"/>
      <c r="N26" s="2"/>
      <c r="O26" s="2">
        <f t="shared" si="14"/>
        <v>2848.61</v>
      </c>
      <c r="P26" s="2">
        <f t="shared" si="15"/>
        <v>0</v>
      </c>
      <c r="Q26" s="2">
        <f t="shared" si="16"/>
        <v>390</v>
      </c>
      <c r="R26" s="2">
        <f t="shared" si="17"/>
        <v>168.43</v>
      </c>
      <c r="S26" s="2">
        <f t="shared" si="18"/>
        <v>2458.61</v>
      </c>
      <c r="T26" s="2">
        <f t="shared" si="19"/>
        <v>0</v>
      </c>
      <c r="U26" s="2">
        <f t="shared" si="20"/>
        <v>303.90762599999999</v>
      </c>
      <c r="V26" s="2">
        <f t="shared" si="21"/>
        <v>12.476106000000001</v>
      </c>
      <c r="W26" s="2">
        <f t="shared" si="22"/>
        <v>0</v>
      </c>
      <c r="X26" s="2">
        <f t="shared" si="23"/>
        <v>2600.77</v>
      </c>
      <c r="Y26" s="2">
        <f t="shared" si="24"/>
        <v>1576.22</v>
      </c>
      <c r="Z26" s="2"/>
      <c r="AA26" s="2">
        <v>16856227</v>
      </c>
      <c r="AB26" s="2">
        <f t="shared" si="25"/>
        <v>1767.24</v>
      </c>
      <c r="AC26" s="2">
        <f>ROUND((ES26),6)</f>
        <v>0</v>
      </c>
      <c r="AD26" s="2">
        <f>ROUND((((ET26)-(EU26))+AE26),6)</f>
        <v>241.95</v>
      </c>
      <c r="AE26" s="2">
        <f>ROUND((EU26),6)</f>
        <v>104.49</v>
      </c>
      <c r="AF26" s="2">
        <f>ROUND((EV26),6)</f>
        <v>1525.29</v>
      </c>
      <c r="AG26" s="2">
        <f t="shared" si="26"/>
        <v>0</v>
      </c>
      <c r="AH26" s="2">
        <f>(EW26)</f>
        <v>188.54</v>
      </c>
      <c r="AI26" s="2">
        <f>(EX26)</f>
        <v>7.74</v>
      </c>
      <c r="AJ26" s="2">
        <f t="shared" si="27"/>
        <v>0</v>
      </c>
      <c r="AK26" s="2">
        <v>1767.24</v>
      </c>
      <c r="AL26" s="2">
        <v>0</v>
      </c>
      <c r="AM26" s="2">
        <v>241.95</v>
      </c>
      <c r="AN26" s="2">
        <v>104.49</v>
      </c>
      <c r="AO26" s="2">
        <v>1525.29</v>
      </c>
      <c r="AP26" s="2">
        <v>0</v>
      </c>
      <c r="AQ26" s="2">
        <v>188.54</v>
      </c>
      <c r="AR26" s="2">
        <v>7.74</v>
      </c>
      <c r="AS26" s="2">
        <v>0</v>
      </c>
      <c r="AT26" s="2">
        <v>99</v>
      </c>
      <c r="AU26" s="2">
        <v>60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31</v>
      </c>
      <c r="BK26" s="2"/>
      <c r="BL26" s="2"/>
      <c r="BM26" s="2">
        <v>46001</v>
      </c>
      <c r="BN26" s="2">
        <v>0</v>
      </c>
      <c r="BO26" s="2" t="s">
        <v>6</v>
      </c>
      <c r="BP26" s="2">
        <v>0</v>
      </c>
      <c r="BQ26" s="2">
        <v>2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110</v>
      </c>
      <c r="CA26" s="2">
        <v>70</v>
      </c>
      <c r="CB26" s="2"/>
      <c r="CC26" s="2"/>
      <c r="CD26" s="2"/>
      <c r="CE26" s="2">
        <v>0</v>
      </c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28"/>
        <v>2848.61</v>
      </c>
      <c r="CQ26" s="2">
        <f t="shared" si="29"/>
        <v>0</v>
      </c>
      <c r="CR26" s="2">
        <f t="shared" si="30"/>
        <v>241.95</v>
      </c>
      <c r="CS26" s="2">
        <f t="shared" si="31"/>
        <v>104.49</v>
      </c>
      <c r="CT26" s="2">
        <f t="shared" si="32"/>
        <v>1525.29</v>
      </c>
      <c r="CU26" s="2">
        <f t="shared" si="33"/>
        <v>0</v>
      </c>
      <c r="CV26" s="2">
        <f t="shared" si="34"/>
        <v>188.54</v>
      </c>
      <c r="CW26" s="2">
        <f t="shared" si="35"/>
        <v>7.74</v>
      </c>
      <c r="CX26" s="2">
        <f t="shared" si="36"/>
        <v>0</v>
      </c>
      <c r="CY26" s="2">
        <f t="shared" si="37"/>
        <v>2600.7696000000001</v>
      </c>
      <c r="CZ26" s="2">
        <f t="shared" si="38"/>
        <v>1576.2239999999999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30</v>
      </c>
      <c r="DW26" s="2" t="s">
        <v>30</v>
      </c>
      <c r="DX26" s="2">
        <v>100</v>
      </c>
      <c r="DY26" s="2"/>
      <c r="DZ26" s="2"/>
      <c r="EA26" s="2"/>
      <c r="EB26" s="2"/>
      <c r="EC26" s="2"/>
      <c r="ED26" s="2"/>
      <c r="EE26" s="2">
        <v>16510555</v>
      </c>
      <c r="EF26" s="2">
        <v>2</v>
      </c>
      <c r="EG26" s="2" t="s">
        <v>21</v>
      </c>
      <c r="EH26" s="2">
        <v>0</v>
      </c>
      <c r="EI26" s="2" t="s">
        <v>6</v>
      </c>
      <c r="EJ26" s="2">
        <v>1</v>
      </c>
      <c r="EK26" s="2">
        <v>46001</v>
      </c>
      <c r="EL26" s="2" t="s">
        <v>32</v>
      </c>
      <c r="EM26" s="2" t="s">
        <v>33</v>
      </c>
      <c r="EN26" s="2"/>
      <c r="EO26" s="2" t="s">
        <v>6</v>
      </c>
      <c r="EP26" s="2"/>
      <c r="EQ26" s="2">
        <v>0</v>
      </c>
      <c r="ER26" s="2">
        <v>1767.24</v>
      </c>
      <c r="ES26" s="2">
        <v>0</v>
      </c>
      <c r="ET26" s="2">
        <v>241.95</v>
      </c>
      <c r="EU26" s="2">
        <v>104.49</v>
      </c>
      <c r="EV26" s="2">
        <v>1525.29</v>
      </c>
      <c r="EW26" s="2">
        <v>188.54</v>
      </c>
      <c r="EX26" s="2">
        <v>7.74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39"/>
        <v>0</v>
      </c>
      <c r="FS26" s="2">
        <v>0</v>
      </c>
      <c r="FT26" s="2" t="s">
        <v>25</v>
      </c>
      <c r="FU26" s="2" t="s">
        <v>26</v>
      </c>
      <c r="FV26" s="2"/>
      <c r="FW26" s="2"/>
      <c r="FX26" s="2">
        <v>99</v>
      </c>
      <c r="FY26" s="2">
        <v>59.5</v>
      </c>
      <c r="FZ26" s="2"/>
      <c r="GA26" s="2" t="s">
        <v>6</v>
      </c>
      <c r="GB26" s="2"/>
      <c r="GC26" s="2"/>
      <c r="GD26" s="2">
        <v>1</v>
      </c>
      <c r="GE26" s="2"/>
      <c r="GF26" s="2">
        <v>1630687704</v>
      </c>
      <c r="GG26" s="2">
        <v>2</v>
      </c>
      <c r="GH26" s="2">
        <v>1</v>
      </c>
      <c r="GI26" s="2">
        <v>-2</v>
      </c>
      <c r="GJ26" s="2">
        <v>0</v>
      </c>
      <c r="GK26" s="2">
        <v>0</v>
      </c>
      <c r="GL26" s="2">
        <f t="shared" si="40"/>
        <v>0</v>
      </c>
      <c r="GM26" s="2">
        <f t="shared" si="41"/>
        <v>7025.6</v>
      </c>
      <c r="GN26" s="2">
        <f t="shared" si="42"/>
        <v>7025.6</v>
      </c>
      <c r="GO26" s="2">
        <f t="shared" si="43"/>
        <v>0</v>
      </c>
      <c r="GP26" s="2">
        <f t="shared" si="44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5"/>
        <v>0</v>
      </c>
      <c r="GW26" s="2">
        <v>1</v>
      </c>
      <c r="GX26" s="2">
        <f t="shared" si="46"/>
        <v>0</v>
      </c>
      <c r="GY26" s="2"/>
      <c r="GZ26" s="2"/>
      <c r="HA26" s="2">
        <v>0</v>
      </c>
      <c r="HB26" s="2">
        <v>0</v>
      </c>
      <c r="HC26" s="2">
        <f t="shared" si="47"/>
        <v>0</v>
      </c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ROW(SmtRes!A8)</f>
        <v>8</v>
      </c>
      <c r="D27">
        <f>ROW(EtalonRes!A12)</f>
        <v>12</v>
      </c>
      <c r="E27" t="s">
        <v>27</v>
      </c>
      <c r="F27" t="s">
        <v>28</v>
      </c>
      <c r="G27" t="s">
        <v>29</v>
      </c>
      <c r="H27" t="s">
        <v>30</v>
      </c>
      <c r="I27">
        <f>ROUND(161.19/100,9)</f>
        <v>1.6119000000000001</v>
      </c>
      <c r="J27">
        <v>0</v>
      </c>
      <c r="O27">
        <f t="shared" si="14"/>
        <v>19285.11</v>
      </c>
      <c r="P27">
        <f t="shared" si="15"/>
        <v>0</v>
      </c>
      <c r="Q27">
        <f t="shared" si="16"/>
        <v>2640.29</v>
      </c>
      <c r="R27">
        <f t="shared" si="17"/>
        <v>1140.25</v>
      </c>
      <c r="S27">
        <f t="shared" si="18"/>
        <v>16644.82</v>
      </c>
      <c r="T27">
        <f t="shared" si="19"/>
        <v>0</v>
      </c>
      <c r="U27">
        <f t="shared" si="20"/>
        <v>303.90762599999999</v>
      </c>
      <c r="V27">
        <f t="shared" si="21"/>
        <v>12.476106000000001</v>
      </c>
      <c r="W27">
        <f t="shared" si="22"/>
        <v>0</v>
      </c>
      <c r="X27">
        <f t="shared" si="23"/>
        <v>17607.22</v>
      </c>
      <c r="Y27">
        <f t="shared" si="24"/>
        <v>10671.04</v>
      </c>
      <c r="AA27">
        <v>16856228</v>
      </c>
      <c r="AB27">
        <f t="shared" si="25"/>
        <v>1767.24</v>
      </c>
      <c r="AC27">
        <f>ROUND((ES27),6)</f>
        <v>0</v>
      </c>
      <c r="AD27">
        <f>ROUND((((ET27)-(EU27))+AE27),6)</f>
        <v>241.95</v>
      </c>
      <c r="AE27">
        <f>ROUND((EU27),6)</f>
        <v>104.49</v>
      </c>
      <c r="AF27">
        <f>ROUND((EV27),6)</f>
        <v>1525.29</v>
      </c>
      <c r="AG27">
        <f t="shared" si="26"/>
        <v>0</v>
      </c>
      <c r="AH27">
        <f>(EW27)</f>
        <v>188.54</v>
      </c>
      <c r="AI27">
        <f>(EX27)</f>
        <v>7.74</v>
      </c>
      <c r="AJ27">
        <f t="shared" si="27"/>
        <v>0</v>
      </c>
      <c r="AK27">
        <v>1767.24</v>
      </c>
      <c r="AL27">
        <v>0</v>
      </c>
      <c r="AM27">
        <v>241.95</v>
      </c>
      <c r="AN27">
        <v>104.49</v>
      </c>
      <c r="AO27">
        <v>1525.29</v>
      </c>
      <c r="AP27">
        <v>0</v>
      </c>
      <c r="AQ27">
        <v>188.54</v>
      </c>
      <c r="AR27">
        <v>7.74</v>
      </c>
      <c r="AS27">
        <v>0</v>
      </c>
      <c r="AT27">
        <v>99</v>
      </c>
      <c r="AU27">
        <v>60</v>
      </c>
      <c r="AV27">
        <v>1</v>
      </c>
      <c r="AW27">
        <v>1</v>
      </c>
      <c r="AZ27">
        <v>6.77</v>
      </c>
      <c r="BA27">
        <v>6.77</v>
      </c>
      <c r="BB27">
        <v>6.77</v>
      </c>
      <c r="BC27">
        <v>6.77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31</v>
      </c>
      <c r="BM27">
        <v>46001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6.77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110</v>
      </c>
      <c r="CA27">
        <v>70</v>
      </c>
      <c r="CE27">
        <v>0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28"/>
        <v>19285.11</v>
      </c>
      <c r="CQ27">
        <f t="shared" si="29"/>
        <v>0</v>
      </c>
      <c r="CR27">
        <f t="shared" si="30"/>
        <v>1638.0014999999999</v>
      </c>
      <c r="CS27">
        <f t="shared" si="31"/>
        <v>707.39729999999997</v>
      </c>
      <c r="CT27">
        <f t="shared" si="32"/>
        <v>10326.213299999999</v>
      </c>
      <c r="CU27">
        <f t="shared" si="33"/>
        <v>0</v>
      </c>
      <c r="CV27">
        <f t="shared" si="34"/>
        <v>188.54</v>
      </c>
      <c r="CW27">
        <f t="shared" si="35"/>
        <v>7.74</v>
      </c>
      <c r="CX27">
        <f t="shared" si="36"/>
        <v>0</v>
      </c>
      <c r="CY27">
        <f t="shared" si="37"/>
        <v>17607.219300000001</v>
      </c>
      <c r="CZ27">
        <f t="shared" si="38"/>
        <v>10671.041999999999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30</v>
      </c>
      <c r="DW27" t="s">
        <v>30</v>
      </c>
      <c r="DX27">
        <v>100</v>
      </c>
      <c r="EE27">
        <v>16510555</v>
      </c>
      <c r="EF27">
        <v>2</v>
      </c>
      <c r="EG27" t="s">
        <v>21</v>
      </c>
      <c r="EH27">
        <v>0</v>
      </c>
      <c r="EI27" t="s">
        <v>6</v>
      </c>
      <c r="EJ27">
        <v>1</v>
      </c>
      <c r="EK27">
        <v>46001</v>
      </c>
      <c r="EL27" t="s">
        <v>32</v>
      </c>
      <c r="EM27" t="s">
        <v>33</v>
      </c>
      <c r="EO27" t="s">
        <v>6</v>
      </c>
      <c r="EQ27">
        <v>0</v>
      </c>
      <c r="ER27">
        <v>1767.24</v>
      </c>
      <c r="ES27">
        <v>0</v>
      </c>
      <c r="ET27">
        <v>241.95</v>
      </c>
      <c r="EU27">
        <v>104.49</v>
      </c>
      <c r="EV27">
        <v>1525.29</v>
      </c>
      <c r="EW27">
        <v>188.54</v>
      </c>
      <c r="EX27">
        <v>7.74</v>
      </c>
      <c r="EY27">
        <v>0</v>
      </c>
      <c r="FQ27">
        <v>0</v>
      </c>
      <c r="FR27">
        <f t="shared" si="39"/>
        <v>0</v>
      </c>
      <c r="FS27">
        <v>0</v>
      </c>
      <c r="FT27" t="s">
        <v>25</v>
      </c>
      <c r="FU27" t="s">
        <v>26</v>
      </c>
      <c r="FX27">
        <v>99</v>
      </c>
      <c r="FY27">
        <v>59.5</v>
      </c>
      <c r="GA27" t="s">
        <v>6</v>
      </c>
      <c r="GD27">
        <v>1</v>
      </c>
      <c r="GF27">
        <v>1630687704</v>
      </c>
      <c r="GG27">
        <v>1</v>
      </c>
      <c r="GH27">
        <v>1</v>
      </c>
      <c r="GI27">
        <v>4</v>
      </c>
      <c r="GJ27">
        <v>0</v>
      </c>
      <c r="GK27">
        <v>0</v>
      </c>
      <c r="GL27">
        <f t="shared" si="40"/>
        <v>0</v>
      </c>
      <c r="GM27">
        <f t="shared" si="41"/>
        <v>47563.37</v>
      </c>
      <c r="GN27">
        <f t="shared" si="42"/>
        <v>47563.37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6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HC27">
        <f t="shared" si="47"/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ROW(SmtRes!A26)</f>
        <v>26</v>
      </c>
      <c r="D28" s="2">
        <f>ROW(EtalonRes!A33)</f>
        <v>33</v>
      </c>
      <c r="E28" s="2" t="s">
        <v>34</v>
      </c>
      <c r="F28" s="2" t="s">
        <v>35</v>
      </c>
      <c r="G28" s="2" t="s">
        <v>36</v>
      </c>
      <c r="H28" s="2" t="s">
        <v>37</v>
      </c>
      <c r="I28" s="2">
        <v>1.4127400000000001</v>
      </c>
      <c r="J28" s="2">
        <v>0</v>
      </c>
      <c r="K28" s="2"/>
      <c r="L28" s="2"/>
      <c r="M28" s="2"/>
      <c r="N28" s="2"/>
      <c r="O28" s="2">
        <f t="shared" si="14"/>
        <v>3750.16</v>
      </c>
      <c r="P28" s="2">
        <f t="shared" si="15"/>
        <v>0</v>
      </c>
      <c r="Q28" s="2">
        <f t="shared" si="16"/>
        <v>1780.01</v>
      </c>
      <c r="R28" s="2">
        <f t="shared" si="17"/>
        <v>219.95</v>
      </c>
      <c r="S28" s="2">
        <f t="shared" si="18"/>
        <v>1970.15</v>
      </c>
      <c r="T28" s="2">
        <f t="shared" si="19"/>
        <v>0</v>
      </c>
      <c r="U28" s="2">
        <f t="shared" si="20"/>
        <v>217.21583870000001</v>
      </c>
      <c r="V28" s="2">
        <f t="shared" si="21"/>
        <v>15.31833982</v>
      </c>
      <c r="W28" s="2">
        <f t="shared" si="22"/>
        <v>0</v>
      </c>
      <c r="X28" s="2">
        <f t="shared" si="23"/>
        <v>1773.98</v>
      </c>
      <c r="Y28" s="2">
        <f t="shared" si="24"/>
        <v>1576.87</v>
      </c>
      <c r="Z28" s="2"/>
      <c r="AA28" s="2">
        <v>16856227</v>
      </c>
      <c r="AB28" s="2">
        <f t="shared" si="25"/>
        <v>2654.5329999999999</v>
      </c>
      <c r="AC28" s="2">
        <f>ROUND(((ES28*0)),6)</f>
        <v>0</v>
      </c>
      <c r="AD28" s="2">
        <f>ROUND(((((ET28*0.7))-((EU28*0.7)))+AE28),6)</f>
        <v>1259.972</v>
      </c>
      <c r="AE28" s="2">
        <f>ROUND(((EU28*0.7)),6)</f>
        <v>155.68700000000001</v>
      </c>
      <c r="AF28" s="2">
        <f>ROUND(((EV28*0.7)),6)</f>
        <v>1394.5609999999999</v>
      </c>
      <c r="AG28" s="2">
        <f t="shared" si="26"/>
        <v>0</v>
      </c>
      <c r="AH28" s="2">
        <f>((EW28*0.7))</f>
        <v>153.755</v>
      </c>
      <c r="AI28" s="2">
        <f>((EX28*0.7))</f>
        <v>10.843</v>
      </c>
      <c r="AJ28" s="2">
        <f t="shared" si="27"/>
        <v>0</v>
      </c>
      <c r="AK28" s="2">
        <v>4025.25</v>
      </c>
      <c r="AL28" s="2">
        <v>233.06</v>
      </c>
      <c r="AM28" s="2">
        <v>1799.96</v>
      </c>
      <c r="AN28" s="2">
        <v>222.41</v>
      </c>
      <c r="AO28" s="2">
        <v>1992.23</v>
      </c>
      <c r="AP28" s="2">
        <v>0</v>
      </c>
      <c r="AQ28" s="2">
        <v>219.65</v>
      </c>
      <c r="AR28" s="2">
        <v>15.49</v>
      </c>
      <c r="AS28" s="2">
        <v>0</v>
      </c>
      <c r="AT28" s="2">
        <v>81</v>
      </c>
      <c r="AU28" s="2">
        <v>72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1</v>
      </c>
      <c r="BJ28" s="2" t="s">
        <v>38</v>
      </c>
      <c r="BK28" s="2"/>
      <c r="BL28" s="2"/>
      <c r="BM28" s="2">
        <v>9001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90</v>
      </c>
      <c r="CA28" s="2">
        <v>85</v>
      </c>
      <c r="CB28" s="2"/>
      <c r="CC28" s="2"/>
      <c r="CD28" s="2"/>
      <c r="CE28" s="2">
        <v>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39</v>
      </c>
      <c r="CO28" s="2">
        <v>0</v>
      </c>
      <c r="CP28" s="2">
        <f t="shared" si="28"/>
        <v>3750.16</v>
      </c>
      <c r="CQ28" s="2">
        <f t="shared" si="29"/>
        <v>0</v>
      </c>
      <c r="CR28" s="2">
        <f t="shared" si="30"/>
        <v>1259.972</v>
      </c>
      <c r="CS28" s="2">
        <f t="shared" si="31"/>
        <v>155.68700000000001</v>
      </c>
      <c r="CT28" s="2">
        <f t="shared" si="32"/>
        <v>1394.5609999999999</v>
      </c>
      <c r="CU28" s="2">
        <f t="shared" si="33"/>
        <v>0</v>
      </c>
      <c r="CV28" s="2">
        <f t="shared" si="34"/>
        <v>153.755</v>
      </c>
      <c r="CW28" s="2">
        <f t="shared" si="35"/>
        <v>10.843</v>
      </c>
      <c r="CX28" s="2">
        <f t="shared" si="36"/>
        <v>0</v>
      </c>
      <c r="CY28" s="2">
        <f t="shared" si="37"/>
        <v>1773.981</v>
      </c>
      <c r="CZ28" s="2">
        <f t="shared" si="38"/>
        <v>1576.8719999999998</v>
      </c>
      <c r="DA28" s="2"/>
      <c r="DB28" s="2"/>
      <c r="DC28" s="2" t="s">
        <v>6</v>
      </c>
      <c r="DD28" s="2" t="s">
        <v>19</v>
      </c>
      <c r="DE28" s="2" t="s">
        <v>40</v>
      </c>
      <c r="DF28" s="2" t="s">
        <v>40</v>
      </c>
      <c r="DG28" s="2" t="s">
        <v>40</v>
      </c>
      <c r="DH28" s="2" t="s">
        <v>6</v>
      </c>
      <c r="DI28" s="2" t="s">
        <v>40</v>
      </c>
      <c r="DJ28" s="2" t="s">
        <v>40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1009</v>
      </c>
      <c r="DV28" s="2" t="s">
        <v>37</v>
      </c>
      <c r="DW28" s="2" t="s">
        <v>37</v>
      </c>
      <c r="DX28" s="2">
        <v>1000</v>
      </c>
      <c r="DY28" s="2"/>
      <c r="DZ28" s="2"/>
      <c r="EA28" s="2"/>
      <c r="EB28" s="2"/>
      <c r="EC28" s="2"/>
      <c r="ED28" s="2"/>
      <c r="EE28" s="2">
        <v>16510486</v>
      </c>
      <c r="EF28" s="2">
        <v>2</v>
      </c>
      <c r="EG28" s="2" t="s">
        <v>21</v>
      </c>
      <c r="EH28" s="2">
        <v>0</v>
      </c>
      <c r="EI28" s="2" t="s">
        <v>6</v>
      </c>
      <c r="EJ28" s="2">
        <v>1</v>
      </c>
      <c r="EK28" s="2">
        <v>9001</v>
      </c>
      <c r="EL28" s="2" t="s">
        <v>41</v>
      </c>
      <c r="EM28" s="2" t="s">
        <v>42</v>
      </c>
      <c r="EN28" s="2"/>
      <c r="EO28" s="2" t="s">
        <v>43</v>
      </c>
      <c r="EP28" s="2"/>
      <c r="EQ28" s="2">
        <v>0</v>
      </c>
      <c r="ER28" s="2">
        <v>4025.25</v>
      </c>
      <c r="ES28" s="2">
        <v>233.06</v>
      </c>
      <c r="ET28" s="2">
        <v>1799.96</v>
      </c>
      <c r="EU28" s="2">
        <v>222.41</v>
      </c>
      <c r="EV28" s="2">
        <v>1992.23</v>
      </c>
      <c r="EW28" s="2">
        <v>219.65</v>
      </c>
      <c r="EX28" s="2">
        <v>15.49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39"/>
        <v>0</v>
      </c>
      <c r="FS28" s="2">
        <v>0</v>
      </c>
      <c r="FT28" s="2" t="s">
        <v>25</v>
      </c>
      <c r="FU28" s="2" t="s">
        <v>26</v>
      </c>
      <c r="FV28" s="2"/>
      <c r="FW28" s="2"/>
      <c r="FX28" s="2">
        <v>81</v>
      </c>
      <c r="FY28" s="2">
        <v>72.25</v>
      </c>
      <c r="FZ28" s="2"/>
      <c r="GA28" s="2" t="s">
        <v>6</v>
      </c>
      <c r="GB28" s="2"/>
      <c r="GC28" s="2"/>
      <c r="GD28" s="2">
        <v>1</v>
      </c>
      <c r="GE28" s="2"/>
      <c r="GF28" s="2">
        <v>-602027100</v>
      </c>
      <c r="GG28" s="2">
        <v>2</v>
      </c>
      <c r="GH28" s="2">
        <v>1</v>
      </c>
      <c r="GI28" s="2">
        <v>-2</v>
      </c>
      <c r="GJ28" s="2">
        <v>0</v>
      </c>
      <c r="GK28" s="2">
        <v>0</v>
      </c>
      <c r="GL28" s="2">
        <f t="shared" si="40"/>
        <v>0</v>
      </c>
      <c r="GM28" s="2">
        <f t="shared" si="41"/>
        <v>7101.01</v>
      </c>
      <c r="GN28" s="2">
        <f t="shared" si="42"/>
        <v>7101.01</v>
      </c>
      <c r="GO28" s="2">
        <f t="shared" si="43"/>
        <v>0</v>
      </c>
      <c r="GP28" s="2">
        <f t="shared" si="44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45"/>
        <v>0</v>
      </c>
      <c r="GW28" s="2">
        <v>1</v>
      </c>
      <c r="GX28" s="2">
        <f t="shared" si="46"/>
        <v>0</v>
      </c>
      <c r="GY28" s="2"/>
      <c r="GZ28" s="2"/>
      <c r="HA28" s="2">
        <v>0</v>
      </c>
      <c r="HB28" s="2">
        <v>0</v>
      </c>
      <c r="HC28" s="2">
        <f t="shared" si="47"/>
        <v>0</v>
      </c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ROW(SmtRes!A44)</f>
        <v>44</v>
      </c>
      <c r="D29">
        <f>ROW(EtalonRes!A54)</f>
        <v>54</v>
      </c>
      <c r="E29" t="s">
        <v>34</v>
      </c>
      <c r="F29" t="s">
        <v>35</v>
      </c>
      <c r="G29" t="s">
        <v>36</v>
      </c>
      <c r="H29" t="s">
        <v>37</v>
      </c>
      <c r="I29">
        <v>1.4127400000000001</v>
      </c>
      <c r="J29">
        <v>0</v>
      </c>
      <c r="O29">
        <f t="shared" si="14"/>
        <v>25388.62</v>
      </c>
      <c r="P29">
        <f t="shared" si="15"/>
        <v>0</v>
      </c>
      <c r="Q29">
        <f t="shared" si="16"/>
        <v>12050.69</v>
      </c>
      <c r="R29">
        <f t="shared" si="17"/>
        <v>1489.03</v>
      </c>
      <c r="S29">
        <f t="shared" si="18"/>
        <v>13337.93</v>
      </c>
      <c r="T29">
        <f t="shared" si="19"/>
        <v>0</v>
      </c>
      <c r="U29">
        <f t="shared" si="20"/>
        <v>217.21583870000001</v>
      </c>
      <c r="V29">
        <f t="shared" si="21"/>
        <v>15.31833982</v>
      </c>
      <c r="W29">
        <f t="shared" si="22"/>
        <v>0</v>
      </c>
      <c r="X29">
        <f t="shared" si="23"/>
        <v>12009.84</v>
      </c>
      <c r="Y29">
        <f t="shared" si="24"/>
        <v>10675.41</v>
      </c>
      <c r="AA29">
        <v>16856228</v>
      </c>
      <c r="AB29">
        <f t="shared" si="25"/>
        <v>2654.5329999999999</v>
      </c>
      <c r="AC29">
        <f>ROUND(((ES29*0)),6)</f>
        <v>0</v>
      </c>
      <c r="AD29">
        <f>ROUND(((((ET29*0.7))-((EU29*0.7)))+AE29),6)</f>
        <v>1259.972</v>
      </c>
      <c r="AE29">
        <f>ROUND(((EU29*0.7)),6)</f>
        <v>155.68700000000001</v>
      </c>
      <c r="AF29">
        <f>ROUND(((EV29*0.7)),6)</f>
        <v>1394.5609999999999</v>
      </c>
      <c r="AG29">
        <f t="shared" si="26"/>
        <v>0</v>
      </c>
      <c r="AH29">
        <f>((EW29*0.7))</f>
        <v>153.755</v>
      </c>
      <c r="AI29">
        <f>((EX29*0.7))</f>
        <v>10.843</v>
      </c>
      <c r="AJ29">
        <f t="shared" si="27"/>
        <v>0</v>
      </c>
      <c r="AK29">
        <v>4025.25</v>
      </c>
      <c r="AL29">
        <v>233.06</v>
      </c>
      <c r="AM29">
        <v>1799.96</v>
      </c>
      <c r="AN29">
        <v>222.41</v>
      </c>
      <c r="AO29">
        <v>1992.23</v>
      </c>
      <c r="AP29">
        <v>0</v>
      </c>
      <c r="AQ29">
        <v>219.65</v>
      </c>
      <c r="AR29">
        <v>15.49</v>
      </c>
      <c r="AS29">
        <v>0</v>
      </c>
      <c r="AT29">
        <v>81</v>
      </c>
      <c r="AU29">
        <v>72</v>
      </c>
      <c r="AV29">
        <v>1</v>
      </c>
      <c r="AW29">
        <v>1</v>
      </c>
      <c r="AZ29">
        <v>6.77</v>
      </c>
      <c r="BA29">
        <v>6.77</v>
      </c>
      <c r="BB29">
        <v>6.77</v>
      </c>
      <c r="BC29">
        <v>6.77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38</v>
      </c>
      <c r="BM29">
        <v>9001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6.77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90</v>
      </c>
      <c r="CA29">
        <v>85</v>
      </c>
      <c r="CE29">
        <v>0</v>
      </c>
      <c r="CF29">
        <v>0</v>
      </c>
      <c r="CG29">
        <v>0</v>
      </c>
      <c r="CM29">
        <v>0</v>
      </c>
      <c r="CN29" t="s">
        <v>39</v>
      </c>
      <c r="CO29">
        <v>0</v>
      </c>
      <c r="CP29">
        <f t="shared" si="28"/>
        <v>25388.620000000003</v>
      </c>
      <c r="CQ29">
        <f t="shared" si="29"/>
        <v>0</v>
      </c>
      <c r="CR29">
        <f t="shared" si="30"/>
        <v>8530.01044</v>
      </c>
      <c r="CS29">
        <f t="shared" si="31"/>
        <v>1054.00099</v>
      </c>
      <c r="CT29">
        <f t="shared" si="32"/>
        <v>9441.1779699999988</v>
      </c>
      <c r="CU29">
        <f t="shared" si="33"/>
        <v>0</v>
      </c>
      <c r="CV29">
        <f t="shared" si="34"/>
        <v>153.755</v>
      </c>
      <c r="CW29">
        <f t="shared" si="35"/>
        <v>10.843</v>
      </c>
      <c r="CX29">
        <f t="shared" si="36"/>
        <v>0</v>
      </c>
      <c r="CY29">
        <f t="shared" si="37"/>
        <v>12009.837600000001</v>
      </c>
      <c r="CZ29">
        <f t="shared" si="38"/>
        <v>10675.4112</v>
      </c>
      <c r="DC29" t="s">
        <v>6</v>
      </c>
      <c r="DD29" t="s">
        <v>19</v>
      </c>
      <c r="DE29" t="s">
        <v>40</v>
      </c>
      <c r="DF29" t="s">
        <v>40</v>
      </c>
      <c r="DG29" t="s">
        <v>40</v>
      </c>
      <c r="DH29" t="s">
        <v>6</v>
      </c>
      <c r="DI29" t="s">
        <v>40</v>
      </c>
      <c r="DJ29" t="s">
        <v>40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1009</v>
      </c>
      <c r="DV29" t="s">
        <v>37</v>
      </c>
      <c r="DW29" t="s">
        <v>37</v>
      </c>
      <c r="DX29">
        <v>1000</v>
      </c>
      <c r="EE29">
        <v>16510486</v>
      </c>
      <c r="EF29">
        <v>2</v>
      </c>
      <c r="EG29" t="s">
        <v>21</v>
      </c>
      <c r="EH29">
        <v>0</v>
      </c>
      <c r="EI29" t="s">
        <v>6</v>
      </c>
      <c r="EJ29">
        <v>1</v>
      </c>
      <c r="EK29">
        <v>9001</v>
      </c>
      <c r="EL29" t="s">
        <v>41</v>
      </c>
      <c r="EM29" t="s">
        <v>42</v>
      </c>
      <c r="EO29" t="s">
        <v>43</v>
      </c>
      <c r="EQ29">
        <v>0</v>
      </c>
      <c r="ER29">
        <v>4025.25</v>
      </c>
      <c r="ES29">
        <v>233.06</v>
      </c>
      <c r="ET29">
        <v>1799.96</v>
      </c>
      <c r="EU29">
        <v>222.41</v>
      </c>
      <c r="EV29">
        <v>1992.23</v>
      </c>
      <c r="EW29">
        <v>219.65</v>
      </c>
      <c r="EX29">
        <v>15.49</v>
      </c>
      <c r="EY29">
        <v>0</v>
      </c>
      <c r="FQ29">
        <v>0</v>
      </c>
      <c r="FR29">
        <f t="shared" si="39"/>
        <v>0</v>
      </c>
      <c r="FS29">
        <v>0</v>
      </c>
      <c r="FT29" t="s">
        <v>25</v>
      </c>
      <c r="FU29" t="s">
        <v>26</v>
      </c>
      <c r="FX29">
        <v>81</v>
      </c>
      <c r="FY29">
        <v>72.25</v>
      </c>
      <c r="GA29" t="s">
        <v>6</v>
      </c>
      <c r="GD29">
        <v>1</v>
      </c>
      <c r="GF29">
        <v>-602027100</v>
      </c>
      <c r="GG29">
        <v>1</v>
      </c>
      <c r="GH29">
        <v>1</v>
      </c>
      <c r="GI29">
        <v>4</v>
      </c>
      <c r="GJ29">
        <v>0</v>
      </c>
      <c r="GK29">
        <v>0</v>
      </c>
      <c r="GL29">
        <f t="shared" si="40"/>
        <v>0</v>
      </c>
      <c r="GM29">
        <f t="shared" si="41"/>
        <v>48073.87</v>
      </c>
      <c r="GN29">
        <f t="shared" si="42"/>
        <v>48073.87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6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HC29">
        <f t="shared" si="47"/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ROW(SmtRes!A46)</f>
        <v>46</v>
      </c>
      <c r="D30" s="2">
        <f>ROW(EtalonRes!A57)</f>
        <v>57</v>
      </c>
      <c r="E30" s="2" t="s">
        <v>44</v>
      </c>
      <c r="F30" s="2" t="s">
        <v>45</v>
      </c>
      <c r="G30" s="2" t="s">
        <v>46</v>
      </c>
      <c r="H30" s="2" t="s">
        <v>47</v>
      </c>
      <c r="I30" s="2">
        <f>ROUND(176.32/100,9)</f>
        <v>1.7632000000000001</v>
      </c>
      <c r="J30" s="2">
        <v>0</v>
      </c>
      <c r="K30" s="2"/>
      <c r="L30" s="2"/>
      <c r="M30" s="2"/>
      <c r="N30" s="2"/>
      <c r="O30" s="2">
        <f t="shared" si="14"/>
        <v>125.5</v>
      </c>
      <c r="P30" s="2">
        <f t="shared" si="15"/>
        <v>0</v>
      </c>
      <c r="Q30" s="2">
        <f t="shared" si="16"/>
        <v>0.35</v>
      </c>
      <c r="R30" s="2">
        <f t="shared" si="17"/>
        <v>0</v>
      </c>
      <c r="S30" s="2">
        <f t="shared" si="18"/>
        <v>125.15</v>
      </c>
      <c r="T30" s="2">
        <f t="shared" si="19"/>
        <v>0</v>
      </c>
      <c r="U30" s="2">
        <f t="shared" si="20"/>
        <v>16.045120000000001</v>
      </c>
      <c r="V30" s="2">
        <f t="shared" si="21"/>
        <v>0</v>
      </c>
      <c r="W30" s="2">
        <f t="shared" si="22"/>
        <v>0</v>
      </c>
      <c r="X30" s="2">
        <f t="shared" si="23"/>
        <v>103.87</v>
      </c>
      <c r="Y30" s="2">
        <f t="shared" si="24"/>
        <v>81.349999999999994</v>
      </c>
      <c r="Z30" s="2"/>
      <c r="AA30" s="2">
        <v>16856227</v>
      </c>
      <c r="AB30" s="2">
        <f t="shared" si="25"/>
        <v>71.180000000000007</v>
      </c>
      <c r="AC30" s="2">
        <f t="shared" ref="AC30:AC77" si="48">ROUND((ES30),6)</f>
        <v>0</v>
      </c>
      <c r="AD30" s="2">
        <f>ROUND((((ET30)-(EU30))+AE30),6)</f>
        <v>0.2</v>
      </c>
      <c r="AE30" s="2">
        <f>ROUND((EU30),6)</f>
        <v>0</v>
      </c>
      <c r="AF30" s="2">
        <f>ROUND((EV30),6)</f>
        <v>70.98</v>
      </c>
      <c r="AG30" s="2">
        <f t="shared" si="26"/>
        <v>0</v>
      </c>
      <c r="AH30" s="2">
        <f>(EW30)</f>
        <v>9.1</v>
      </c>
      <c r="AI30" s="2">
        <f>(EX30)</f>
        <v>0</v>
      </c>
      <c r="AJ30" s="2">
        <f t="shared" si="27"/>
        <v>0</v>
      </c>
      <c r="AK30" s="2">
        <v>71.180000000000007</v>
      </c>
      <c r="AL30" s="2">
        <v>0</v>
      </c>
      <c r="AM30" s="2">
        <v>0.2</v>
      </c>
      <c r="AN30" s="2">
        <v>0</v>
      </c>
      <c r="AO30" s="2">
        <v>70.98</v>
      </c>
      <c r="AP30" s="2">
        <v>0</v>
      </c>
      <c r="AQ30" s="2">
        <v>9.1</v>
      </c>
      <c r="AR30" s="2">
        <v>0</v>
      </c>
      <c r="AS30" s="2">
        <v>0</v>
      </c>
      <c r="AT30" s="2">
        <v>83</v>
      </c>
      <c r="AU30" s="2">
        <v>65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48</v>
      </c>
      <c r="BK30" s="2"/>
      <c r="BL30" s="2"/>
      <c r="BM30" s="2">
        <v>58001</v>
      </c>
      <c r="BN30" s="2">
        <v>0</v>
      </c>
      <c r="BO30" s="2" t="s">
        <v>6</v>
      </c>
      <c r="BP30" s="2">
        <v>0</v>
      </c>
      <c r="BQ30" s="2">
        <v>6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83</v>
      </c>
      <c r="CA30" s="2">
        <v>65</v>
      </c>
      <c r="CB30" s="2"/>
      <c r="CC30" s="2"/>
      <c r="CD30" s="2"/>
      <c r="CE30" s="2">
        <v>0</v>
      </c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28"/>
        <v>125.5</v>
      </c>
      <c r="CQ30" s="2">
        <f t="shared" si="29"/>
        <v>0</v>
      </c>
      <c r="CR30" s="2">
        <f t="shared" si="30"/>
        <v>0.2</v>
      </c>
      <c r="CS30" s="2">
        <f t="shared" si="31"/>
        <v>0</v>
      </c>
      <c r="CT30" s="2">
        <f t="shared" si="32"/>
        <v>70.98</v>
      </c>
      <c r="CU30" s="2">
        <f t="shared" si="33"/>
        <v>0</v>
      </c>
      <c r="CV30" s="2">
        <f t="shared" si="34"/>
        <v>9.1</v>
      </c>
      <c r="CW30" s="2">
        <f t="shared" si="35"/>
        <v>0</v>
      </c>
      <c r="CX30" s="2">
        <f t="shared" si="36"/>
        <v>0</v>
      </c>
      <c r="CY30" s="2">
        <f t="shared" si="37"/>
        <v>103.87450000000001</v>
      </c>
      <c r="CZ30" s="2">
        <f t="shared" si="38"/>
        <v>81.347499999999997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47</v>
      </c>
      <c r="DW30" s="2" t="s">
        <v>47</v>
      </c>
      <c r="DX30" s="2">
        <v>100</v>
      </c>
      <c r="DY30" s="2"/>
      <c r="DZ30" s="2"/>
      <c r="EA30" s="2"/>
      <c r="EB30" s="2"/>
      <c r="EC30" s="2"/>
      <c r="ED30" s="2"/>
      <c r="EE30" s="2">
        <v>16510567</v>
      </c>
      <c r="EF30" s="2">
        <v>6</v>
      </c>
      <c r="EG30" s="2" t="s">
        <v>49</v>
      </c>
      <c r="EH30" s="2">
        <v>0</v>
      </c>
      <c r="EI30" s="2" t="s">
        <v>6</v>
      </c>
      <c r="EJ30" s="2">
        <v>1</v>
      </c>
      <c r="EK30" s="2">
        <v>58001</v>
      </c>
      <c r="EL30" s="2" t="s">
        <v>50</v>
      </c>
      <c r="EM30" s="2" t="s">
        <v>51</v>
      </c>
      <c r="EN30" s="2"/>
      <c r="EO30" s="2" t="s">
        <v>6</v>
      </c>
      <c r="EP30" s="2"/>
      <c r="EQ30" s="2">
        <v>0</v>
      </c>
      <c r="ER30" s="2">
        <v>71.180000000000007</v>
      </c>
      <c r="ES30" s="2">
        <v>0</v>
      </c>
      <c r="ET30" s="2">
        <v>0.2</v>
      </c>
      <c r="EU30" s="2">
        <v>0</v>
      </c>
      <c r="EV30" s="2">
        <v>70.98</v>
      </c>
      <c r="EW30" s="2">
        <v>9.1</v>
      </c>
      <c r="EX30" s="2">
        <v>0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39"/>
        <v>0</v>
      </c>
      <c r="FS30" s="2">
        <v>0</v>
      </c>
      <c r="FT30" s="2"/>
      <c r="FU30" s="2"/>
      <c r="FV30" s="2"/>
      <c r="FW30" s="2"/>
      <c r="FX30" s="2">
        <v>83</v>
      </c>
      <c r="FY30" s="2">
        <v>65</v>
      </c>
      <c r="FZ30" s="2"/>
      <c r="GA30" s="2" t="s">
        <v>6</v>
      </c>
      <c r="GB30" s="2"/>
      <c r="GC30" s="2"/>
      <c r="GD30" s="2">
        <v>1</v>
      </c>
      <c r="GE30" s="2"/>
      <c r="GF30" s="2">
        <v>-902764851</v>
      </c>
      <c r="GG30" s="2">
        <v>2</v>
      </c>
      <c r="GH30" s="2">
        <v>1</v>
      </c>
      <c r="GI30" s="2">
        <v>-2</v>
      </c>
      <c r="GJ30" s="2">
        <v>0</v>
      </c>
      <c r="GK30" s="2">
        <v>0</v>
      </c>
      <c r="GL30" s="2">
        <f t="shared" si="40"/>
        <v>0</v>
      </c>
      <c r="GM30" s="2">
        <f t="shared" si="41"/>
        <v>310.72000000000003</v>
      </c>
      <c r="GN30" s="2">
        <f t="shared" si="42"/>
        <v>310.72000000000003</v>
      </c>
      <c r="GO30" s="2">
        <f t="shared" si="43"/>
        <v>0</v>
      </c>
      <c r="GP30" s="2">
        <f t="shared" si="44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5"/>
        <v>0</v>
      </c>
      <c r="GW30" s="2">
        <v>1</v>
      </c>
      <c r="GX30" s="2">
        <f t="shared" si="46"/>
        <v>0</v>
      </c>
      <c r="GY30" s="2"/>
      <c r="GZ30" s="2"/>
      <c r="HA30" s="2">
        <v>0</v>
      </c>
      <c r="HB30" s="2">
        <v>0</v>
      </c>
      <c r="HC30" s="2">
        <f t="shared" si="47"/>
        <v>0</v>
      </c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ROW(SmtRes!A48)</f>
        <v>48</v>
      </c>
      <c r="D31">
        <f>ROW(EtalonRes!A60)</f>
        <v>60</v>
      </c>
      <c r="E31" t="s">
        <v>44</v>
      </c>
      <c r="F31" t="s">
        <v>45</v>
      </c>
      <c r="G31" t="s">
        <v>46</v>
      </c>
      <c r="H31" t="s">
        <v>47</v>
      </c>
      <c r="I31">
        <f>ROUND(176.32/100,9)</f>
        <v>1.7632000000000001</v>
      </c>
      <c r="J31">
        <v>0</v>
      </c>
      <c r="O31">
        <f t="shared" si="14"/>
        <v>849.67</v>
      </c>
      <c r="P31">
        <f t="shared" si="15"/>
        <v>0</v>
      </c>
      <c r="Q31">
        <f t="shared" si="16"/>
        <v>2.39</v>
      </c>
      <c r="R31">
        <f t="shared" si="17"/>
        <v>0</v>
      </c>
      <c r="S31">
        <f t="shared" si="18"/>
        <v>847.28</v>
      </c>
      <c r="T31">
        <f t="shared" si="19"/>
        <v>0</v>
      </c>
      <c r="U31">
        <f t="shared" si="20"/>
        <v>16.045120000000001</v>
      </c>
      <c r="V31">
        <f t="shared" si="21"/>
        <v>0</v>
      </c>
      <c r="W31">
        <f t="shared" si="22"/>
        <v>0</v>
      </c>
      <c r="X31">
        <f t="shared" si="23"/>
        <v>703.24</v>
      </c>
      <c r="Y31">
        <f t="shared" si="24"/>
        <v>550.73</v>
      </c>
      <c r="AA31">
        <v>16856228</v>
      </c>
      <c r="AB31">
        <f t="shared" si="25"/>
        <v>71.180000000000007</v>
      </c>
      <c r="AC31">
        <f t="shared" si="48"/>
        <v>0</v>
      </c>
      <c r="AD31">
        <f>ROUND((((ET31)-(EU31))+AE31),6)</f>
        <v>0.2</v>
      </c>
      <c r="AE31">
        <f>ROUND((EU31),6)</f>
        <v>0</v>
      </c>
      <c r="AF31">
        <f>ROUND((EV31),6)</f>
        <v>70.98</v>
      </c>
      <c r="AG31">
        <f t="shared" si="26"/>
        <v>0</v>
      </c>
      <c r="AH31">
        <f>(EW31)</f>
        <v>9.1</v>
      </c>
      <c r="AI31">
        <f>(EX31)</f>
        <v>0</v>
      </c>
      <c r="AJ31">
        <f t="shared" si="27"/>
        <v>0</v>
      </c>
      <c r="AK31">
        <v>71.180000000000007</v>
      </c>
      <c r="AL31">
        <v>0</v>
      </c>
      <c r="AM31">
        <v>0.2</v>
      </c>
      <c r="AN31">
        <v>0</v>
      </c>
      <c r="AO31">
        <v>70.98</v>
      </c>
      <c r="AP31">
        <v>0</v>
      </c>
      <c r="AQ31">
        <v>9.1</v>
      </c>
      <c r="AR31">
        <v>0</v>
      </c>
      <c r="AS31">
        <v>0</v>
      </c>
      <c r="AT31">
        <v>83</v>
      </c>
      <c r="AU31">
        <v>65</v>
      </c>
      <c r="AV31">
        <v>1</v>
      </c>
      <c r="AW31">
        <v>1</v>
      </c>
      <c r="AZ31">
        <v>6.77</v>
      </c>
      <c r="BA31">
        <v>6.77</v>
      </c>
      <c r="BB31">
        <v>6.77</v>
      </c>
      <c r="BC31">
        <v>6.77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48</v>
      </c>
      <c r="BM31">
        <v>58001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6.77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83</v>
      </c>
      <c r="CA31">
        <v>65</v>
      </c>
      <c r="CE31">
        <v>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28"/>
        <v>849.67</v>
      </c>
      <c r="CQ31">
        <f t="shared" si="29"/>
        <v>0</v>
      </c>
      <c r="CR31">
        <f t="shared" si="30"/>
        <v>1.3540000000000001</v>
      </c>
      <c r="CS31">
        <f t="shared" si="31"/>
        <v>0</v>
      </c>
      <c r="CT31">
        <f t="shared" si="32"/>
        <v>480.53460000000001</v>
      </c>
      <c r="CU31">
        <f t="shared" si="33"/>
        <v>0</v>
      </c>
      <c r="CV31">
        <f t="shared" si="34"/>
        <v>9.1</v>
      </c>
      <c r="CW31">
        <f t="shared" si="35"/>
        <v>0</v>
      </c>
      <c r="CX31">
        <f t="shared" si="36"/>
        <v>0</v>
      </c>
      <c r="CY31">
        <f t="shared" si="37"/>
        <v>703.24239999999986</v>
      </c>
      <c r="CZ31">
        <f t="shared" si="38"/>
        <v>550.73199999999997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47</v>
      </c>
      <c r="DW31" t="s">
        <v>47</v>
      </c>
      <c r="DX31">
        <v>100</v>
      </c>
      <c r="EE31">
        <v>16510567</v>
      </c>
      <c r="EF31">
        <v>6</v>
      </c>
      <c r="EG31" t="s">
        <v>49</v>
      </c>
      <c r="EH31">
        <v>0</v>
      </c>
      <c r="EI31" t="s">
        <v>6</v>
      </c>
      <c r="EJ31">
        <v>1</v>
      </c>
      <c r="EK31">
        <v>58001</v>
      </c>
      <c r="EL31" t="s">
        <v>50</v>
      </c>
      <c r="EM31" t="s">
        <v>51</v>
      </c>
      <c r="EO31" t="s">
        <v>6</v>
      </c>
      <c r="EQ31">
        <v>0</v>
      </c>
      <c r="ER31">
        <v>71.180000000000007</v>
      </c>
      <c r="ES31">
        <v>0</v>
      </c>
      <c r="ET31">
        <v>0.2</v>
      </c>
      <c r="EU31">
        <v>0</v>
      </c>
      <c r="EV31">
        <v>70.98</v>
      </c>
      <c r="EW31">
        <v>9.1</v>
      </c>
      <c r="EX31">
        <v>0</v>
      </c>
      <c r="EY31">
        <v>0</v>
      </c>
      <c r="FQ31">
        <v>0</v>
      </c>
      <c r="FR31">
        <f t="shared" si="39"/>
        <v>0</v>
      </c>
      <c r="FS31">
        <v>0</v>
      </c>
      <c r="FX31">
        <v>83</v>
      </c>
      <c r="FY31">
        <v>65</v>
      </c>
      <c r="GA31" t="s">
        <v>6</v>
      </c>
      <c r="GD31">
        <v>1</v>
      </c>
      <c r="GF31">
        <v>-902764851</v>
      </c>
      <c r="GG31">
        <v>1</v>
      </c>
      <c r="GH31">
        <v>1</v>
      </c>
      <c r="GI31">
        <v>4</v>
      </c>
      <c r="GJ31">
        <v>0</v>
      </c>
      <c r="GK31">
        <v>0</v>
      </c>
      <c r="GL31">
        <f t="shared" si="40"/>
        <v>0</v>
      </c>
      <c r="GM31">
        <f t="shared" si="41"/>
        <v>2103.64</v>
      </c>
      <c r="GN31">
        <f t="shared" si="42"/>
        <v>2103.64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6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HC31">
        <f t="shared" si="47"/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ROW(SmtRes!A59)</f>
        <v>59</v>
      </c>
      <c r="D32" s="2">
        <f>ROW(EtalonRes!A71)</f>
        <v>71</v>
      </c>
      <c r="E32" s="2" t="s">
        <v>52</v>
      </c>
      <c r="F32" s="2" t="s">
        <v>53</v>
      </c>
      <c r="G32" s="2" t="s">
        <v>54</v>
      </c>
      <c r="H32" s="2" t="s">
        <v>30</v>
      </c>
      <c r="I32" s="2">
        <f>ROUND(294.4/100,9)</f>
        <v>2.944</v>
      </c>
      <c r="J32" s="2">
        <v>0</v>
      </c>
      <c r="K32" s="2"/>
      <c r="L32" s="2"/>
      <c r="M32" s="2"/>
      <c r="N32" s="2"/>
      <c r="O32" s="2">
        <f t="shared" si="14"/>
        <v>30521.15</v>
      </c>
      <c r="P32" s="2">
        <f t="shared" si="15"/>
        <v>25168.31</v>
      </c>
      <c r="Q32" s="2">
        <f t="shared" si="16"/>
        <v>939.17</v>
      </c>
      <c r="R32" s="2">
        <f t="shared" si="17"/>
        <v>185.18</v>
      </c>
      <c r="S32" s="2">
        <f t="shared" si="18"/>
        <v>4413.67</v>
      </c>
      <c r="T32" s="2">
        <f t="shared" si="19"/>
        <v>0</v>
      </c>
      <c r="U32" s="2">
        <f t="shared" si="20"/>
        <v>504.99609599999997</v>
      </c>
      <c r="V32" s="2">
        <f t="shared" si="21"/>
        <v>15.566400000000002</v>
      </c>
      <c r="W32" s="2">
        <f t="shared" si="22"/>
        <v>0</v>
      </c>
      <c r="X32" s="2">
        <f t="shared" si="23"/>
        <v>4874.78</v>
      </c>
      <c r="Y32" s="2">
        <f t="shared" si="24"/>
        <v>2483.38</v>
      </c>
      <c r="Z32" s="2"/>
      <c r="AA32" s="2">
        <v>16856227</v>
      </c>
      <c r="AB32" s="2">
        <f t="shared" si="25"/>
        <v>10367.2415</v>
      </c>
      <c r="AC32" s="2">
        <f t="shared" si="48"/>
        <v>8549.02</v>
      </c>
      <c r="AD32" s="2">
        <f>ROUND(((((ET32*1.25))-((EU32*1.25)))+AE32),6)</f>
        <v>319.01249999999999</v>
      </c>
      <c r="AE32" s="2">
        <f>ROUND(((EU32*1.25)),6)</f>
        <v>62.9</v>
      </c>
      <c r="AF32" s="2">
        <f>ROUND(((EV32*1.15)),6)</f>
        <v>1499.2090000000001</v>
      </c>
      <c r="AG32" s="2">
        <f t="shared" si="26"/>
        <v>0</v>
      </c>
      <c r="AH32" s="2">
        <f>((EW32*1.15))</f>
        <v>171.53399999999999</v>
      </c>
      <c r="AI32" s="2">
        <f>((EX32*1.25))</f>
        <v>5.2875000000000005</v>
      </c>
      <c r="AJ32" s="2">
        <f t="shared" si="27"/>
        <v>0</v>
      </c>
      <c r="AK32" s="2">
        <v>10107.89</v>
      </c>
      <c r="AL32" s="2">
        <v>8549.02</v>
      </c>
      <c r="AM32" s="2">
        <v>255.21</v>
      </c>
      <c r="AN32" s="2">
        <v>50.32</v>
      </c>
      <c r="AO32" s="2">
        <v>1303.6600000000001</v>
      </c>
      <c r="AP32" s="2">
        <v>0</v>
      </c>
      <c r="AQ32" s="2">
        <v>149.16</v>
      </c>
      <c r="AR32" s="2">
        <v>4.2300000000000004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55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>
        <v>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450</v>
      </c>
      <c r="CO32" s="2">
        <v>0</v>
      </c>
      <c r="CP32" s="2">
        <f t="shared" si="28"/>
        <v>30521.15</v>
      </c>
      <c r="CQ32" s="2">
        <f t="shared" si="29"/>
        <v>8549.02</v>
      </c>
      <c r="CR32" s="2">
        <f t="shared" si="30"/>
        <v>319.01249999999999</v>
      </c>
      <c r="CS32" s="2">
        <f t="shared" si="31"/>
        <v>62.9</v>
      </c>
      <c r="CT32" s="2">
        <f t="shared" si="32"/>
        <v>1499.2090000000001</v>
      </c>
      <c r="CU32" s="2">
        <f t="shared" si="33"/>
        <v>0</v>
      </c>
      <c r="CV32" s="2">
        <f t="shared" si="34"/>
        <v>171.53399999999999</v>
      </c>
      <c r="CW32" s="2">
        <f t="shared" si="35"/>
        <v>5.2875000000000005</v>
      </c>
      <c r="CX32" s="2">
        <f t="shared" si="36"/>
        <v>0</v>
      </c>
      <c r="CY32" s="2">
        <f t="shared" si="37"/>
        <v>4874.7809999999999</v>
      </c>
      <c r="CZ32" s="2">
        <f t="shared" si="38"/>
        <v>2483.3790000000004</v>
      </c>
      <c r="DA32" s="2"/>
      <c r="DB32" s="2"/>
      <c r="DC32" s="2" t="s">
        <v>6</v>
      </c>
      <c r="DD32" s="2" t="s">
        <v>6</v>
      </c>
      <c r="DE32" s="2" t="s">
        <v>56</v>
      </c>
      <c r="DF32" s="2" t="s">
        <v>56</v>
      </c>
      <c r="DG32" s="2" t="s">
        <v>57</v>
      </c>
      <c r="DH32" s="2" t="s">
        <v>6</v>
      </c>
      <c r="DI32" s="2" t="s">
        <v>57</v>
      </c>
      <c r="DJ32" s="2" t="s">
        <v>56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30</v>
      </c>
      <c r="DW32" s="2" t="s">
        <v>30</v>
      </c>
      <c r="DX32" s="2">
        <v>100</v>
      </c>
      <c r="DY32" s="2"/>
      <c r="DZ32" s="2"/>
      <c r="EA32" s="2"/>
      <c r="EB32" s="2"/>
      <c r="EC32" s="2"/>
      <c r="ED32" s="2"/>
      <c r="EE32" s="2">
        <v>16510487</v>
      </c>
      <c r="EF32" s="2">
        <v>2</v>
      </c>
      <c r="EG32" s="2" t="s">
        <v>21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58</v>
      </c>
      <c r="EM32" s="2" t="s">
        <v>59</v>
      </c>
      <c r="EN32" s="2"/>
      <c r="EO32" s="2" t="s">
        <v>60</v>
      </c>
      <c r="EP32" s="2"/>
      <c r="EQ32" s="2">
        <v>0</v>
      </c>
      <c r="ER32" s="2">
        <v>10107.89</v>
      </c>
      <c r="ES32" s="2">
        <v>8549.02</v>
      </c>
      <c r="ET32" s="2">
        <v>255.21</v>
      </c>
      <c r="EU32" s="2">
        <v>50.32</v>
      </c>
      <c r="EV32" s="2">
        <v>1303.6600000000001</v>
      </c>
      <c r="EW32" s="2">
        <v>149.16</v>
      </c>
      <c r="EX32" s="2">
        <v>4.2300000000000004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39"/>
        <v>0</v>
      </c>
      <c r="FS32" s="2">
        <v>0</v>
      </c>
      <c r="FT32" s="2" t="s">
        <v>25</v>
      </c>
      <c r="FU32" s="2" t="s">
        <v>26</v>
      </c>
      <c r="FV32" s="2"/>
      <c r="FW32" s="2"/>
      <c r="FX32" s="2">
        <v>106.2</v>
      </c>
      <c r="FY32" s="2">
        <v>53.55</v>
      </c>
      <c r="FZ32" s="2"/>
      <c r="GA32" s="2" t="s">
        <v>6</v>
      </c>
      <c r="GB32" s="2"/>
      <c r="GC32" s="2"/>
      <c r="GD32" s="2">
        <v>1</v>
      </c>
      <c r="GE32" s="2"/>
      <c r="GF32" s="2">
        <v>-330529066</v>
      </c>
      <c r="GG32" s="2">
        <v>2</v>
      </c>
      <c r="GH32" s="2">
        <v>1</v>
      </c>
      <c r="GI32" s="2">
        <v>-2</v>
      </c>
      <c r="GJ32" s="2">
        <v>0</v>
      </c>
      <c r="GK32" s="2">
        <v>0</v>
      </c>
      <c r="GL32" s="2">
        <f t="shared" si="40"/>
        <v>0</v>
      </c>
      <c r="GM32" s="2">
        <f t="shared" si="41"/>
        <v>37879.31</v>
      </c>
      <c r="GN32" s="2">
        <f t="shared" si="42"/>
        <v>37879.31</v>
      </c>
      <c r="GO32" s="2">
        <f t="shared" si="43"/>
        <v>0</v>
      </c>
      <c r="GP32" s="2">
        <f t="shared" si="44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45"/>
        <v>0</v>
      </c>
      <c r="GW32" s="2">
        <v>1</v>
      </c>
      <c r="GX32" s="2">
        <f t="shared" si="46"/>
        <v>0</v>
      </c>
      <c r="GY32" s="2"/>
      <c r="GZ32" s="2"/>
      <c r="HA32" s="2">
        <v>0</v>
      </c>
      <c r="HB32" s="2">
        <v>0</v>
      </c>
      <c r="HC32" s="2">
        <f t="shared" si="47"/>
        <v>0</v>
      </c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ROW(SmtRes!A70)</f>
        <v>70</v>
      </c>
      <c r="D33">
        <f>ROW(EtalonRes!A82)</f>
        <v>82</v>
      </c>
      <c r="E33" t="s">
        <v>52</v>
      </c>
      <c r="F33" t="s">
        <v>53</v>
      </c>
      <c r="G33" t="s">
        <v>54</v>
      </c>
      <c r="H33" t="s">
        <v>30</v>
      </c>
      <c r="I33">
        <f>ROUND(294.4/100,9)</f>
        <v>2.944</v>
      </c>
      <c r="J33">
        <v>0</v>
      </c>
      <c r="O33">
        <f t="shared" si="14"/>
        <v>206628.24</v>
      </c>
      <c r="P33">
        <f t="shared" si="15"/>
        <v>170389.49</v>
      </c>
      <c r="Q33">
        <f t="shared" si="16"/>
        <v>6358.2</v>
      </c>
      <c r="R33">
        <f t="shared" si="17"/>
        <v>1253.6500000000001</v>
      </c>
      <c r="S33">
        <f t="shared" si="18"/>
        <v>29880.55</v>
      </c>
      <c r="T33">
        <f t="shared" si="19"/>
        <v>0</v>
      </c>
      <c r="U33">
        <f t="shared" si="20"/>
        <v>504.99609599999997</v>
      </c>
      <c r="V33">
        <f t="shared" si="21"/>
        <v>15.566400000000002</v>
      </c>
      <c r="W33">
        <f t="shared" si="22"/>
        <v>0</v>
      </c>
      <c r="X33">
        <f t="shared" si="23"/>
        <v>33002.25</v>
      </c>
      <c r="Y33">
        <f t="shared" si="24"/>
        <v>16812.47</v>
      </c>
      <c r="AA33">
        <v>16856228</v>
      </c>
      <c r="AB33">
        <f t="shared" si="25"/>
        <v>10367.2415</v>
      </c>
      <c r="AC33">
        <f t="shared" si="48"/>
        <v>8549.02</v>
      </c>
      <c r="AD33">
        <f>ROUND(((((ET33*1.25))-((EU33*1.25)))+AE33),6)</f>
        <v>319.01249999999999</v>
      </c>
      <c r="AE33">
        <f>ROUND(((EU33*1.25)),6)</f>
        <v>62.9</v>
      </c>
      <c r="AF33">
        <f>ROUND(((EV33*1.15)),6)</f>
        <v>1499.2090000000001</v>
      </c>
      <c r="AG33">
        <f t="shared" si="26"/>
        <v>0</v>
      </c>
      <c r="AH33">
        <f>((EW33*1.15))</f>
        <v>171.53399999999999</v>
      </c>
      <c r="AI33">
        <f>((EX33*1.25))</f>
        <v>5.2875000000000005</v>
      </c>
      <c r="AJ33">
        <f t="shared" si="27"/>
        <v>0</v>
      </c>
      <c r="AK33">
        <v>10107.89</v>
      </c>
      <c r="AL33">
        <v>8549.02</v>
      </c>
      <c r="AM33">
        <v>255.21</v>
      </c>
      <c r="AN33">
        <v>50.32</v>
      </c>
      <c r="AO33">
        <v>1303.6600000000001</v>
      </c>
      <c r="AP33">
        <v>0</v>
      </c>
      <c r="AQ33">
        <v>149.16</v>
      </c>
      <c r="AR33">
        <v>4.2300000000000004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6.77</v>
      </c>
      <c r="BA33">
        <v>6.77</v>
      </c>
      <c r="BB33">
        <v>6.77</v>
      </c>
      <c r="BC33">
        <v>6.77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55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6.77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E33">
        <v>0</v>
      </c>
      <c r="CF33">
        <v>0</v>
      </c>
      <c r="CG33">
        <v>0</v>
      </c>
      <c r="CM33">
        <v>0</v>
      </c>
      <c r="CN33" t="s">
        <v>450</v>
      </c>
      <c r="CO33">
        <v>0</v>
      </c>
      <c r="CP33">
        <f t="shared" si="28"/>
        <v>206628.24</v>
      </c>
      <c r="CQ33">
        <f t="shared" si="29"/>
        <v>57876.865400000002</v>
      </c>
      <c r="CR33">
        <f t="shared" si="30"/>
        <v>2159.7146249999996</v>
      </c>
      <c r="CS33">
        <f t="shared" si="31"/>
        <v>425.83299999999997</v>
      </c>
      <c r="CT33">
        <f t="shared" si="32"/>
        <v>10149.64493</v>
      </c>
      <c r="CU33">
        <f t="shared" si="33"/>
        <v>0</v>
      </c>
      <c r="CV33">
        <f t="shared" si="34"/>
        <v>171.53399999999999</v>
      </c>
      <c r="CW33">
        <f t="shared" si="35"/>
        <v>5.2875000000000005</v>
      </c>
      <c r="CX33">
        <f t="shared" si="36"/>
        <v>0</v>
      </c>
      <c r="CY33">
        <f t="shared" si="37"/>
        <v>33002.252</v>
      </c>
      <c r="CZ33">
        <f t="shared" si="38"/>
        <v>16812.468000000001</v>
      </c>
      <c r="DC33" t="s">
        <v>6</v>
      </c>
      <c r="DD33" t="s">
        <v>6</v>
      </c>
      <c r="DE33" t="s">
        <v>56</v>
      </c>
      <c r="DF33" t="s">
        <v>56</v>
      </c>
      <c r="DG33" t="s">
        <v>57</v>
      </c>
      <c r="DH33" t="s">
        <v>6</v>
      </c>
      <c r="DI33" t="s">
        <v>57</v>
      </c>
      <c r="DJ33" t="s">
        <v>56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30</v>
      </c>
      <c r="DW33" t="s">
        <v>30</v>
      </c>
      <c r="DX33">
        <v>100</v>
      </c>
      <c r="EE33">
        <v>16510487</v>
      </c>
      <c r="EF33">
        <v>2</v>
      </c>
      <c r="EG33" t="s">
        <v>21</v>
      </c>
      <c r="EH33">
        <v>0</v>
      </c>
      <c r="EI33" t="s">
        <v>6</v>
      </c>
      <c r="EJ33">
        <v>1</v>
      </c>
      <c r="EK33">
        <v>10001</v>
      </c>
      <c r="EL33" t="s">
        <v>58</v>
      </c>
      <c r="EM33" t="s">
        <v>59</v>
      </c>
      <c r="EO33" t="s">
        <v>60</v>
      </c>
      <c r="EQ33">
        <v>0</v>
      </c>
      <c r="ER33">
        <v>10107.89</v>
      </c>
      <c r="ES33">
        <v>8549.02</v>
      </c>
      <c r="ET33">
        <v>255.21</v>
      </c>
      <c r="EU33">
        <v>50.32</v>
      </c>
      <c r="EV33">
        <v>1303.6600000000001</v>
      </c>
      <c r="EW33">
        <v>149.16</v>
      </c>
      <c r="EX33">
        <v>4.2300000000000004</v>
      </c>
      <c r="EY33">
        <v>0</v>
      </c>
      <c r="FQ33">
        <v>0</v>
      </c>
      <c r="FR33">
        <f t="shared" si="39"/>
        <v>0</v>
      </c>
      <c r="FS33">
        <v>0</v>
      </c>
      <c r="FT33" t="s">
        <v>25</v>
      </c>
      <c r="FU33" t="s">
        <v>26</v>
      </c>
      <c r="FX33">
        <v>106.2</v>
      </c>
      <c r="FY33">
        <v>53.55</v>
      </c>
      <c r="GA33" t="s">
        <v>6</v>
      </c>
      <c r="GD33">
        <v>1</v>
      </c>
      <c r="GF33">
        <v>-330529066</v>
      </c>
      <c r="GG33">
        <v>1</v>
      </c>
      <c r="GH33">
        <v>1</v>
      </c>
      <c r="GI33">
        <v>4</v>
      </c>
      <c r="GJ33">
        <v>0</v>
      </c>
      <c r="GK33">
        <v>0</v>
      </c>
      <c r="GL33">
        <f t="shared" si="40"/>
        <v>0</v>
      </c>
      <c r="GM33">
        <f t="shared" si="41"/>
        <v>256442.96</v>
      </c>
      <c r="GN33">
        <f t="shared" si="42"/>
        <v>256442.96</v>
      </c>
      <c r="GO33">
        <f t="shared" si="43"/>
        <v>0</v>
      </c>
      <c r="GP33">
        <f t="shared" si="44"/>
        <v>0</v>
      </c>
      <c r="GR33">
        <v>0</v>
      </c>
      <c r="GS33">
        <v>3</v>
      </c>
      <c r="GT33">
        <v>0</v>
      </c>
      <c r="GU33" t="s">
        <v>6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HC33">
        <f t="shared" si="47"/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59</v>
      </c>
      <c r="D34" s="2"/>
      <c r="E34" s="2" t="s">
        <v>61</v>
      </c>
      <c r="F34" s="2" t="s">
        <v>62</v>
      </c>
      <c r="G34" s="2" t="s">
        <v>63</v>
      </c>
      <c r="H34" s="2" t="s">
        <v>64</v>
      </c>
      <c r="I34" s="2">
        <f>I32*J34</f>
        <v>294.39999999999998</v>
      </c>
      <c r="J34" s="2">
        <v>100</v>
      </c>
      <c r="K34" s="2"/>
      <c r="L34" s="2"/>
      <c r="M34" s="2"/>
      <c r="N34" s="2"/>
      <c r="O34" s="2">
        <f t="shared" si="14"/>
        <v>0</v>
      </c>
      <c r="P34" s="2">
        <f t="shared" si="15"/>
        <v>0</v>
      </c>
      <c r="Q34" s="2">
        <f t="shared" si="16"/>
        <v>0</v>
      </c>
      <c r="R34" s="2">
        <f t="shared" si="17"/>
        <v>0</v>
      </c>
      <c r="S34" s="2">
        <f t="shared" si="18"/>
        <v>0</v>
      </c>
      <c r="T34" s="2">
        <f t="shared" si="19"/>
        <v>0</v>
      </c>
      <c r="U34" s="2">
        <f t="shared" si="20"/>
        <v>0</v>
      </c>
      <c r="V34" s="2">
        <f t="shared" si="21"/>
        <v>0</v>
      </c>
      <c r="W34" s="2">
        <f t="shared" si="22"/>
        <v>0</v>
      </c>
      <c r="X34" s="2">
        <f t="shared" si="23"/>
        <v>0</v>
      </c>
      <c r="Y34" s="2">
        <f t="shared" si="24"/>
        <v>0</v>
      </c>
      <c r="Z34" s="2"/>
      <c r="AA34" s="2">
        <v>16856227</v>
      </c>
      <c r="AB34" s="2">
        <f t="shared" si="25"/>
        <v>0</v>
      </c>
      <c r="AC34" s="2">
        <f t="shared" si="48"/>
        <v>0</v>
      </c>
      <c r="AD34" s="2">
        <f>ROUND((((ET34)-(EU34))+AE34),6)</f>
        <v>0</v>
      </c>
      <c r="AE34" s="2">
        <f>ROUND((EU34),6)</f>
        <v>0</v>
      </c>
      <c r="AF34" s="2">
        <f>ROUND((EV34),6)</f>
        <v>0</v>
      </c>
      <c r="AG34" s="2">
        <f t="shared" si="26"/>
        <v>0</v>
      </c>
      <c r="AH34" s="2">
        <f>(EW34)</f>
        <v>0</v>
      </c>
      <c r="AI34" s="2">
        <f>(EX34)</f>
        <v>0</v>
      </c>
      <c r="AJ34" s="2">
        <f t="shared" si="27"/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106</v>
      </c>
      <c r="AU34" s="2">
        <v>54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3</v>
      </c>
      <c r="BI34" s="2">
        <v>1</v>
      </c>
      <c r="BJ34" s="2" t="s">
        <v>6</v>
      </c>
      <c r="BK34" s="2"/>
      <c r="BL34" s="2"/>
      <c r="BM34" s="2">
        <v>10001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118</v>
      </c>
      <c r="CA34" s="2">
        <v>63</v>
      </c>
      <c r="CB34" s="2"/>
      <c r="CC34" s="2"/>
      <c r="CD34" s="2"/>
      <c r="CE34" s="2">
        <v>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28"/>
        <v>0</v>
      </c>
      <c r="CQ34" s="2">
        <f t="shared" si="29"/>
        <v>0</v>
      </c>
      <c r="CR34" s="2">
        <f t="shared" si="30"/>
        <v>0</v>
      </c>
      <c r="CS34" s="2">
        <f t="shared" si="31"/>
        <v>0</v>
      </c>
      <c r="CT34" s="2">
        <f t="shared" si="32"/>
        <v>0</v>
      </c>
      <c r="CU34" s="2">
        <f t="shared" si="33"/>
        <v>0</v>
      </c>
      <c r="CV34" s="2">
        <f t="shared" si="34"/>
        <v>0</v>
      </c>
      <c r="CW34" s="2">
        <f t="shared" si="35"/>
        <v>0</v>
      </c>
      <c r="CX34" s="2">
        <f t="shared" si="36"/>
        <v>0</v>
      </c>
      <c r="CY34" s="2">
        <f t="shared" si="37"/>
        <v>0</v>
      </c>
      <c r="CZ34" s="2">
        <f t="shared" si="38"/>
        <v>0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64</v>
      </c>
      <c r="DW34" s="2" t="s">
        <v>64</v>
      </c>
      <c r="DX34" s="2">
        <v>1</v>
      </c>
      <c r="DY34" s="2"/>
      <c r="DZ34" s="2"/>
      <c r="EA34" s="2"/>
      <c r="EB34" s="2"/>
      <c r="EC34" s="2"/>
      <c r="ED34" s="2"/>
      <c r="EE34" s="2">
        <v>16510487</v>
      </c>
      <c r="EF34" s="2">
        <v>2</v>
      </c>
      <c r="EG34" s="2" t="s">
        <v>21</v>
      </c>
      <c r="EH34" s="2">
        <v>0</v>
      </c>
      <c r="EI34" s="2" t="s">
        <v>6</v>
      </c>
      <c r="EJ34" s="2">
        <v>1</v>
      </c>
      <c r="EK34" s="2">
        <v>10001</v>
      </c>
      <c r="EL34" s="2" t="s">
        <v>58</v>
      </c>
      <c r="EM34" s="2" t="s">
        <v>59</v>
      </c>
      <c r="EN34" s="2"/>
      <c r="EO34" s="2" t="s">
        <v>6</v>
      </c>
      <c r="EP34" s="2"/>
      <c r="EQ34" s="2">
        <v>0</v>
      </c>
      <c r="ER34" s="2">
        <v>0</v>
      </c>
      <c r="ES34" s="2">
        <v>0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39"/>
        <v>0</v>
      </c>
      <c r="FS34" s="2">
        <v>0</v>
      </c>
      <c r="FT34" s="2" t="s">
        <v>25</v>
      </c>
      <c r="FU34" s="2" t="s">
        <v>26</v>
      </c>
      <c r="FV34" s="2"/>
      <c r="FW34" s="2"/>
      <c r="FX34" s="2">
        <v>106.2</v>
      </c>
      <c r="FY34" s="2">
        <v>53.55</v>
      </c>
      <c r="FZ34" s="2"/>
      <c r="GA34" s="2" t="s">
        <v>6</v>
      </c>
      <c r="GB34" s="2"/>
      <c r="GC34" s="2"/>
      <c r="GD34" s="2">
        <v>1</v>
      </c>
      <c r="GE34" s="2"/>
      <c r="GF34" s="2">
        <v>1283265163</v>
      </c>
      <c r="GG34" s="2">
        <v>2</v>
      </c>
      <c r="GH34" s="2">
        <v>0</v>
      </c>
      <c r="GI34" s="2">
        <v>-2</v>
      </c>
      <c r="GJ34" s="2">
        <v>0</v>
      </c>
      <c r="GK34" s="2">
        <v>0</v>
      </c>
      <c r="GL34" s="2">
        <f t="shared" si="40"/>
        <v>0</v>
      </c>
      <c r="GM34" s="2">
        <f t="shared" si="41"/>
        <v>0</v>
      </c>
      <c r="GN34" s="2">
        <f t="shared" si="42"/>
        <v>0</v>
      </c>
      <c r="GO34" s="2">
        <f t="shared" si="43"/>
        <v>0</v>
      </c>
      <c r="GP34" s="2">
        <f t="shared" si="44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5"/>
        <v>0</v>
      </c>
      <c r="GW34" s="2">
        <v>1</v>
      </c>
      <c r="GX34" s="2">
        <f t="shared" si="46"/>
        <v>0</v>
      </c>
      <c r="GY34" s="2"/>
      <c r="GZ34" s="2"/>
      <c r="HA34" s="2">
        <v>0</v>
      </c>
      <c r="HB34" s="2">
        <v>0</v>
      </c>
      <c r="HC34" s="2">
        <f t="shared" si="47"/>
        <v>0</v>
      </c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70</v>
      </c>
      <c r="E35" t="s">
        <v>61</v>
      </c>
      <c r="F35" t="s">
        <v>62</v>
      </c>
      <c r="G35" t="s">
        <v>63</v>
      </c>
      <c r="H35" t="s">
        <v>64</v>
      </c>
      <c r="I35">
        <f>I33*J35</f>
        <v>294.39999999999998</v>
      </c>
      <c r="J35">
        <v>100</v>
      </c>
      <c r="O35">
        <f t="shared" si="14"/>
        <v>3528224.17</v>
      </c>
      <c r="P35">
        <f t="shared" si="15"/>
        <v>3528224.17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16856228</v>
      </c>
      <c r="AB35">
        <f t="shared" si="25"/>
        <v>1770.23</v>
      </c>
      <c r="AC35">
        <f t="shared" si="48"/>
        <v>1770.23</v>
      </c>
      <c r="AD35">
        <f>ROUND((((ET35)-(EU35))+AE35),6)</f>
        <v>0</v>
      </c>
      <c r="AE35">
        <f>ROUND((EU35),6)</f>
        <v>0</v>
      </c>
      <c r="AF35">
        <f>ROUND((EV35),6)</f>
        <v>0</v>
      </c>
      <c r="AG35">
        <f t="shared" si="26"/>
        <v>0</v>
      </c>
      <c r="AH35">
        <f>(EW35)</f>
        <v>0</v>
      </c>
      <c r="AI35">
        <f>(EX35)</f>
        <v>0</v>
      </c>
      <c r="AJ35">
        <f t="shared" si="27"/>
        <v>0</v>
      </c>
      <c r="AK35">
        <v>1770.23</v>
      </c>
      <c r="AL35">
        <v>1770.23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106</v>
      </c>
      <c r="AU35">
        <v>54</v>
      </c>
      <c r="AV35">
        <v>1</v>
      </c>
      <c r="AW35">
        <v>1</v>
      </c>
      <c r="AZ35">
        <v>6.77</v>
      </c>
      <c r="BA35">
        <v>1</v>
      </c>
      <c r="BB35">
        <v>1</v>
      </c>
      <c r="BC35">
        <v>6.77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6</v>
      </c>
      <c r="BM35">
        <v>10001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118</v>
      </c>
      <c r="CA35">
        <v>63</v>
      </c>
      <c r="CE35">
        <v>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28"/>
        <v>3528224.17</v>
      </c>
      <c r="CQ35">
        <f t="shared" si="29"/>
        <v>11984.4571</v>
      </c>
      <c r="CR35">
        <f t="shared" si="30"/>
        <v>0</v>
      </c>
      <c r="CS35">
        <f t="shared" si="31"/>
        <v>0</v>
      </c>
      <c r="CT35">
        <f t="shared" si="32"/>
        <v>0</v>
      </c>
      <c r="CU35">
        <f t="shared" si="33"/>
        <v>0</v>
      </c>
      <c r="CV35">
        <f t="shared" si="34"/>
        <v>0</v>
      </c>
      <c r="CW35">
        <f t="shared" si="35"/>
        <v>0</v>
      </c>
      <c r="CX35">
        <f t="shared" si="36"/>
        <v>0</v>
      </c>
      <c r="CY35">
        <f t="shared" si="37"/>
        <v>0</v>
      </c>
      <c r="CZ35">
        <f t="shared" si="38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64</v>
      </c>
      <c r="DW35" t="s">
        <v>64</v>
      </c>
      <c r="DX35">
        <v>1</v>
      </c>
      <c r="EE35">
        <v>16510487</v>
      </c>
      <c r="EF35">
        <v>2</v>
      </c>
      <c r="EG35" t="s">
        <v>21</v>
      </c>
      <c r="EH35">
        <v>0</v>
      </c>
      <c r="EI35" t="s">
        <v>6</v>
      </c>
      <c r="EJ35">
        <v>1</v>
      </c>
      <c r="EK35">
        <v>10001</v>
      </c>
      <c r="EL35" t="s">
        <v>58</v>
      </c>
      <c r="EM35" t="s">
        <v>59</v>
      </c>
      <c r="EO35" t="s">
        <v>6</v>
      </c>
      <c r="EQ35">
        <v>0</v>
      </c>
      <c r="ER35">
        <v>1770.23</v>
      </c>
      <c r="ES35">
        <v>1770.23</v>
      </c>
      <c r="ET35">
        <v>0</v>
      </c>
      <c r="EU35">
        <v>0</v>
      </c>
      <c r="EV35">
        <v>0</v>
      </c>
      <c r="EW35">
        <v>0</v>
      </c>
      <c r="EX35">
        <v>0</v>
      </c>
      <c r="EZ35">
        <v>5</v>
      </c>
      <c r="FC35">
        <v>1</v>
      </c>
      <c r="FD35">
        <v>18</v>
      </c>
      <c r="FF35">
        <v>14141.67</v>
      </c>
      <c r="FQ35">
        <v>0</v>
      </c>
      <c r="FR35">
        <f t="shared" si="39"/>
        <v>0</v>
      </c>
      <c r="FS35">
        <v>0</v>
      </c>
      <c r="FT35" t="s">
        <v>25</v>
      </c>
      <c r="FU35" t="s">
        <v>26</v>
      </c>
      <c r="FX35">
        <v>106.2</v>
      </c>
      <c r="FY35">
        <v>53.55</v>
      </c>
      <c r="GA35" t="s">
        <v>65</v>
      </c>
      <c r="GD35">
        <v>1</v>
      </c>
      <c r="GF35">
        <v>1283265163</v>
      </c>
      <c r="GG35">
        <v>1</v>
      </c>
      <c r="GH35">
        <v>3</v>
      </c>
      <c r="GI35">
        <v>4</v>
      </c>
      <c r="GJ35">
        <v>0</v>
      </c>
      <c r="GK35">
        <v>0</v>
      </c>
      <c r="GL35">
        <f t="shared" si="40"/>
        <v>0</v>
      </c>
      <c r="GM35">
        <f t="shared" si="41"/>
        <v>3528224.17</v>
      </c>
      <c r="GN35">
        <f t="shared" si="42"/>
        <v>3528224.17</v>
      </c>
      <c r="GO35">
        <f t="shared" si="43"/>
        <v>0</v>
      </c>
      <c r="GP35">
        <f t="shared" si="44"/>
        <v>0</v>
      </c>
      <c r="GR35">
        <v>1</v>
      </c>
      <c r="GS35">
        <v>1</v>
      </c>
      <c r="GT35">
        <v>0</v>
      </c>
      <c r="GU35" t="s">
        <v>6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HC35">
        <f t="shared" si="47"/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ROW(SmtRes!A81)</f>
        <v>81</v>
      </c>
      <c r="D36" s="2">
        <f>ROW(EtalonRes!A93)</f>
        <v>93</v>
      </c>
      <c r="E36" s="2" t="s">
        <v>66</v>
      </c>
      <c r="F36" s="2" t="s">
        <v>67</v>
      </c>
      <c r="G36" s="2" t="s">
        <v>68</v>
      </c>
      <c r="H36" s="2" t="s">
        <v>30</v>
      </c>
      <c r="I36" s="2">
        <f>ROUND(61.98/100,9)</f>
        <v>0.61980000000000002</v>
      </c>
      <c r="J36" s="2">
        <v>0</v>
      </c>
      <c r="K36" s="2"/>
      <c r="L36" s="2"/>
      <c r="M36" s="2"/>
      <c r="N36" s="2"/>
      <c r="O36" s="2">
        <f t="shared" si="14"/>
        <v>6248.82</v>
      </c>
      <c r="P36" s="2">
        <f t="shared" si="15"/>
        <v>5143.32</v>
      </c>
      <c r="Q36" s="2">
        <f t="shared" si="16"/>
        <v>197.72</v>
      </c>
      <c r="R36" s="2">
        <f t="shared" si="17"/>
        <v>38.99</v>
      </c>
      <c r="S36" s="2">
        <f t="shared" si="18"/>
        <v>907.78</v>
      </c>
      <c r="T36" s="2">
        <f t="shared" si="19"/>
        <v>0</v>
      </c>
      <c r="U36" s="2">
        <f t="shared" si="20"/>
        <v>103.86484439999998</v>
      </c>
      <c r="V36" s="2">
        <f t="shared" si="21"/>
        <v>3.2771925000000004</v>
      </c>
      <c r="W36" s="2">
        <f t="shared" si="22"/>
        <v>0</v>
      </c>
      <c r="X36" s="2">
        <f t="shared" si="23"/>
        <v>1003.58</v>
      </c>
      <c r="Y36" s="2">
        <f t="shared" si="24"/>
        <v>511.26</v>
      </c>
      <c r="Z36" s="2"/>
      <c r="AA36" s="2">
        <v>16856227</v>
      </c>
      <c r="AB36" s="2">
        <f t="shared" si="25"/>
        <v>10081.991</v>
      </c>
      <c r="AC36" s="2">
        <f t="shared" si="48"/>
        <v>8298.35</v>
      </c>
      <c r="AD36" s="2">
        <f>ROUND(((((ET36*1.25))-((EU36*1.25)))+AE36),6)</f>
        <v>319.01249999999999</v>
      </c>
      <c r="AE36" s="2">
        <f>ROUND(((EU36*1.25)),6)</f>
        <v>62.9</v>
      </c>
      <c r="AF36" s="2">
        <f>ROUND(((EV36*1.15)),6)</f>
        <v>1464.6285</v>
      </c>
      <c r="AG36" s="2">
        <f t="shared" si="26"/>
        <v>0</v>
      </c>
      <c r="AH36" s="2">
        <f>((EW36*1.15))</f>
        <v>167.57799999999997</v>
      </c>
      <c r="AI36" s="2">
        <f>((EX36*1.25))</f>
        <v>5.2875000000000005</v>
      </c>
      <c r="AJ36" s="2">
        <f t="shared" si="27"/>
        <v>0</v>
      </c>
      <c r="AK36" s="2">
        <v>9827.15</v>
      </c>
      <c r="AL36" s="2">
        <v>8298.35</v>
      </c>
      <c r="AM36" s="2">
        <v>255.21</v>
      </c>
      <c r="AN36" s="2">
        <v>50.32</v>
      </c>
      <c r="AO36" s="2">
        <v>1273.5899999999999</v>
      </c>
      <c r="AP36" s="2">
        <v>0</v>
      </c>
      <c r="AQ36" s="2">
        <v>145.72</v>
      </c>
      <c r="AR36" s="2">
        <v>4.2300000000000004</v>
      </c>
      <c r="AS36" s="2">
        <v>0</v>
      </c>
      <c r="AT36" s="2">
        <v>106</v>
      </c>
      <c r="AU36" s="2">
        <v>54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69</v>
      </c>
      <c r="BK36" s="2"/>
      <c r="BL36" s="2"/>
      <c r="BM36" s="2">
        <v>10001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118</v>
      </c>
      <c r="CA36" s="2">
        <v>63</v>
      </c>
      <c r="CB36" s="2"/>
      <c r="CC36" s="2"/>
      <c r="CD36" s="2"/>
      <c r="CE36" s="2">
        <v>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450</v>
      </c>
      <c r="CO36" s="2">
        <v>0</v>
      </c>
      <c r="CP36" s="2">
        <f t="shared" si="28"/>
        <v>6248.82</v>
      </c>
      <c r="CQ36" s="2">
        <f t="shared" si="29"/>
        <v>8298.35</v>
      </c>
      <c r="CR36" s="2">
        <f t="shared" si="30"/>
        <v>319.01249999999999</v>
      </c>
      <c r="CS36" s="2">
        <f t="shared" si="31"/>
        <v>62.9</v>
      </c>
      <c r="CT36" s="2">
        <f t="shared" si="32"/>
        <v>1464.6285</v>
      </c>
      <c r="CU36" s="2">
        <f t="shared" si="33"/>
        <v>0</v>
      </c>
      <c r="CV36" s="2">
        <f t="shared" si="34"/>
        <v>167.57799999999997</v>
      </c>
      <c r="CW36" s="2">
        <f t="shared" si="35"/>
        <v>5.2875000000000005</v>
      </c>
      <c r="CX36" s="2">
        <f t="shared" si="36"/>
        <v>0</v>
      </c>
      <c r="CY36" s="2">
        <f t="shared" si="37"/>
        <v>1003.5762</v>
      </c>
      <c r="CZ36" s="2">
        <f t="shared" si="38"/>
        <v>511.25580000000002</v>
      </c>
      <c r="DA36" s="2"/>
      <c r="DB36" s="2"/>
      <c r="DC36" s="2" t="s">
        <v>6</v>
      </c>
      <c r="DD36" s="2" t="s">
        <v>6</v>
      </c>
      <c r="DE36" s="2" t="s">
        <v>56</v>
      </c>
      <c r="DF36" s="2" t="s">
        <v>56</v>
      </c>
      <c r="DG36" s="2" t="s">
        <v>57</v>
      </c>
      <c r="DH36" s="2" t="s">
        <v>6</v>
      </c>
      <c r="DI36" s="2" t="s">
        <v>57</v>
      </c>
      <c r="DJ36" s="2" t="s">
        <v>56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30</v>
      </c>
      <c r="DW36" s="2" t="s">
        <v>30</v>
      </c>
      <c r="DX36" s="2">
        <v>100</v>
      </c>
      <c r="DY36" s="2"/>
      <c r="DZ36" s="2"/>
      <c r="EA36" s="2"/>
      <c r="EB36" s="2"/>
      <c r="EC36" s="2"/>
      <c r="ED36" s="2"/>
      <c r="EE36" s="2">
        <v>16510487</v>
      </c>
      <c r="EF36" s="2">
        <v>2</v>
      </c>
      <c r="EG36" s="2" t="s">
        <v>21</v>
      </c>
      <c r="EH36" s="2">
        <v>0</v>
      </c>
      <c r="EI36" s="2" t="s">
        <v>6</v>
      </c>
      <c r="EJ36" s="2">
        <v>1</v>
      </c>
      <c r="EK36" s="2">
        <v>10001</v>
      </c>
      <c r="EL36" s="2" t="s">
        <v>58</v>
      </c>
      <c r="EM36" s="2" t="s">
        <v>59</v>
      </c>
      <c r="EN36" s="2"/>
      <c r="EO36" s="2" t="s">
        <v>60</v>
      </c>
      <c r="EP36" s="2"/>
      <c r="EQ36" s="2">
        <v>0</v>
      </c>
      <c r="ER36" s="2">
        <v>9827.15</v>
      </c>
      <c r="ES36" s="2">
        <v>8298.35</v>
      </c>
      <c r="ET36" s="2">
        <v>255.21</v>
      </c>
      <c r="EU36" s="2">
        <v>50.32</v>
      </c>
      <c r="EV36" s="2">
        <v>1273.5899999999999</v>
      </c>
      <c r="EW36" s="2">
        <v>145.72</v>
      </c>
      <c r="EX36" s="2">
        <v>4.2300000000000004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39"/>
        <v>0</v>
      </c>
      <c r="FS36" s="2">
        <v>0</v>
      </c>
      <c r="FT36" s="2" t="s">
        <v>25</v>
      </c>
      <c r="FU36" s="2" t="s">
        <v>26</v>
      </c>
      <c r="FV36" s="2"/>
      <c r="FW36" s="2"/>
      <c r="FX36" s="2">
        <v>106.2</v>
      </c>
      <c r="FY36" s="2">
        <v>53.55</v>
      </c>
      <c r="FZ36" s="2"/>
      <c r="GA36" s="2" t="s">
        <v>6</v>
      </c>
      <c r="GB36" s="2"/>
      <c r="GC36" s="2"/>
      <c r="GD36" s="2">
        <v>1</v>
      </c>
      <c r="GE36" s="2"/>
      <c r="GF36" s="2">
        <v>1452579699</v>
      </c>
      <c r="GG36" s="2">
        <v>2</v>
      </c>
      <c r="GH36" s="2">
        <v>1</v>
      </c>
      <c r="GI36" s="2">
        <v>-2</v>
      </c>
      <c r="GJ36" s="2">
        <v>0</v>
      </c>
      <c r="GK36" s="2">
        <v>0</v>
      </c>
      <c r="GL36" s="2">
        <f t="shared" si="40"/>
        <v>0</v>
      </c>
      <c r="GM36" s="2">
        <f t="shared" si="41"/>
        <v>7763.66</v>
      </c>
      <c r="GN36" s="2">
        <f t="shared" si="42"/>
        <v>7763.66</v>
      </c>
      <c r="GO36" s="2">
        <f t="shared" si="43"/>
        <v>0</v>
      </c>
      <c r="GP36" s="2">
        <f t="shared" si="44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5"/>
        <v>0</v>
      </c>
      <c r="GW36" s="2">
        <v>1</v>
      </c>
      <c r="GX36" s="2">
        <f t="shared" si="46"/>
        <v>0</v>
      </c>
      <c r="GY36" s="2"/>
      <c r="GZ36" s="2"/>
      <c r="HA36" s="2">
        <v>0</v>
      </c>
      <c r="HB36" s="2">
        <v>0</v>
      </c>
      <c r="HC36" s="2">
        <f t="shared" si="47"/>
        <v>0</v>
      </c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ROW(SmtRes!A92)</f>
        <v>92</v>
      </c>
      <c r="D37">
        <f>ROW(EtalonRes!A104)</f>
        <v>104</v>
      </c>
      <c r="E37" t="s">
        <v>66</v>
      </c>
      <c r="F37" t="s">
        <v>67</v>
      </c>
      <c r="G37" t="s">
        <v>68</v>
      </c>
      <c r="H37" t="s">
        <v>30</v>
      </c>
      <c r="I37">
        <f>ROUND(61.98/100,9)</f>
        <v>0.61980000000000002</v>
      </c>
      <c r="J37">
        <v>0</v>
      </c>
      <c r="O37">
        <f t="shared" si="14"/>
        <v>42304.5</v>
      </c>
      <c r="P37">
        <f t="shared" si="15"/>
        <v>34820.26</v>
      </c>
      <c r="Q37">
        <f t="shared" si="16"/>
        <v>1338.59</v>
      </c>
      <c r="R37">
        <f t="shared" si="17"/>
        <v>263.93</v>
      </c>
      <c r="S37">
        <f t="shared" si="18"/>
        <v>6145.65</v>
      </c>
      <c r="T37">
        <f t="shared" si="19"/>
        <v>0</v>
      </c>
      <c r="U37">
        <f t="shared" si="20"/>
        <v>103.86484439999998</v>
      </c>
      <c r="V37">
        <f t="shared" si="21"/>
        <v>3.2771925000000004</v>
      </c>
      <c r="W37">
        <f t="shared" si="22"/>
        <v>0</v>
      </c>
      <c r="X37">
        <f t="shared" si="23"/>
        <v>6794.15</v>
      </c>
      <c r="Y37">
        <f t="shared" si="24"/>
        <v>3461.17</v>
      </c>
      <c r="AA37">
        <v>16856228</v>
      </c>
      <c r="AB37">
        <f t="shared" si="25"/>
        <v>10081.991</v>
      </c>
      <c r="AC37">
        <f t="shared" si="48"/>
        <v>8298.35</v>
      </c>
      <c r="AD37">
        <f>ROUND(((((ET37*1.25))-((EU37*1.25)))+AE37),6)</f>
        <v>319.01249999999999</v>
      </c>
      <c r="AE37">
        <f>ROUND(((EU37*1.25)),6)</f>
        <v>62.9</v>
      </c>
      <c r="AF37">
        <f>ROUND(((EV37*1.15)),6)</f>
        <v>1464.6285</v>
      </c>
      <c r="AG37">
        <f t="shared" si="26"/>
        <v>0</v>
      </c>
      <c r="AH37">
        <f>((EW37*1.15))</f>
        <v>167.57799999999997</v>
      </c>
      <c r="AI37">
        <f>((EX37*1.25))</f>
        <v>5.2875000000000005</v>
      </c>
      <c r="AJ37">
        <f t="shared" si="27"/>
        <v>0</v>
      </c>
      <c r="AK37">
        <v>9827.15</v>
      </c>
      <c r="AL37">
        <v>8298.35</v>
      </c>
      <c r="AM37">
        <v>255.21</v>
      </c>
      <c r="AN37">
        <v>50.32</v>
      </c>
      <c r="AO37">
        <v>1273.5899999999999</v>
      </c>
      <c r="AP37">
        <v>0</v>
      </c>
      <c r="AQ37">
        <v>145.72</v>
      </c>
      <c r="AR37">
        <v>4.2300000000000004</v>
      </c>
      <c r="AS37">
        <v>0</v>
      </c>
      <c r="AT37">
        <v>106</v>
      </c>
      <c r="AU37">
        <v>54</v>
      </c>
      <c r="AV37">
        <v>1</v>
      </c>
      <c r="AW37">
        <v>1</v>
      </c>
      <c r="AZ37">
        <v>6.77</v>
      </c>
      <c r="BA37">
        <v>6.77</v>
      </c>
      <c r="BB37">
        <v>6.77</v>
      </c>
      <c r="BC37">
        <v>6.77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69</v>
      </c>
      <c r="BM37">
        <v>10001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6.77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118</v>
      </c>
      <c r="CA37">
        <v>63</v>
      </c>
      <c r="CE37">
        <v>0</v>
      </c>
      <c r="CF37">
        <v>0</v>
      </c>
      <c r="CG37">
        <v>0</v>
      </c>
      <c r="CM37">
        <v>0</v>
      </c>
      <c r="CN37" t="s">
        <v>450</v>
      </c>
      <c r="CO37">
        <v>0</v>
      </c>
      <c r="CP37">
        <f t="shared" si="28"/>
        <v>42304.5</v>
      </c>
      <c r="CQ37">
        <f t="shared" si="29"/>
        <v>56179.8295</v>
      </c>
      <c r="CR37">
        <f t="shared" si="30"/>
        <v>2159.7146249999996</v>
      </c>
      <c r="CS37">
        <f t="shared" si="31"/>
        <v>425.83299999999997</v>
      </c>
      <c r="CT37">
        <f t="shared" si="32"/>
        <v>9915.5349449999994</v>
      </c>
      <c r="CU37">
        <f t="shared" si="33"/>
        <v>0</v>
      </c>
      <c r="CV37">
        <f t="shared" si="34"/>
        <v>167.57799999999997</v>
      </c>
      <c r="CW37">
        <f t="shared" si="35"/>
        <v>5.2875000000000005</v>
      </c>
      <c r="CX37">
        <f t="shared" si="36"/>
        <v>0</v>
      </c>
      <c r="CY37">
        <f t="shared" si="37"/>
        <v>6794.1548000000003</v>
      </c>
      <c r="CZ37">
        <f t="shared" si="38"/>
        <v>3461.1732000000002</v>
      </c>
      <c r="DC37" t="s">
        <v>6</v>
      </c>
      <c r="DD37" t="s">
        <v>6</v>
      </c>
      <c r="DE37" t="s">
        <v>56</v>
      </c>
      <c r="DF37" t="s">
        <v>56</v>
      </c>
      <c r="DG37" t="s">
        <v>57</v>
      </c>
      <c r="DH37" t="s">
        <v>6</v>
      </c>
      <c r="DI37" t="s">
        <v>57</v>
      </c>
      <c r="DJ37" t="s">
        <v>56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30</v>
      </c>
      <c r="DW37" t="s">
        <v>30</v>
      </c>
      <c r="DX37">
        <v>100</v>
      </c>
      <c r="EE37">
        <v>16510487</v>
      </c>
      <c r="EF37">
        <v>2</v>
      </c>
      <c r="EG37" t="s">
        <v>21</v>
      </c>
      <c r="EH37">
        <v>0</v>
      </c>
      <c r="EI37" t="s">
        <v>6</v>
      </c>
      <c r="EJ37">
        <v>1</v>
      </c>
      <c r="EK37">
        <v>10001</v>
      </c>
      <c r="EL37" t="s">
        <v>58</v>
      </c>
      <c r="EM37" t="s">
        <v>59</v>
      </c>
      <c r="EO37" t="s">
        <v>60</v>
      </c>
      <c r="EQ37">
        <v>0</v>
      </c>
      <c r="ER37">
        <v>9827.15</v>
      </c>
      <c r="ES37">
        <v>8298.35</v>
      </c>
      <c r="ET37">
        <v>255.21</v>
      </c>
      <c r="EU37">
        <v>50.32</v>
      </c>
      <c r="EV37">
        <v>1273.5899999999999</v>
      </c>
      <c r="EW37">
        <v>145.72</v>
      </c>
      <c r="EX37">
        <v>4.2300000000000004</v>
      </c>
      <c r="EY37">
        <v>0</v>
      </c>
      <c r="FQ37">
        <v>0</v>
      </c>
      <c r="FR37">
        <f t="shared" si="39"/>
        <v>0</v>
      </c>
      <c r="FS37">
        <v>0</v>
      </c>
      <c r="FT37" t="s">
        <v>25</v>
      </c>
      <c r="FU37" t="s">
        <v>26</v>
      </c>
      <c r="FX37">
        <v>106.2</v>
      </c>
      <c r="FY37">
        <v>53.55</v>
      </c>
      <c r="GA37" t="s">
        <v>6</v>
      </c>
      <c r="GD37">
        <v>1</v>
      </c>
      <c r="GF37">
        <v>1452579699</v>
      </c>
      <c r="GG37">
        <v>1</v>
      </c>
      <c r="GH37">
        <v>1</v>
      </c>
      <c r="GI37">
        <v>4</v>
      </c>
      <c r="GJ37">
        <v>0</v>
      </c>
      <c r="GK37">
        <v>0</v>
      </c>
      <c r="GL37">
        <f t="shared" si="40"/>
        <v>0</v>
      </c>
      <c r="GM37">
        <f t="shared" si="41"/>
        <v>52559.82</v>
      </c>
      <c r="GN37">
        <f t="shared" si="42"/>
        <v>52559.82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6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HC37">
        <f t="shared" si="47"/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81</v>
      </c>
      <c r="D38" s="2"/>
      <c r="E38" s="2" t="s">
        <v>70</v>
      </c>
      <c r="F38" s="2" t="s">
        <v>62</v>
      </c>
      <c r="G38" s="2" t="s">
        <v>71</v>
      </c>
      <c r="H38" s="2" t="s">
        <v>64</v>
      </c>
      <c r="I38" s="2">
        <f>I36*J38</f>
        <v>61.990000000000009</v>
      </c>
      <c r="J38" s="2">
        <v>100.0161342368506</v>
      </c>
      <c r="K38" s="2"/>
      <c r="L38" s="2"/>
      <c r="M38" s="2"/>
      <c r="N38" s="2"/>
      <c r="O38" s="2">
        <f t="shared" si="14"/>
        <v>0</v>
      </c>
      <c r="P38" s="2">
        <f t="shared" si="15"/>
        <v>0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16856227</v>
      </c>
      <c r="AB38" s="2">
        <f t="shared" si="25"/>
        <v>0</v>
      </c>
      <c r="AC38" s="2">
        <f t="shared" si="48"/>
        <v>0</v>
      </c>
      <c r="AD38" s="2">
        <f>ROUND((((ET38)-(EU38))+AE38),6)</f>
        <v>0</v>
      </c>
      <c r="AE38" s="2">
        <f>ROUND((EU38),6)</f>
        <v>0</v>
      </c>
      <c r="AF38" s="2">
        <f>ROUND((EV38),6)</f>
        <v>0</v>
      </c>
      <c r="AG38" s="2">
        <f t="shared" si="26"/>
        <v>0</v>
      </c>
      <c r="AH38" s="2">
        <f>(EW38)</f>
        <v>0</v>
      </c>
      <c r="AI38" s="2">
        <f>(EX38)</f>
        <v>0</v>
      </c>
      <c r="AJ38" s="2">
        <f t="shared" si="27"/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106</v>
      </c>
      <c r="AU38" s="2">
        <v>54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</v>
      </c>
      <c r="BK38" s="2"/>
      <c r="BL38" s="2"/>
      <c r="BM38" s="2">
        <v>10001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118</v>
      </c>
      <c r="CA38" s="2">
        <v>63</v>
      </c>
      <c r="CB38" s="2"/>
      <c r="CC38" s="2"/>
      <c r="CD38" s="2"/>
      <c r="CE38" s="2">
        <v>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28"/>
        <v>0</v>
      </c>
      <c r="CQ38" s="2">
        <f t="shared" si="29"/>
        <v>0</v>
      </c>
      <c r="CR38" s="2">
        <f t="shared" si="30"/>
        <v>0</v>
      </c>
      <c r="CS38" s="2">
        <f t="shared" si="31"/>
        <v>0</v>
      </c>
      <c r="CT38" s="2">
        <f t="shared" si="32"/>
        <v>0</v>
      </c>
      <c r="CU38" s="2">
        <f t="shared" si="33"/>
        <v>0</v>
      </c>
      <c r="CV38" s="2">
        <f t="shared" si="34"/>
        <v>0</v>
      </c>
      <c r="CW38" s="2">
        <f t="shared" si="35"/>
        <v>0</v>
      </c>
      <c r="CX38" s="2">
        <f t="shared" si="36"/>
        <v>0</v>
      </c>
      <c r="CY38" s="2">
        <f t="shared" si="37"/>
        <v>0</v>
      </c>
      <c r="CZ38" s="2">
        <f t="shared" si="38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64</v>
      </c>
      <c r="DW38" s="2" t="s">
        <v>64</v>
      </c>
      <c r="DX38" s="2">
        <v>1</v>
      </c>
      <c r="DY38" s="2"/>
      <c r="DZ38" s="2"/>
      <c r="EA38" s="2"/>
      <c r="EB38" s="2"/>
      <c r="EC38" s="2"/>
      <c r="ED38" s="2"/>
      <c r="EE38" s="2">
        <v>16510487</v>
      </c>
      <c r="EF38" s="2">
        <v>2</v>
      </c>
      <c r="EG38" s="2" t="s">
        <v>21</v>
      </c>
      <c r="EH38" s="2">
        <v>0</v>
      </c>
      <c r="EI38" s="2" t="s">
        <v>6</v>
      </c>
      <c r="EJ38" s="2">
        <v>1</v>
      </c>
      <c r="EK38" s="2">
        <v>10001</v>
      </c>
      <c r="EL38" s="2" t="s">
        <v>58</v>
      </c>
      <c r="EM38" s="2" t="s">
        <v>59</v>
      </c>
      <c r="EN38" s="2"/>
      <c r="EO38" s="2" t="s">
        <v>6</v>
      </c>
      <c r="EP38" s="2"/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39"/>
        <v>0</v>
      </c>
      <c r="FS38" s="2">
        <v>0</v>
      </c>
      <c r="FT38" s="2" t="s">
        <v>25</v>
      </c>
      <c r="FU38" s="2" t="s">
        <v>26</v>
      </c>
      <c r="FV38" s="2"/>
      <c r="FW38" s="2"/>
      <c r="FX38" s="2">
        <v>106.2</v>
      </c>
      <c r="FY38" s="2">
        <v>53.55</v>
      </c>
      <c r="FZ38" s="2"/>
      <c r="GA38" s="2" t="s">
        <v>6</v>
      </c>
      <c r="GB38" s="2"/>
      <c r="GC38" s="2"/>
      <c r="GD38" s="2">
        <v>1</v>
      </c>
      <c r="GE38" s="2"/>
      <c r="GF38" s="2">
        <v>97305372</v>
      </c>
      <c r="GG38" s="2">
        <v>2</v>
      </c>
      <c r="GH38" s="2">
        <v>0</v>
      </c>
      <c r="GI38" s="2">
        <v>-2</v>
      </c>
      <c r="GJ38" s="2">
        <v>0</v>
      </c>
      <c r="GK38" s="2">
        <v>0</v>
      </c>
      <c r="GL38" s="2">
        <f t="shared" si="40"/>
        <v>0</v>
      </c>
      <c r="GM38" s="2">
        <f t="shared" si="41"/>
        <v>0</v>
      </c>
      <c r="GN38" s="2">
        <f t="shared" si="42"/>
        <v>0</v>
      </c>
      <c r="GO38" s="2">
        <f t="shared" si="43"/>
        <v>0</v>
      </c>
      <c r="GP38" s="2">
        <f t="shared" si="44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45"/>
        <v>0</v>
      </c>
      <c r="GW38" s="2">
        <v>1</v>
      </c>
      <c r="GX38" s="2">
        <f t="shared" si="46"/>
        <v>0</v>
      </c>
      <c r="GY38" s="2"/>
      <c r="GZ38" s="2"/>
      <c r="HA38" s="2">
        <v>0</v>
      </c>
      <c r="HB38" s="2">
        <v>0</v>
      </c>
      <c r="HC38" s="2">
        <f t="shared" si="47"/>
        <v>0</v>
      </c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92</v>
      </c>
      <c r="E39" t="s">
        <v>70</v>
      </c>
      <c r="F39" t="s">
        <v>62</v>
      </c>
      <c r="G39" t="s">
        <v>71</v>
      </c>
      <c r="H39" t="s">
        <v>64</v>
      </c>
      <c r="I39">
        <f>I37*J39</f>
        <v>61.990000000000009</v>
      </c>
      <c r="J39">
        <v>100.0161342368506</v>
      </c>
      <c r="O39">
        <f t="shared" si="14"/>
        <v>656824.92000000004</v>
      </c>
      <c r="P39">
        <f t="shared" si="15"/>
        <v>656824.92000000004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16856228</v>
      </c>
      <c r="AB39">
        <f t="shared" si="25"/>
        <v>1565.09</v>
      </c>
      <c r="AC39">
        <f t="shared" si="48"/>
        <v>1565.09</v>
      </c>
      <c r="AD39">
        <f>ROUND((((ET39)-(EU39))+AE39),6)</f>
        <v>0</v>
      </c>
      <c r="AE39">
        <f>ROUND((EU39),6)</f>
        <v>0</v>
      </c>
      <c r="AF39">
        <f>ROUND((EV39),6)</f>
        <v>0</v>
      </c>
      <c r="AG39">
        <f t="shared" si="26"/>
        <v>0</v>
      </c>
      <c r="AH39">
        <f>(EW39)</f>
        <v>0</v>
      </c>
      <c r="AI39">
        <f>(EX39)</f>
        <v>0</v>
      </c>
      <c r="AJ39">
        <f t="shared" si="27"/>
        <v>0</v>
      </c>
      <c r="AK39">
        <v>1565.09</v>
      </c>
      <c r="AL39">
        <v>1565.09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106</v>
      </c>
      <c r="AU39">
        <v>54</v>
      </c>
      <c r="AV39">
        <v>1</v>
      </c>
      <c r="AW39">
        <v>1</v>
      </c>
      <c r="AZ39">
        <v>6.77</v>
      </c>
      <c r="BA39">
        <v>1</v>
      </c>
      <c r="BB39">
        <v>1</v>
      </c>
      <c r="BC39">
        <v>6.77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10001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118</v>
      </c>
      <c r="CA39">
        <v>63</v>
      </c>
      <c r="CE39">
        <v>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28"/>
        <v>656824.92000000004</v>
      </c>
      <c r="CQ39">
        <f t="shared" si="29"/>
        <v>10595.659299999999</v>
      </c>
      <c r="CR39">
        <f t="shared" si="30"/>
        <v>0</v>
      </c>
      <c r="CS39">
        <f t="shared" si="31"/>
        <v>0</v>
      </c>
      <c r="CT39">
        <f t="shared" si="32"/>
        <v>0</v>
      </c>
      <c r="CU39">
        <f t="shared" si="33"/>
        <v>0</v>
      </c>
      <c r="CV39">
        <f t="shared" si="34"/>
        <v>0</v>
      </c>
      <c r="CW39">
        <f t="shared" si="35"/>
        <v>0</v>
      </c>
      <c r="CX39">
        <f t="shared" si="36"/>
        <v>0</v>
      </c>
      <c r="CY39">
        <f t="shared" si="37"/>
        <v>0</v>
      </c>
      <c r="CZ39">
        <f t="shared" si="38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64</v>
      </c>
      <c r="DW39" t="s">
        <v>64</v>
      </c>
      <c r="DX39">
        <v>1</v>
      </c>
      <c r="EE39">
        <v>16510487</v>
      </c>
      <c r="EF39">
        <v>2</v>
      </c>
      <c r="EG39" t="s">
        <v>21</v>
      </c>
      <c r="EH39">
        <v>0</v>
      </c>
      <c r="EI39" t="s">
        <v>6</v>
      </c>
      <c r="EJ39">
        <v>1</v>
      </c>
      <c r="EK39">
        <v>10001</v>
      </c>
      <c r="EL39" t="s">
        <v>58</v>
      </c>
      <c r="EM39" t="s">
        <v>59</v>
      </c>
      <c r="EO39" t="s">
        <v>6</v>
      </c>
      <c r="EQ39">
        <v>0</v>
      </c>
      <c r="ER39">
        <v>1565.09</v>
      </c>
      <c r="ES39">
        <v>1565.09</v>
      </c>
      <c r="ET39">
        <v>0</v>
      </c>
      <c r="EU39">
        <v>0</v>
      </c>
      <c r="EV39">
        <v>0</v>
      </c>
      <c r="EW39">
        <v>0</v>
      </c>
      <c r="EX39">
        <v>0</v>
      </c>
      <c r="EZ39">
        <v>5</v>
      </c>
      <c r="FC39">
        <v>1</v>
      </c>
      <c r="FD39">
        <v>18</v>
      </c>
      <c r="FF39">
        <v>12502.85</v>
      </c>
      <c r="FQ39">
        <v>0</v>
      </c>
      <c r="FR39">
        <f t="shared" si="39"/>
        <v>0</v>
      </c>
      <c r="FS39">
        <v>0</v>
      </c>
      <c r="FT39" t="s">
        <v>25</v>
      </c>
      <c r="FU39" t="s">
        <v>26</v>
      </c>
      <c r="FX39">
        <v>106.2</v>
      </c>
      <c r="FY39">
        <v>53.55</v>
      </c>
      <c r="GA39" t="s">
        <v>72</v>
      </c>
      <c r="GD39">
        <v>1</v>
      </c>
      <c r="GF39">
        <v>97305372</v>
      </c>
      <c r="GG39">
        <v>1</v>
      </c>
      <c r="GH39">
        <v>3</v>
      </c>
      <c r="GI39">
        <v>4</v>
      </c>
      <c r="GJ39">
        <v>0</v>
      </c>
      <c r="GK39">
        <v>0</v>
      </c>
      <c r="GL39">
        <f t="shared" si="40"/>
        <v>0</v>
      </c>
      <c r="GM39">
        <f t="shared" si="41"/>
        <v>656824.92000000004</v>
      </c>
      <c r="GN39">
        <f t="shared" si="42"/>
        <v>656824.92000000004</v>
      </c>
      <c r="GO39">
        <f t="shared" si="43"/>
        <v>0</v>
      </c>
      <c r="GP39">
        <f t="shared" si="44"/>
        <v>0</v>
      </c>
      <c r="GR39">
        <v>1</v>
      </c>
      <c r="GS39">
        <v>1</v>
      </c>
      <c r="GT39">
        <v>0</v>
      </c>
      <c r="GU39" t="s">
        <v>6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HC39">
        <f t="shared" si="47"/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ROW(SmtRes!A104)</f>
        <v>104</v>
      </c>
      <c r="D40" s="2">
        <f>ROW(EtalonRes!A115)</f>
        <v>115</v>
      </c>
      <c r="E40" s="2" t="s">
        <v>73</v>
      </c>
      <c r="F40" s="2" t="s">
        <v>74</v>
      </c>
      <c r="G40" s="2" t="s">
        <v>75</v>
      </c>
      <c r="H40" s="2" t="s">
        <v>30</v>
      </c>
      <c r="I40" s="2">
        <f>ROUND(6.63/100,9)</f>
        <v>6.6299999999999998E-2</v>
      </c>
      <c r="J40" s="2">
        <v>0</v>
      </c>
      <c r="K40" s="2"/>
      <c r="L40" s="2"/>
      <c r="M40" s="2"/>
      <c r="N40" s="2"/>
      <c r="O40" s="2">
        <f t="shared" si="14"/>
        <v>633.79999999999995</v>
      </c>
      <c r="P40" s="2">
        <f t="shared" si="15"/>
        <v>521.07000000000005</v>
      </c>
      <c r="Q40" s="2">
        <f t="shared" si="16"/>
        <v>21.15</v>
      </c>
      <c r="R40" s="2">
        <f t="shared" si="17"/>
        <v>4.17</v>
      </c>
      <c r="S40" s="2">
        <f t="shared" si="18"/>
        <v>91.58</v>
      </c>
      <c r="T40" s="2">
        <f t="shared" si="19"/>
        <v>0</v>
      </c>
      <c r="U40" s="2">
        <f t="shared" si="20"/>
        <v>10.478350349999999</v>
      </c>
      <c r="V40" s="2">
        <f t="shared" si="21"/>
        <v>0.35056125000000005</v>
      </c>
      <c r="W40" s="2">
        <f t="shared" si="22"/>
        <v>0</v>
      </c>
      <c r="X40" s="2">
        <f t="shared" si="23"/>
        <v>101.5</v>
      </c>
      <c r="Y40" s="2">
        <f t="shared" si="24"/>
        <v>51.71</v>
      </c>
      <c r="Z40" s="2"/>
      <c r="AA40" s="2">
        <v>16856227</v>
      </c>
      <c r="AB40" s="2">
        <f t="shared" si="25"/>
        <v>9559.6234999999997</v>
      </c>
      <c r="AC40" s="2">
        <f t="shared" si="48"/>
        <v>7859.3</v>
      </c>
      <c r="AD40" s="2">
        <f>ROUND(((((ET40*1.25))-((EU40*1.25)))+AE40),6)</f>
        <v>319.01249999999999</v>
      </c>
      <c r="AE40" s="2">
        <f>ROUND(((EU40*1.25)),6)</f>
        <v>62.9</v>
      </c>
      <c r="AF40" s="2">
        <f>ROUND(((EV40*1.15)),6)</f>
        <v>1381.3109999999999</v>
      </c>
      <c r="AG40" s="2">
        <f t="shared" si="26"/>
        <v>0</v>
      </c>
      <c r="AH40" s="2">
        <f>((EW40*1.15))</f>
        <v>158.0445</v>
      </c>
      <c r="AI40" s="2">
        <f>((EX40*1.25))</f>
        <v>5.2875000000000005</v>
      </c>
      <c r="AJ40" s="2">
        <f t="shared" si="27"/>
        <v>0</v>
      </c>
      <c r="AK40" s="2">
        <v>9315.65</v>
      </c>
      <c r="AL40" s="2">
        <v>7859.3</v>
      </c>
      <c r="AM40" s="2">
        <v>255.21</v>
      </c>
      <c r="AN40" s="2">
        <v>50.32</v>
      </c>
      <c r="AO40" s="2">
        <v>1201.1400000000001</v>
      </c>
      <c r="AP40" s="2">
        <v>0</v>
      </c>
      <c r="AQ40" s="2">
        <v>137.43</v>
      </c>
      <c r="AR40" s="2">
        <v>4.2300000000000004</v>
      </c>
      <c r="AS40" s="2">
        <v>0</v>
      </c>
      <c r="AT40" s="2">
        <v>106</v>
      </c>
      <c r="AU40" s="2">
        <v>54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76</v>
      </c>
      <c r="BK40" s="2"/>
      <c r="BL40" s="2"/>
      <c r="BM40" s="2">
        <v>10001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118</v>
      </c>
      <c r="CA40" s="2">
        <v>63</v>
      </c>
      <c r="CB40" s="2"/>
      <c r="CC40" s="2"/>
      <c r="CD40" s="2"/>
      <c r="CE40" s="2">
        <v>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450</v>
      </c>
      <c r="CO40" s="2">
        <v>0</v>
      </c>
      <c r="CP40" s="2">
        <f t="shared" si="28"/>
        <v>633.80000000000007</v>
      </c>
      <c r="CQ40" s="2">
        <f t="shared" si="29"/>
        <v>7859.3</v>
      </c>
      <c r="CR40" s="2">
        <f t="shared" si="30"/>
        <v>319.01249999999999</v>
      </c>
      <c r="CS40" s="2">
        <f t="shared" si="31"/>
        <v>62.9</v>
      </c>
      <c r="CT40" s="2">
        <f t="shared" si="32"/>
        <v>1381.3109999999999</v>
      </c>
      <c r="CU40" s="2">
        <f t="shared" si="33"/>
        <v>0</v>
      </c>
      <c r="CV40" s="2">
        <f t="shared" si="34"/>
        <v>158.0445</v>
      </c>
      <c r="CW40" s="2">
        <f t="shared" si="35"/>
        <v>5.2875000000000005</v>
      </c>
      <c r="CX40" s="2">
        <f t="shared" si="36"/>
        <v>0</v>
      </c>
      <c r="CY40" s="2">
        <f t="shared" si="37"/>
        <v>101.495</v>
      </c>
      <c r="CZ40" s="2">
        <f t="shared" si="38"/>
        <v>51.704999999999998</v>
      </c>
      <c r="DA40" s="2"/>
      <c r="DB40" s="2"/>
      <c r="DC40" s="2" t="s">
        <v>6</v>
      </c>
      <c r="DD40" s="2" t="s">
        <v>6</v>
      </c>
      <c r="DE40" s="2" t="s">
        <v>56</v>
      </c>
      <c r="DF40" s="2" t="s">
        <v>56</v>
      </c>
      <c r="DG40" s="2" t="s">
        <v>57</v>
      </c>
      <c r="DH40" s="2" t="s">
        <v>6</v>
      </c>
      <c r="DI40" s="2" t="s">
        <v>57</v>
      </c>
      <c r="DJ40" s="2" t="s">
        <v>56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30</v>
      </c>
      <c r="DW40" s="2" t="s">
        <v>30</v>
      </c>
      <c r="DX40" s="2">
        <v>100</v>
      </c>
      <c r="DY40" s="2"/>
      <c r="DZ40" s="2"/>
      <c r="EA40" s="2"/>
      <c r="EB40" s="2"/>
      <c r="EC40" s="2"/>
      <c r="ED40" s="2"/>
      <c r="EE40" s="2">
        <v>16510487</v>
      </c>
      <c r="EF40" s="2">
        <v>2</v>
      </c>
      <c r="EG40" s="2" t="s">
        <v>21</v>
      </c>
      <c r="EH40" s="2">
        <v>0</v>
      </c>
      <c r="EI40" s="2" t="s">
        <v>6</v>
      </c>
      <c r="EJ40" s="2">
        <v>1</v>
      </c>
      <c r="EK40" s="2">
        <v>10001</v>
      </c>
      <c r="EL40" s="2" t="s">
        <v>58</v>
      </c>
      <c r="EM40" s="2" t="s">
        <v>59</v>
      </c>
      <c r="EN40" s="2"/>
      <c r="EO40" s="2" t="s">
        <v>60</v>
      </c>
      <c r="EP40" s="2"/>
      <c r="EQ40" s="2">
        <v>0</v>
      </c>
      <c r="ER40" s="2">
        <v>9315.65</v>
      </c>
      <c r="ES40" s="2">
        <v>7859.3</v>
      </c>
      <c r="ET40" s="2">
        <v>255.21</v>
      </c>
      <c r="EU40" s="2">
        <v>50.32</v>
      </c>
      <c r="EV40" s="2">
        <v>1201.1400000000001</v>
      </c>
      <c r="EW40" s="2">
        <v>137.43</v>
      </c>
      <c r="EX40" s="2">
        <v>4.2300000000000004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39"/>
        <v>0</v>
      </c>
      <c r="FS40" s="2">
        <v>0</v>
      </c>
      <c r="FT40" s="2" t="s">
        <v>25</v>
      </c>
      <c r="FU40" s="2" t="s">
        <v>26</v>
      </c>
      <c r="FV40" s="2"/>
      <c r="FW40" s="2"/>
      <c r="FX40" s="2">
        <v>106.2</v>
      </c>
      <c r="FY40" s="2">
        <v>53.55</v>
      </c>
      <c r="FZ40" s="2"/>
      <c r="GA40" s="2" t="s">
        <v>6</v>
      </c>
      <c r="GB40" s="2"/>
      <c r="GC40" s="2"/>
      <c r="GD40" s="2">
        <v>1</v>
      </c>
      <c r="GE40" s="2"/>
      <c r="GF40" s="2">
        <v>-160637062</v>
      </c>
      <c r="GG40" s="2">
        <v>2</v>
      </c>
      <c r="GH40" s="2">
        <v>1</v>
      </c>
      <c r="GI40" s="2">
        <v>-2</v>
      </c>
      <c r="GJ40" s="2">
        <v>0</v>
      </c>
      <c r="GK40" s="2">
        <v>0</v>
      </c>
      <c r="GL40" s="2">
        <f t="shared" si="40"/>
        <v>0</v>
      </c>
      <c r="GM40" s="2">
        <f t="shared" si="41"/>
        <v>787.01</v>
      </c>
      <c r="GN40" s="2">
        <f t="shared" si="42"/>
        <v>787.01</v>
      </c>
      <c r="GO40" s="2">
        <f t="shared" si="43"/>
        <v>0</v>
      </c>
      <c r="GP40" s="2">
        <f t="shared" si="44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45"/>
        <v>0</v>
      </c>
      <c r="GW40" s="2">
        <v>1</v>
      </c>
      <c r="GX40" s="2">
        <f t="shared" si="46"/>
        <v>0</v>
      </c>
      <c r="GY40" s="2"/>
      <c r="GZ40" s="2"/>
      <c r="HA40" s="2">
        <v>0</v>
      </c>
      <c r="HB40" s="2">
        <v>0</v>
      </c>
      <c r="HC40" s="2">
        <f t="shared" si="47"/>
        <v>0</v>
      </c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ROW(SmtRes!A116)</f>
        <v>116</v>
      </c>
      <c r="D41">
        <f>ROW(EtalonRes!A126)</f>
        <v>126</v>
      </c>
      <c r="E41" t="s">
        <v>73</v>
      </c>
      <c r="F41" t="s">
        <v>74</v>
      </c>
      <c r="G41" t="s">
        <v>75</v>
      </c>
      <c r="H41" t="s">
        <v>30</v>
      </c>
      <c r="I41">
        <f>ROUND(6.63/100,9)</f>
        <v>6.6299999999999998E-2</v>
      </c>
      <c r="J41">
        <v>0</v>
      </c>
      <c r="O41">
        <f t="shared" si="14"/>
        <v>4290.84</v>
      </c>
      <c r="P41">
        <f t="shared" si="15"/>
        <v>3527.65</v>
      </c>
      <c r="Q41">
        <f t="shared" si="16"/>
        <v>143.19</v>
      </c>
      <c r="R41">
        <f t="shared" si="17"/>
        <v>28.23</v>
      </c>
      <c r="S41">
        <f t="shared" si="18"/>
        <v>620</v>
      </c>
      <c r="T41">
        <f t="shared" si="19"/>
        <v>0</v>
      </c>
      <c r="U41">
        <f t="shared" si="20"/>
        <v>10.478350349999999</v>
      </c>
      <c r="V41">
        <f t="shared" si="21"/>
        <v>0.35056125000000005</v>
      </c>
      <c r="W41">
        <f t="shared" si="22"/>
        <v>0</v>
      </c>
      <c r="X41">
        <f t="shared" si="23"/>
        <v>687.12</v>
      </c>
      <c r="Y41">
        <f t="shared" si="24"/>
        <v>350.04</v>
      </c>
      <c r="AA41">
        <v>16856228</v>
      </c>
      <c r="AB41">
        <f t="shared" si="25"/>
        <v>9559.6234999999997</v>
      </c>
      <c r="AC41">
        <f t="shared" si="48"/>
        <v>7859.3</v>
      </c>
      <c r="AD41">
        <f>ROUND(((((ET41*1.25))-((EU41*1.25)))+AE41),6)</f>
        <v>319.01249999999999</v>
      </c>
      <c r="AE41">
        <f>ROUND(((EU41*1.25)),6)</f>
        <v>62.9</v>
      </c>
      <c r="AF41">
        <f>ROUND(((EV41*1.15)),6)</f>
        <v>1381.3109999999999</v>
      </c>
      <c r="AG41">
        <f t="shared" si="26"/>
        <v>0</v>
      </c>
      <c r="AH41">
        <f>((EW41*1.15))</f>
        <v>158.0445</v>
      </c>
      <c r="AI41">
        <f>((EX41*1.25))</f>
        <v>5.2875000000000005</v>
      </c>
      <c r="AJ41">
        <f t="shared" si="27"/>
        <v>0</v>
      </c>
      <c r="AK41">
        <v>9315.65</v>
      </c>
      <c r="AL41">
        <v>7859.3</v>
      </c>
      <c r="AM41">
        <v>255.21</v>
      </c>
      <c r="AN41">
        <v>50.32</v>
      </c>
      <c r="AO41">
        <v>1201.1400000000001</v>
      </c>
      <c r="AP41">
        <v>0</v>
      </c>
      <c r="AQ41">
        <v>137.43</v>
      </c>
      <c r="AR41">
        <v>4.2300000000000004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6.77</v>
      </c>
      <c r="BA41">
        <v>6.77</v>
      </c>
      <c r="BB41">
        <v>6.77</v>
      </c>
      <c r="BC41">
        <v>6.77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76</v>
      </c>
      <c r="BM41">
        <v>10001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6.77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118</v>
      </c>
      <c r="CA41">
        <v>63</v>
      </c>
      <c r="CE41">
        <v>0</v>
      </c>
      <c r="CF41">
        <v>0</v>
      </c>
      <c r="CG41">
        <v>0</v>
      </c>
      <c r="CM41">
        <v>0</v>
      </c>
      <c r="CN41" t="s">
        <v>450</v>
      </c>
      <c r="CO41">
        <v>0</v>
      </c>
      <c r="CP41">
        <f t="shared" si="28"/>
        <v>4290.84</v>
      </c>
      <c r="CQ41">
        <f t="shared" si="29"/>
        <v>53207.460999999996</v>
      </c>
      <c r="CR41">
        <f t="shared" si="30"/>
        <v>2159.7146249999996</v>
      </c>
      <c r="CS41">
        <f t="shared" si="31"/>
        <v>425.83299999999997</v>
      </c>
      <c r="CT41">
        <f t="shared" si="32"/>
        <v>9351.4754699999994</v>
      </c>
      <c r="CU41">
        <f t="shared" si="33"/>
        <v>0</v>
      </c>
      <c r="CV41">
        <f t="shared" si="34"/>
        <v>158.0445</v>
      </c>
      <c r="CW41">
        <f t="shared" si="35"/>
        <v>5.2875000000000005</v>
      </c>
      <c r="CX41">
        <f t="shared" si="36"/>
        <v>0</v>
      </c>
      <c r="CY41">
        <f t="shared" si="37"/>
        <v>687.12380000000007</v>
      </c>
      <c r="CZ41">
        <f t="shared" si="38"/>
        <v>350.04419999999999</v>
      </c>
      <c r="DC41" t="s">
        <v>6</v>
      </c>
      <c r="DD41" t="s">
        <v>6</v>
      </c>
      <c r="DE41" t="s">
        <v>56</v>
      </c>
      <c r="DF41" t="s">
        <v>56</v>
      </c>
      <c r="DG41" t="s">
        <v>57</v>
      </c>
      <c r="DH41" t="s">
        <v>6</v>
      </c>
      <c r="DI41" t="s">
        <v>57</v>
      </c>
      <c r="DJ41" t="s">
        <v>56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30</v>
      </c>
      <c r="DW41" t="s">
        <v>30</v>
      </c>
      <c r="DX41">
        <v>100</v>
      </c>
      <c r="EE41">
        <v>16510487</v>
      </c>
      <c r="EF41">
        <v>2</v>
      </c>
      <c r="EG41" t="s">
        <v>21</v>
      </c>
      <c r="EH41">
        <v>0</v>
      </c>
      <c r="EI41" t="s">
        <v>6</v>
      </c>
      <c r="EJ41">
        <v>1</v>
      </c>
      <c r="EK41">
        <v>10001</v>
      </c>
      <c r="EL41" t="s">
        <v>58</v>
      </c>
      <c r="EM41" t="s">
        <v>59</v>
      </c>
      <c r="EO41" t="s">
        <v>60</v>
      </c>
      <c r="EQ41">
        <v>0</v>
      </c>
      <c r="ER41">
        <v>9315.65</v>
      </c>
      <c r="ES41">
        <v>7859.3</v>
      </c>
      <c r="ET41">
        <v>255.21</v>
      </c>
      <c r="EU41">
        <v>50.32</v>
      </c>
      <c r="EV41">
        <v>1201.1400000000001</v>
      </c>
      <c r="EW41">
        <v>137.43</v>
      </c>
      <c r="EX41">
        <v>4.2300000000000004</v>
      </c>
      <c r="EY41">
        <v>0</v>
      </c>
      <c r="FQ41">
        <v>0</v>
      </c>
      <c r="FR41">
        <f t="shared" si="39"/>
        <v>0</v>
      </c>
      <c r="FS41">
        <v>0</v>
      </c>
      <c r="FT41" t="s">
        <v>25</v>
      </c>
      <c r="FU41" t="s">
        <v>26</v>
      </c>
      <c r="FX41">
        <v>106.2</v>
      </c>
      <c r="FY41">
        <v>53.55</v>
      </c>
      <c r="GA41" t="s">
        <v>6</v>
      </c>
      <c r="GD41">
        <v>1</v>
      </c>
      <c r="GF41">
        <v>-160637062</v>
      </c>
      <c r="GG41">
        <v>1</v>
      </c>
      <c r="GH41">
        <v>1</v>
      </c>
      <c r="GI41">
        <v>4</v>
      </c>
      <c r="GJ41">
        <v>0</v>
      </c>
      <c r="GK41">
        <v>0</v>
      </c>
      <c r="GL41">
        <f t="shared" si="40"/>
        <v>0</v>
      </c>
      <c r="GM41">
        <f t="shared" si="41"/>
        <v>5328</v>
      </c>
      <c r="GN41">
        <f t="shared" si="42"/>
        <v>5328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6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HC41">
        <f t="shared" si="47"/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101</v>
      </c>
      <c r="D42" s="2"/>
      <c r="E42" s="2" t="s">
        <v>77</v>
      </c>
      <c r="F42" s="2" t="s">
        <v>78</v>
      </c>
      <c r="G42" s="2" t="s">
        <v>79</v>
      </c>
      <c r="H42" s="2" t="s">
        <v>64</v>
      </c>
      <c r="I42" s="2">
        <f>I40*J42</f>
        <v>6.63</v>
      </c>
      <c r="J42" s="2">
        <v>100</v>
      </c>
      <c r="K42" s="2"/>
      <c r="L42" s="2"/>
      <c r="M42" s="2"/>
      <c r="N42" s="2"/>
      <c r="O42" s="2">
        <f t="shared" si="14"/>
        <v>0</v>
      </c>
      <c r="P42" s="2">
        <f t="shared" si="15"/>
        <v>0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16856227</v>
      </c>
      <c r="AB42" s="2">
        <f t="shared" si="25"/>
        <v>0</v>
      </c>
      <c r="AC42" s="2">
        <f t="shared" si="48"/>
        <v>0</v>
      </c>
      <c r="AD42" s="2">
        <f>ROUND((((ET42)-(EU42))+AE42),6)</f>
        <v>0</v>
      </c>
      <c r="AE42" s="2">
        <f t="shared" ref="AE42:AF45" si="49">ROUND((EU42),6)</f>
        <v>0</v>
      </c>
      <c r="AF42" s="2">
        <f t="shared" si="49"/>
        <v>0</v>
      </c>
      <c r="AG42" s="2">
        <f t="shared" si="26"/>
        <v>0</v>
      </c>
      <c r="AH42" s="2">
        <f t="shared" ref="AH42:AI45" si="50">(EW42)</f>
        <v>0</v>
      </c>
      <c r="AI42" s="2">
        <f t="shared" si="50"/>
        <v>0</v>
      </c>
      <c r="AJ42" s="2">
        <f t="shared" si="27"/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106</v>
      </c>
      <c r="AU42" s="2">
        <v>54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6</v>
      </c>
      <c r="BK42" s="2"/>
      <c r="BL42" s="2"/>
      <c r="BM42" s="2">
        <v>10001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118</v>
      </c>
      <c r="CA42" s="2">
        <v>63</v>
      </c>
      <c r="CB42" s="2"/>
      <c r="CC42" s="2"/>
      <c r="CD42" s="2"/>
      <c r="CE42" s="2">
        <v>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28"/>
        <v>0</v>
      </c>
      <c r="CQ42" s="2">
        <f t="shared" si="29"/>
        <v>0</v>
      </c>
      <c r="CR42" s="2">
        <f t="shared" si="30"/>
        <v>0</v>
      </c>
      <c r="CS42" s="2">
        <f t="shared" si="31"/>
        <v>0</v>
      </c>
      <c r="CT42" s="2">
        <f t="shared" si="32"/>
        <v>0</v>
      </c>
      <c r="CU42" s="2">
        <f t="shared" si="33"/>
        <v>0</v>
      </c>
      <c r="CV42" s="2">
        <f t="shared" si="34"/>
        <v>0</v>
      </c>
      <c r="CW42" s="2">
        <f t="shared" si="35"/>
        <v>0</v>
      </c>
      <c r="CX42" s="2">
        <f t="shared" si="36"/>
        <v>0</v>
      </c>
      <c r="CY42" s="2">
        <f t="shared" si="37"/>
        <v>0</v>
      </c>
      <c r="CZ42" s="2">
        <f t="shared" si="38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64</v>
      </c>
      <c r="DW42" s="2" t="s">
        <v>64</v>
      </c>
      <c r="DX42" s="2">
        <v>1</v>
      </c>
      <c r="DY42" s="2"/>
      <c r="DZ42" s="2"/>
      <c r="EA42" s="2"/>
      <c r="EB42" s="2"/>
      <c r="EC42" s="2"/>
      <c r="ED42" s="2"/>
      <c r="EE42" s="2">
        <v>16510487</v>
      </c>
      <c r="EF42" s="2">
        <v>2</v>
      </c>
      <c r="EG42" s="2" t="s">
        <v>21</v>
      </c>
      <c r="EH42" s="2">
        <v>0</v>
      </c>
      <c r="EI42" s="2" t="s">
        <v>6</v>
      </c>
      <c r="EJ42" s="2">
        <v>1</v>
      </c>
      <c r="EK42" s="2">
        <v>10001</v>
      </c>
      <c r="EL42" s="2" t="s">
        <v>58</v>
      </c>
      <c r="EM42" s="2" t="s">
        <v>59</v>
      </c>
      <c r="EN42" s="2"/>
      <c r="EO42" s="2" t="s">
        <v>6</v>
      </c>
      <c r="EP42" s="2"/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39"/>
        <v>0</v>
      </c>
      <c r="FS42" s="2">
        <v>0</v>
      </c>
      <c r="FT42" s="2" t="s">
        <v>25</v>
      </c>
      <c r="FU42" s="2" t="s">
        <v>26</v>
      </c>
      <c r="FV42" s="2"/>
      <c r="FW42" s="2"/>
      <c r="FX42" s="2">
        <v>106.2</v>
      </c>
      <c r="FY42" s="2">
        <v>53.55</v>
      </c>
      <c r="FZ42" s="2"/>
      <c r="GA42" s="2" t="s">
        <v>6</v>
      </c>
      <c r="GB42" s="2"/>
      <c r="GC42" s="2"/>
      <c r="GD42" s="2">
        <v>1</v>
      </c>
      <c r="GE42" s="2"/>
      <c r="GF42" s="2">
        <v>1219964505</v>
      </c>
      <c r="GG42" s="2">
        <v>2</v>
      </c>
      <c r="GH42" s="2">
        <v>1</v>
      </c>
      <c r="GI42" s="2">
        <v>-2</v>
      </c>
      <c r="GJ42" s="2">
        <v>0</v>
      </c>
      <c r="GK42" s="2">
        <v>0</v>
      </c>
      <c r="GL42" s="2">
        <f t="shared" si="40"/>
        <v>0</v>
      </c>
      <c r="GM42" s="2">
        <f t="shared" si="41"/>
        <v>0</v>
      </c>
      <c r="GN42" s="2">
        <f t="shared" si="42"/>
        <v>0</v>
      </c>
      <c r="GO42" s="2">
        <f t="shared" si="43"/>
        <v>0</v>
      </c>
      <c r="GP42" s="2">
        <f t="shared" si="44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45"/>
        <v>0</v>
      </c>
      <c r="GW42" s="2">
        <v>1</v>
      </c>
      <c r="GX42" s="2">
        <f t="shared" si="46"/>
        <v>0</v>
      </c>
      <c r="GY42" s="2"/>
      <c r="GZ42" s="2"/>
      <c r="HA42" s="2">
        <v>0</v>
      </c>
      <c r="HB42" s="2">
        <v>0</v>
      </c>
      <c r="HC42" s="2">
        <f t="shared" si="47"/>
        <v>0</v>
      </c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113</v>
      </c>
      <c r="E43" t="s">
        <v>77</v>
      </c>
      <c r="F43" t="s">
        <v>78</v>
      </c>
      <c r="G43" t="s">
        <v>79</v>
      </c>
      <c r="H43" t="s">
        <v>64</v>
      </c>
      <c r="I43">
        <f>I41*J43</f>
        <v>6.63</v>
      </c>
      <c r="J43">
        <v>100</v>
      </c>
      <c r="O43">
        <f t="shared" si="14"/>
        <v>0</v>
      </c>
      <c r="P43">
        <f t="shared" si="15"/>
        <v>0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16856228</v>
      </c>
      <c r="AB43">
        <f t="shared" si="25"/>
        <v>0</v>
      </c>
      <c r="AC43">
        <f t="shared" si="48"/>
        <v>0</v>
      </c>
      <c r="AD43">
        <f>ROUND((((ET43)-(EU43))+AE43),6)</f>
        <v>0</v>
      </c>
      <c r="AE43">
        <f t="shared" si="49"/>
        <v>0</v>
      </c>
      <c r="AF43">
        <f t="shared" si="49"/>
        <v>0</v>
      </c>
      <c r="AG43">
        <f t="shared" si="26"/>
        <v>0</v>
      </c>
      <c r="AH43">
        <f t="shared" si="50"/>
        <v>0</v>
      </c>
      <c r="AI43">
        <f t="shared" si="50"/>
        <v>0</v>
      </c>
      <c r="AJ43">
        <f t="shared" si="27"/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6.77</v>
      </c>
      <c r="BA43">
        <v>1</v>
      </c>
      <c r="BB43">
        <v>1</v>
      </c>
      <c r="BC43">
        <v>6.77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6</v>
      </c>
      <c r="BM43">
        <v>10001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118</v>
      </c>
      <c r="CA43">
        <v>63</v>
      </c>
      <c r="CE43">
        <v>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28"/>
        <v>0</v>
      </c>
      <c r="CQ43">
        <f t="shared" si="29"/>
        <v>0</v>
      </c>
      <c r="CR43">
        <f t="shared" si="30"/>
        <v>0</v>
      </c>
      <c r="CS43">
        <f t="shared" si="31"/>
        <v>0</v>
      </c>
      <c r="CT43">
        <f t="shared" si="32"/>
        <v>0</v>
      </c>
      <c r="CU43">
        <f t="shared" si="33"/>
        <v>0</v>
      </c>
      <c r="CV43">
        <f t="shared" si="34"/>
        <v>0</v>
      </c>
      <c r="CW43">
        <f t="shared" si="35"/>
        <v>0</v>
      </c>
      <c r="CX43">
        <f t="shared" si="36"/>
        <v>0</v>
      </c>
      <c r="CY43">
        <f t="shared" si="37"/>
        <v>0</v>
      </c>
      <c r="CZ43">
        <f t="shared" si="38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64</v>
      </c>
      <c r="DW43" t="s">
        <v>64</v>
      </c>
      <c r="DX43">
        <v>1</v>
      </c>
      <c r="EE43">
        <v>16510487</v>
      </c>
      <c r="EF43">
        <v>2</v>
      </c>
      <c r="EG43" t="s">
        <v>21</v>
      </c>
      <c r="EH43">
        <v>0</v>
      </c>
      <c r="EI43" t="s">
        <v>6</v>
      </c>
      <c r="EJ43">
        <v>1</v>
      </c>
      <c r="EK43">
        <v>10001</v>
      </c>
      <c r="EL43" t="s">
        <v>58</v>
      </c>
      <c r="EM43" t="s">
        <v>59</v>
      </c>
      <c r="EO43" t="s">
        <v>6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39"/>
        <v>0</v>
      </c>
      <c r="FS43">
        <v>0</v>
      </c>
      <c r="FT43" t="s">
        <v>25</v>
      </c>
      <c r="FU43" t="s">
        <v>26</v>
      </c>
      <c r="FX43">
        <v>106.2</v>
      </c>
      <c r="FY43">
        <v>53.55</v>
      </c>
      <c r="GA43" t="s">
        <v>6</v>
      </c>
      <c r="GD43">
        <v>1</v>
      </c>
      <c r="GF43">
        <v>1219964505</v>
      </c>
      <c r="GG43">
        <v>1</v>
      </c>
      <c r="GH43">
        <v>1</v>
      </c>
      <c r="GI43">
        <v>4</v>
      </c>
      <c r="GJ43">
        <v>0</v>
      </c>
      <c r="GK43">
        <v>0</v>
      </c>
      <c r="GL43">
        <f t="shared" si="40"/>
        <v>0</v>
      </c>
      <c r="GM43">
        <f t="shared" si="41"/>
        <v>0</v>
      </c>
      <c r="GN43">
        <f t="shared" si="42"/>
        <v>0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6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HC43">
        <f t="shared" si="47"/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104</v>
      </c>
      <c r="D44" s="2"/>
      <c r="E44" s="2" t="s">
        <v>80</v>
      </c>
      <c r="F44" s="2" t="s">
        <v>62</v>
      </c>
      <c r="G44" s="2" t="s">
        <v>81</v>
      </c>
      <c r="H44" s="2" t="s">
        <v>64</v>
      </c>
      <c r="I44" s="2">
        <f>I40*J44</f>
        <v>6.63</v>
      </c>
      <c r="J44" s="2">
        <v>100</v>
      </c>
      <c r="K44" s="2"/>
      <c r="L44" s="2"/>
      <c r="M44" s="2"/>
      <c r="N44" s="2"/>
      <c r="O44" s="2">
        <f t="shared" si="14"/>
        <v>0</v>
      </c>
      <c r="P44" s="2">
        <f t="shared" si="15"/>
        <v>0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16856227</v>
      </c>
      <c r="AB44" s="2">
        <f t="shared" si="25"/>
        <v>0</v>
      </c>
      <c r="AC44" s="2">
        <f t="shared" si="48"/>
        <v>0</v>
      </c>
      <c r="AD44" s="2">
        <f>ROUND((((ET44)-(EU44))+AE44),6)</f>
        <v>0</v>
      </c>
      <c r="AE44" s="2">
        <f t="shared" si="49"/>
        <v>0</v>
      </c>
      <c r="AF44" s="2">
        <f t="shared" si="49"/>
        <v>0</v>
      </c>
      <c r="AG44" s="2">
        <f t="shared" si="26"/>
        <v>0</v>
      </c>
      <c r="AH44" s="2">
        <f t="shared" si="50"/>
        <v>0</v>
      </c>
      <c r="AI44" s="2">
        <f t="shared" si="50"/>
        <v>0</v>
      </c>
      <c r="AJ44" s="2">
        <f t="shared" si="27"/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106</v>
      </c>
      <c r="AU44" s="2">
        <v>54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6</v>
      </c>
      <c r="BK44" s="2"/>
      <c r="BL44" s="2"/>
      <c r="BM44" s="2">
        <v>10001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118</v>
      </c>
      <c r="CA44" s="2">
        <v>63</v>
      </c>
      <c r="CB44" s="2"/>
      <c r="CC44" s="2"/>
      <c r="CD44" s="2"/>
      <c r="CE44" s="2">
        <v>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28"/>
        <v>0</v>
      </c>
      <c r="CQ44" s="2">
        <f t="shared" si="29"/>
        <v>0</v>
      </c>
      <c r="CR44" s="2">
        <f t="shared" si="30"/>
        <v>0</v>
      </c>
      <c r="CS44" s="2">
        <f t="shared" si="31"/>
        <v>0</v>
      </c>
      <c r="CT44" s="2">
        <f t="shared" si="32"/>
        <v>0</v>
      </c>
      <c r="CU44" s="2">
        <f t="shared" si="33"/>
        <v>0</v>
      </c>
      <c r="CV44" s="2">
        <f t="shared" si="34"/>
        <v>0</v>
      </c>
      <c r="CW44" s="2">
        <f t="shared" si="35"/>
        <v>0</v>
      </c>
      <c r="CX44" s="2">
        <f t="shared" si="36"/>
        <v>0</v>
      </c>
      <c r="CY44" s="2">
        <f t="shared" si="37"/>
        <v>0</v>
      </c>
      <c r="CZ44" s="2">
        <f t="shared" si="38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1005</v>
      </c>
      <c r="DV44" s="2" t="s">
        <v>64</v>
      </c>
      <c r="DW44" s="2" t="s">
        <v>64</v>
      </c>
      <c r="DX44" s="2">
        <v>1</v>
      </c>
      <c r="DY44" s="2"/>
      <c r="DZ44" s="2"/>
      <c r="EA44" s="2"/>
      <c r="EB44" s="2"/>
      <c r="EC44" s="2"/>
      <c r="ED44" s="2"/>
      <c r="EE44" s="2">
        <v>16510487</v>
      </c>
      <c r="EF44" s="2">
        <v>2</v>
      </c>
      <c r="EG44" s="2" t="s">
        <v>21</v>
      </c>
      <c r="EH44" s="2">
        <v>0</v>
      </c>
      <c r="EI44" s="2" t="s">
        <v>6</v>
      </c>
      <c r="EJ44" s="2">
        <v>1</v>
      </c>
      <c r="EK44" s="2">
        <v>10001</v>
      </c>
      <c r="EL44" s="2" t="s">
        <v>58</v>
      </c>
      <c r="EM44" s="2" t="s">
        <v>59</v>
      </c>
      <c r="EN44" s="2"/>
      <c r="EO44" s="2" t="s">
        <v>6</v>
      </c>
      <c r="EP44" s="2"/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39"/>
        <v>0</v>
      </c>
      <c r="FS44" s="2">
        <v>0</v>
      </c>
      <c r="FT44" s="2" t="s">
        <v>25</v>
      </c>
      <c r="FU44" s="2" t="s">
        <v>26</v>
      </c>
      <c r="FV44" s="2"/>
      <c r="FW44" s="2"/>
      <c r="FX44" s="2">
        <v>106.2</v>
      </c>
      <c r="FY44" s="2">
        <v>53.55</v>
      </c>
      <c r="FZ44" s="2"/>
      <c r="GA44" s="2" t="s">
        <v>6</v>
      </c>
      <c r="GB44" s="2"/>
      <c r="GC44" s="2"/>
      <c r="GD44" s="2">
        <v>1</v>
      </c>
      <c r="GE44" s="2"/>
      <c r="GF44" s="2">
        <v>2091989820</v>
      </c>
      <c r="GG44" s="2">
        <v>2</v>
      </c>
      <c r="GH44" s="2">
        <v>0</v>
      </c>
      <c r="GI44" s="2">
        <v>-2</v>
      </c>
      <c r="GJ44" s="2">
        <v>0</v>
      </c>
      <c r="GK44" s="2">
        <v>0</v>
      </c>
      <c r="GL44" s="2">
        <f t="shared" si="40"/>
        <v>0</v>
      </c>
      <c r="GM44" s="2">
        <f t="shared" si="41"/>
        <v>0</v>
      </c>
      <c r="GN44" s="2">
        <f t="shared" si="42"/>
        <v>0</v>
      </c>
      <c r="GO44" s="2">
        <f t="shared" si="43"/>
        <v>0</v>
      </c>
      <c r="GP44" s="2">
        <f t="shared" si="44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45"/>
        <v>0</v>
      </c>
      <c r="GW44" s="2">
        <v>1</v>
      </c>
      <c r="GX44" s="2">
        <f t="shared" si="46"/>
        <v>0</v>
      </c>
      <c r="GY44" s="2"/>
      <c r="GZ44" s="2"/>
      <c r="HA44" s="2">
        <v>0</v>
      </c>
      <c r="HB44" s="2">
        <v>0</v>
      </c>
      <c r="HC44" s="2">
        <f t="shared" si="47"/>
        <v>0</v>
      </c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116</v>
      </c>
      <c r="E45" t="s">
        <v>80</v>
      </c>
      <c r="F45" t="s">
        <v>62</v>
      </c>
      <c r="G45" t="s">
        <v>81</v>
      </c>
      <c r="H45" t="s">
        <v>64</v>
      </c>
      <c r="I45">
        <f>I41*J45</f>
        <v>6.63</v>
      </c>
      <c r="J45">
        <v>100</v>
      </c>
      <c r="O45">
        <f t="shared" si="14"/>
        <v>36534.230000000003</v>
      </c>
      <c r="P45">
        <f t="shared" si="15"/>
        <v>36534.230000000003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16856228</v>
      </c>
      <c r="AB45">
        <f t="shared" si="25"/>
        <v>813.95</v>
      </c>
      <c r="AC45">
        <f t="shared" si="48"/>
        <v>813.95</v>
      </c>
      <c r="AD45">
        <f>ROUND((((ET45)-(EU45))+AE45),6)</f>
        <v>0</v>
      </c>
      <c r="AE45">
        <f t="shared" si="49"/>
        <v>0</v>
      </c>
      <c r="AF45">
        <f t="shared" si="49"/>
        <v>0</v>
      </c>
      <c r="AG45">
        <f t="shared" si="26"/>
        <v>0</v>
      </c>
      <c r="AH45">
        <f t="shared" si="50"/>
        <v>0</v>
      </c>
      <c r="AI45">
        <f t="shared" si="50"/>
        <v>0</v>
      </c>
      <c r="AJ45">
        <f t="shared" si="27"/>
        <v>0</v>
      </c>
      <c r="AK45">
        <v>813.95</v>
      </c>
      <c r="AL45">
        <v>813.95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6.77</v>
      </c>
      <c r="BA45">
        <v>1</v>
      </c>
      <c r="BB45">
        <v>1</v>
      </c>
      <c r="BC45">
        <v>6.77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6</v>
      </c>
      <c r="BM45">
        <v>10001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118</v>
      </c>
      <c r="CA45">
        <v>63</v>
      </c>
      <c r="CE45">
        <v>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28"/>
        <v>36534.230000000003</v>
      </c>
      <c r="CQ45">
        <f t="shared" si="29"/>
        <v>5510.4414999999999</v>
      </c>
      <c r="CR45">
        <f t="shared" si="30"/>
        <v>0</v>
      </c>
      <c r="CS45">
        <f t="shared" si="31"/>
        <v>0</v>
      </c>
      <c r="CT45">
        <f t="shared" si="32"/>
        <v>0</v>
      </c>
      <c r="CU45">
        <f t="shared" si="33"/>
        <v>0</v>
      </c>
      <c r="CV45">
        <f t="shared" si="34"/>
        <v>0</v>
      </c>
      <c r="CW45">
        <f t="shared" si="35"/>
        <v>0</v>
      </c>
      <c r="CX45">
        <f t="shared" si="36"/>
        <v>0</v>
      </c>
      <c r="CY45">
        <f t="shared" si="37"/>
        <v>0</v>
      </c>
      <c r="CZ45">
        <f t="shared" si="38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64</v>
      </c>
      <c r="DW45" t="s">
        <v>64</v>
      </c>
      <c r="DX45">
        <v>1</v>
      </c>
      <c r="EE45">
        <v>16510487</v>
      </c>
      <c r="EF45">
        <v>2</v>
      </c>
      <c r="EG45" t="s">
        <v>21</v>
      </c>
      <c r="EH45">
        <v>0</v>
      </c>
      <c r="EI45" t="s">
        <v>6</v>
      </c>
      <c r="EJ45">
        <v>1</v>
      </c>
      <c r="EK45">
        <v>10001</v>
      </c>
      <c r="EL45" t="s">
        <v>58</v>
      </c>
      <c r="EM45" t="s">
        <v>59</v>
      </c>
      <c r="EO45" t="s">
        <v>6</v>
      </c>
      <c r="EQ45">
        <v>0</v>
      </c>
      <c r="ER45">
        <v>813.95</v>
      </c>
      <c r="ES45">
        <v>813.95</v>
      </c>
      <c r="ET45">
        <v>0</v>
      </c>
      <c r="EU45">
        <v>0</v>
      </c>
      <c r="EV45">
        <v>0</v>
      </c>
      <c r="EW45">
        <v>0</v>
      </c>
      <c r="EX45">
        <v>0</v>
      </c>
      <c r="EZ45">
        <v>5</v>
      </c>
      <c r="FC45">
        <v>1</v>
      </c>
      <c r="FD45">
        <v>18</v>
      </c>
      <c r="FF45">
        <v>6502.31</v>
      </c>
      <c r="FQ45">
        <v>0</v>
      </c>
      <c r="FR45">
        <f t="shared" si="39"/>
        <v>0</v>
      </c>
      <c r="FS45">
        <v>0</v>
      </c>
      <c r="FT45" t="s">
        <v>25</v>
      </c>
      <c r="FU45" t="s">
        <v>26</v>
      </c>
      <c r="FX45">
        <v>106.2</v>
      </c>
      <c r="FY45">
        <v>53.55</v>
      </c>
      <c r="GA45" t="s">
        <v>82</v>
      </c>
      <c r="GD45">
        <v>1</v>
      </c>
      <c r="GF45">
        <v>2091989820</v>
      </c>
      <c r="GG45">
        <v>1</v>
      </c>
      <c r="GH45">
        <v>3</v>
      </c>
      <c r="GI45">
        <v>4</v>
      </c>
      <c r="GJ45">
        <v>0</v>
      </c>
      <c r="GK45">
        <v>0</v>
      </c>
      <c r="GL45">
        <f t="shared" si="40"/>
        <v>0</v>
      </c>
      <c r="GM45">
        <f t="shared" si="41"/>
        <v>36534.230000000003</v>
      </c>
      <c r="GN45">
        <f t="shared" si="42"/>
        <v>36534.230000000003</v>
      </c>
      <c r="GO45">
        <f t="shared" si="43"/>
        <v>0</v>
      </c>
      <c r="GP45">
        <f t="shared" si="44"/>
        <v>0</v>
      </c>
      <c r="GR45">
        <v>1</v>
      </c>
      <c r="GS45">
        <v>1</v>
      </c>
      <c r="GT45">
        <v>0</v>
      </c>
      <c r="GU45" t="s">
        <v>6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HC45">
        <f t="shared" si="47"/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ROW(SmtRes!A123)</f>
        <v>123</v>
      </c>
      <c r="D46" s="2">
        <f>ROW(EtalonRes!A133)</f>
        <v>133</v>
      </c>
      <c r="E46" s="2" t="s">
        <v>83</v>
      </c>
      <c r="F46" s="2" t="s">
        <v>84</v>
      </c>
      <c r="G46" s="2" t="s">
        <v>85</v>
      </c>
      <c r="H46" s="2" t="s">
        <v>47</v>
      </c>
      <c r="I46" s="2">
        <f>ROUND(207.22/100,9)</f>
        <v>2.0722</v>
      </c>
      <c r="J46" s="2">
        <v>0</v>
      </c>
      <c r="K46" s="2"/>
      <c r="L46" s="2"/>
      <c r="M46" s="2"/>
      <c r="N46" s="2"/>
      <c r="O46" s="2">
        <f t="shared" si="14"/>
        <v>8732.15</v>
      </c>
      <c r="P46" s="2">
        <f t="shared" si="15"/>
        <v>8272.64</v>
      </c>
      <c r="Q46" s="2">
        <f t="shared" si="16"/>
        <v>28.78</v>
      </c>
      <c r="R46" s="2">
        <f t="shared" si="17"/>
        <v>5.91</v>
      </c>
      <c r="S46" s="2">
        <f t="shared" si="18"/>
        <v>430.73</v>
      </c>
      <c r="T46" s="2">
        <f t="shared" si="19"/>
        <v>0</v>
      </c>
      <c r="U46" s="2">
        <f t="shared" si="20"/>
        <v>50.496405700000004</v>
      </c>
      <c r="V46" s="2">
        <f t="shared" si="21"/>
        <v>0.49214749999999996</v>
      </c>
      <c r="W46" s="2">
        <f t="shared" si="22"/>
        <v>0</v>
      </c>
      <c r="X46" s="2">
        <f t="shared" si="23"/>
        <v>462.84</v>
      </c>
      <c r="Y46" s="2">
        <f t="shared" si="24"/>
        <v>235.79</v>
      </c>
      <c r="Z46" s="2"/>
      <c r="AA46" s="2">
        <v>16856227</v>
      </c>
      <c r="AB46" s="2">
        <f t="shared" si="25"/>
        <v>4213.95</v>
      </c>
      <c r="AC46" s="2">
        <f t="shared" si="48"/>
        <v>3992.2</v>
      </c>
      <c r="AD46" s="2">
        <f>ROUND(((((ET46*1.25))-((EU46*1.25)))+AE46),6)</f>
        <v>13.887499999999999</v>
      </c>
      <c r="AE46" s="2">
        <f>ROUND(((EU46*1.25)),6)</f>
        <v>2.85</v>
      </c>
      <c r="AF46" s="2">
        <f>ROUND(((EV46*1.15)),6)</f>
        <v>207.86250000000001</v>
      </c>
      <c r="AG46" s="2">
        <f t="shared" si="26"/>
        <v>0</v>
      </c>
      <c r="AH46" s="2">
        <f>((EW46*1.15))</f>
        <v>24.368500000000001</v>
      </c>
      <c r="AI46" s="2">
        <f>((EX46*1.25))</f>
        <v>0.23749999999999999</v>
      </c>
      <c r="AJ46" s="2">
        <f t="shared" si="27"/>
        <v>0</v>
      </c>
      <c r="AK46" s="2">
        <v>4184.0600000000004</v>
      </c>
      <c r="AL46" s="2">
        <v>3992.2</v>
      </c>
      <c r="AM46" s="2">
        <v>11.11</v>
      </c>
      <c r="AN46" s="2">
        <v>2.2799999999999998</v>
      </c>
      <c r="AO46" s="2">
        <v>180.75</v>
      </c>
      <c r="AP46" s="2">
        <v>0</v>
      </c>
      <c r="AQ46" s="2">
        <v>21.19</v>
      </c>
      <c r="AR46" s="2">
        <v>0.19</v>
      </c>
      <c r="AS46" s="2">
        <v>0</v>
      </c>
      <c r="AT46" s="2">
        <v>106</v>
      </c>
      <c r="AU46" s="2">
        <v>54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86</v>
      </c>
      <c r="BK46" s="2"/>
      <c r="BL46" s="2"/>
      <c r="BM46" s="2">
        <v>10001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118</v>
      </c>
      <c r="CA46" s="2">
        <v>63</v>
      </c>
      <c r="CB46" s="2"/>
      <c r="CC46" s="2"/>
      <c r="CD46" s="2"/>
      <c r="CE46" s="2">
        <v>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450</v>
      </c>
      <c r="CO46" s="2">
        <v>0</v>
      </c>
      <c r="CP46" s="2">
        <f t="shared" si="28"/>
        <v>8732.15</v>
      </c>
      <c r="CQ46" s="2">
        <f t="shared" si="29"/>
        <v>3992.2</v>
      </c>
      <c r="CR46" s="2">
        <f t="shared" si="30"/>
        <v>13.887499999999999</v>
      </c>
      <c r="CS46" s="2">
        <f t="shared" si="31"/>
        <v>2.85</v>
      </c>
      <c r="CT46" s="2">
        <f t="shared" si="32"/>
        <v>207.86250000000001</v>
      </c>
      <c r="CU46" s="2">
        <f t="shared" si="33"/>
        <v>0</v>
      </c>
      <c r="CV46" s="2">
        <f t="shared" si="34"/>
        <v>24.368500000000001</v>
      </c>
      <c r="CW46" s="2">
        <f t="shared" si="35"/>
        <v>0.23749999999999999</v>
      </c>
      <c r="CX46" s="2">
        <f t="shared" si="36"/>
        <v>0</v>
      </c>
      <c r="CY46" s="2">
        <f t="shared" si="37"/>
        <v>462.83840000000004</v>
      </c>
      <c r="CZ46" s="2">
        <f t="shared" si="38"/>
        <v>235.78560000000002</v>
      </c>
      <c r="DA46" s="2"/>
      <c r="DB46" s="2"/>
      <c r="DC46" s="2" t="s">
        <v>6</v>
      </c>
      <c r="DD46" s="2" t="s">
        <v>6</v>
      </c>
      <c r="DE46" s="2" t="s">
        <v>56</v>
      </c>
      <c r="DF46" s="2" t="s">
        <v>56</v>
      </c>
      <c r="DG46" s="2" t="s">
        <v>57</v>
      </c>
      <c r="DH46" s="2" t="s">
        <v>6</v>
      </c>
      <c r="DI46" s="2" t="s">
        <v>57</v>
      </c>
      <c r="DJ46" s="2" t="s">
        <v>56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1003</v>
      </c>
      <c r="DV46" s="2" t="s">
        <v>47</v>
      </c>
      <c r="DW46" s="2" t="s">
        <v>47</v>
      </c>
      <c r="DX46" s="2">
        <v>100</v>
      </c>
      <c r="DY46" s="2"/>
      <c r="DZ46" s="2"/>
      <c r="EA46" s="2"/>
      <c r="EB46" s="2"/>
      <c r="EC46" s="2"/>
      <c r="ED46" s="2"/>
      <c r="EE46" s="2">
        <v>16510487</v>
      </c>
      <c r="EF46" s="2">
        <v>2</v>
      </c>
      <c r="EG46" s="2" t="s">
        <v>21</v>
      </c>
      <c r="EH46" s="2">
        <v>0</v>
      </c>
      <c r="EI46" s="2" t="s">
        <v>6</v>
      </c>
      <c r="EJ46" s="2">
        <v>1</v>
      </c>
      <c r="EK46" s="2">
        <v>10001</v>
      </c>
      <c r="EL46" s="2" t="s">
        <v>58</v>
      </c>
      <c r="EM46" s="2" t="s">
        <v>59</v>
      </c>
      <c r="EN46" s="2"/>
      <c r="EO46" s="2" t="s">
        <v>60</v>
      </c>
      <c r="EP46" s="2"/>
      <c r="EQ46" s="2">
        <v>0</v>
      </c>
      <c r="ER46" s="2">
        <v>4184.0600000000004</v>
      </c>
      <c r="ES46" s="2">
        <v>3992.2</v>
      </c>
      <c r="ET46" s="2">
        <v>11.11</v>
      </c>
      <c r="EU46" s="2">
        <v>2.2799999999999998</v>
      </c>
      <c r="EV46" s="2">
        <v>180.75</v>
      </c>
      <c r="EW46" s="2">
        <v>21.19</v>
      </c>
      <c r="EX46" s="2">
        <v>0.19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39"/>
        <v>0</v>
      </c>
      <c r="FS46" s="2">
        <v>0</v>
      </c>
      <c r="FT46" s="2" t="s">
        <v>25</v>
      </c>
      <c r="FU46" s="2" t="s">
        <v>26</v>
      </c>
      <c r="FV46" s="2"/>
      <c r="FW46" s="2"/>
      <c r="FX46" s="2">
        <v>106.2</v>
      </c>
      <c r="FY46" s="2">
        <v>53.55</v>
      </c>
      <c r="FZ46" s="2"/>
      <c r="GA46" s="2" t="s">
        <v>6</v>
      </c>
      <c r="GB46" s="2"/>
      <c r="GC46" s="2"/>
      <c r="GD46" s="2">
        <v>1</v>
      </c>
      <c r="GE46" s="2"/>
      <c r="GF46" s="2">
        <v>756108961</v>
      </c>
      <c r="GG46" s="2">
        <v>2</v>
      </c>
      <c r="GH46" s="2">
        <v>1</v>
      </c>
      <c r="GI46" s="2">
        <v>-2</v>
      </c>
      <c r="GJ46" s="2">
        <v>0</v>
      </c>
      <c r="GK46" s="2">
        <v>0</v>
      </c>
      <c r="GL46" s="2">
        <f t="shared" si="40"/>
        <v>0</v>
      </c>
      <c r="GM46" s="2">
        <f t="shared" si="41"/>
        <v>9430.7800000000007</v>
      </c>
      <c r="GN46" s="2">
        <f t="shared" si="42"/>
        <v>9430.7800000000007</v>
      </c>
      <c r="GO46" s="2">
        <f t="shared" si="43"/>
        <v>0</v>
      </c>
      <c r="GP46" s="2">
        <f t="shared" si="44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45"/>
        <v>0</v>
      </c>
      <c r="GW46" s="2">
        <v>1</v>
      </c>
      <c r="GX46" s="2">
        <f t="shared" si="46"/>
        <v>0</v>
      </c>
      <c r="GY46" s="2"/>
      <c r="GZ46" s="2"/>
      <c r="HA46" s="2">
        <v>0</v>
      </c>
      <c r="HB46" s="2">
        <v>0</v>
      </c>
      <c r="HC46" s="2">
        <f t="shared" si="47"/>
        <v>0</v>
      </c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ROW(SmtRes!A130)</f>
        <v>130</v>
      </c>
      <c r="D47">
        <f>ROW(EtalonRes!A140)</f>
        <v>140</v>
      </c>
      <c r="E47" t="s">
        <v>83</v>
      </c>
      <c r="F47" t="s">
        <v>84</v>
      </c>
      <c r="G47" t="s">
        <v>85</v>
      </c>
      <c r="H47" t="s">
        <v>47</v>
      </c>
      <c r="I47">
        <f>ROUND(207.22/100,9)</f>
        <v>2.0722</v>
      </c>
      <c r="J47">
        <v>0</v>
      </c>
      <c r="O47">
        <f t="shared" si="14"/>
        <v>59116.63</v>
      </c>
      <c r="P47">
        <f t="shared" si="15"/>
        <v>56005.75</v>
      </c>
      <c r="Q47">
        <f t="shared" si="16"/>
        <v>194.82</v>
      </c>
      <c r="R47">
        <f t="shared" si="17"/>
        <v>39.979999999999997</v>
      </c>
      <c r="S47">
        <f t="shared" si="18"/>
        <v>2916.06</v>
      </c>
      <c r="T47">
        <f t="shared" si="19"/>
        <v>0</v>
      </c>
      <c r="U47">
        <f t="shared" si="20"/>
        <v>50.496405700000004</v>
      </c>
      <c r="V47">
        <f t="shared" si="21"/>
        <v>0.49214749999999996</v>
      </c>
      <c r="W47">
        <f t="shared" si="22"/>
        <v>0</v>
      </c>
      <c r="X47">
        <f t="shared" si="23"/>
        <v>3133.4</v>
      </c>
      <c r="Y47">
        <f t="shared" si="24"/>
        <v>1596.26</v>
      </c>
      <c r="AA47">
        <v>16856228</v>
      </c>
      <c r="AB47">
        <f t="shared" si="25"/>
        <v>4213.95</v>
      </c>
      <c r="AC47">
        <f t="shared" si="48"/>
        <v>3992.2</v>
      </c>
      <c r="AD47">
        <f>ROUND(((((ET47*1.25))-((EU47*1.25)))+AE47),6)</f>
        <v>13.887499999999999</v>
      </c>
      <c r="AE47">
        <f>ROUND(((EU47*1.25)),6)</f>
        <v>2.85</v>
      </c>
      <c r="AF47">
        <f>ROUND(((EV47*1.15)),6)</f>
        <v>207.86250000000001</v>
      </c>
      <c r="AG47">
        <f t="shared" si="26"/>
        <v>0</v>
      </c>
      <c r="AH47">
        <f>((EW47*1.15))</f>
        <v>24.368500000000001</v>
      </c>
      <c r="AI47">
        <f>((EX47*1.25))</f>
        <v>0.23749999999999999</v>
      </c>
      <c r="AJ47">
        <f t="shared" si="27"/>
        <v>0</v>
      </c>
      <c r="AK47">
        <v>4184.0600000000004</v>
      </c>
      <c r="AL47">
        <v>3992.2</v>
      </c>
      <c r="AM47">
        <v>11.11</v>
      </c>
      <c r="AN47">
        <v>2.2799999999999998</v>
      </c>
      <c r="AO47">
        <v>180.75</v>
      </c>
      <c r="AP47">
        <v>0</v>
      </c>
      <c r="AQ47">
        <v>21.19</v>
      </c>
      <c r="AR47">
        <v>0.19</v>
      </c>
      <c r="AS47">
        <v>0</v>
      </c>
      <c r="AT47">
        <v>106</v>
      </c>
      <c r="AU47">
        <v>54</v>
      </c>
      <c r="AV47">
        <v>1</v>
      </c>
      <c r="AW47">
        <v>1</v>
      </c>
      <c r="AZ47">
        <v>6.77</v>
      </c>
      <c r="BA47">
        <v>6.77</v>
      </c>
      <c r="BB47">
        <v>6.77</v>
      </c>
      <c r="BC47">
        <v>6.77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86</v>
      </c>
      <c r="BM47">
        <v>10001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6.77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118</v>
      </c>
      <c r="CA47">
        <v>63</v>
      </c>
      <c r="CE47">
        <v>0</v>
      </c>
      <c r="CF47">
        <v>0</v>
      </c>
      <c r="CG47">
        <v>0</v>
      </c>
      <c r="CM47">
        <v>0</v>
      </c>
      <c r="CN47" t="s">
        <v>450</v>
      </c>
      <c r="CO47">
        <v>0</v>
      </c>
      <c r="CP47">
        <f t="shared" si="28"/>
        <v>59116.63</v>
      </c>
      <c r="CQ47">
        <f t="shared" si="29"/>
        <v>27027.193999999996</v>
      </c>
      <c r="CR47">
        <f t="shared" si="30"/>
        <v>94.018374999999992</v>
      </c>
      <c r="CS47">
        <f t="shared" si="31"/>
        <v>19.294499999999999</v>
      </c>
      <c r="CT47">
        <f t="shared" si="32"/>
        <v>1407.2291250000001</v>
      </c>
      <c r="CU47">
        <f t="shared" si="33"/>
        <v>0</v>
      </c>
      <c r="CV47">
        <f t="shared" si="34"/>
        <v>24.368500000000001</v>
      </c>
      <c r="CW47">
        <f t="shared" si="35"/>
        <v>0.23749999999999999</v>
      </c>
      <c r="CX47">
        <f t="shared" si="36"/>
        <v>0</v>
      </c>
      <c r="CY47">
        <f t="shared" si="37"/>
        <v>3133.4023999999999</v>
      </c>
      <c r="CZ47">
        <f t="shared" si="38"/>
        <v>1596.2616</v>
      </c>
      <c r="DC47" t="s">
        <v>6</v>
      </c>
      <c r="DD47" t="s">
        <v>6</v>
      </c>
      <c r="DE47" t="s">
        <v>56</v>
      </c>
      <c r="DF47" t="s">
        <v>56</v>
      </c>
      <c r="DG47" t="s">
        <v>57</v>
      </c>
      <c r="DH47" t="s">
        <v>6</v>
      </c>
      <c r="DI47" t="s">
        <v>57</v>
      </c>
      <c r="DJ47" t="s">
        <v>56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1003</v>
      </c>
      <c r="DV47" t="s">
        <v>47</v>
      </c>
      <c r="DW47" t="s">
        <v>47</v>
      </c>
      <c r="DX47">
        <v>100</v>
      </c>
      <c r="EE47">
        <v>16510487</v>
      </c>
      <c r="EF47">
        <v>2</v>
      </c>
      <c r="EG47" t="s">
        <v>21</v>
      </c>
      <c r="EH47">
        <v>0</v>
      </c>
      <c r="EI47" t="s">
        <v>6</v>
      </c>
      <c r="EJ47">
        <v>1</v>
      </c>
      <c r="EK47">
        <v>10001</v>
      </c>
      <c r="EL47" t="s">
        <v>58</v>
      </c>
      <c r="EM47" t="s">
        <v>59</v>
      </c>
      <c r="EO47" t="s">
        <v>60</v>
      </c>
      <c r="EQ47">
        <v>0</v>
      </c>
      <c r="ER47">
        <v>4184.0600000000004</v>
      </c>
      <c r="ES47">
        <v>3992.2</v>
      </c>
      <c r="ET47">
        <v>11.11</v>
      </c>
      <c r="EU47">
        <v>2.2799999999999998</v>
      </c>
      <c r="EV47">
        <v>180.75</v>
      </c>
      <c r="EW47">
        <v>21.19</v>
      </c>
      <c r="EX47">
        <v>0.19</v>
      </c>
      <c r="EY47">
        <v>0</v>
      </c>
      <c r="FQ47">
        <v>0</v>
      </c>
      <c r="FR47">
        <f t="shared" si="39"/>
        <v>0</v>
      </c>
      <c r="FS47">
        <v>0</v>
      </c>
      <c r="FT47" t="s">
        <v>25</v>
      </c>
      <c r="FU47" t="s">
        <v>26</v>
      </c>
      <c r="FX47">
        <v>106.2</v>
      </c>
      <c r="FY47">
        <v>53.55</v>
      </c>
      <c r="GA47" t="s">
        <v>6</v>
      </c>
      <c r="GD47">
        <v>1</v>
      </c>
      <c r="GF47">
        <v>756108961</v>
      </c>
      <c r="GG47">
        <v>1</v>
      </c>
      <c r="GH47">
        <v>1</v>
      </c>
      <c r="GI47">
        <v>4</v>
      </c>
      <c r="GJ47">
        <v>0</v>
      </c>
      <c r="GK47">
        <v>0</v>
      </c>
      <c r="GL47">
        <f t="shared" si="40"/>
        <v>0</v>
      </c>
      <c r="GM47">
        <f t="shared" si="41"/>
        <v>63846.29</v>
      </c>
      <c r="GN47">
        <f t="shared" si="42"/>
        <v>63846.29</v>
      </c>
      <c r="GO47">
        <f t="shared" si="43"/>
        <v>0</v>
      </c>
      <c r="GP47">
        <f t="shared" si="44"/>
        <v>0</v>
      </c>
      <c r="GR47">
        <v>0</v>
      </c>
      <c r="GS47">
        <v>3</v>
      </c>
      <c r="GT47">
        <v>0</v>
      </c>
      <c r="GU47" t="s">
        <v>6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HC47">
        <f t="shared" si="47"/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121</v>
      </c>
      <c r="D48" s="2"/>
      <c r="E48" s="2" t="s">
        <v>87</v>
      </c>
      <c r="F48" s="2" t="s">
        <v>88</v>
      </c>
      <c r="G48" s="2" t="s">
        <v>89</v>
      </c>
      <c r="H48" s="2" t="s">
        <v>90</v>
      </c>
      <c r="I48" s="2">
        <f>I46*J48</f>
        <v>207.22</v>
      </c>
      <c r="J48" s="2">
        <v>100</v>
      </c>
      <c r="K48" s="2"/>
      <c r="L48" s="2"/>
      <c r="M48" s="2"/>
      <c r="N48" s="2"/>
      <c r="O48" s="2">
        <f t="shared" si="14"/>
        <v>13334.61</v>
      </c>
      <c r="P48" s="2">
        <f t="shared" si="15"/>
        <v>13334.61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16856227</v>
      </c>
      <c r="AB48" s="2">
        <f t="shared" si="25"/>
        <v>64.349999999999994</v>
      </c>
      <c r="AC48" s="2">
        <f t="shared" si="48"/>
        <v>64.349999999999994</v>
      </c>
      <c r="AD48" s="2">
        <f>ROUND((((ET48)-(EU48))+AE48),6)</f>
        <v>0</v>
      </c>
      <c r="AE48" s="2">
        <f>ROUND((EU48),6)</f>
        <v>0</v>
      </c>
      <c r="AF48" s="2">
        <f>ROUND((EV48),6)</f>
        <v>0</v>
      </c>
      <c r="AG48" s="2">
        <f t="shared" si="26"/>
        <v>0</v>
      </c>
      <c r="AH48" s="2">
        <f>(EW48)</f>
        <v>0</v>
      </c>
      <c r="AI48" s="2">
        <f>(EX48)</f>
        <v>0</v>
      </c>
      <c r="AJ48" s="2">
        <f t="shared" si="27"/>
        <v>0</v>
      </c>
      <c r="AK48" s="2">
        <v>64.349999999999994</v>
      </c>
      <c r="AL48" s="2">
        <v>64.349999999999994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106</v>
      </c>
      <c r="AU48" s="2">
        <v>54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91</v>
      </c>
      <c r="BK48" s="2"/>
      <c r="BL48" s="2"/>
      <c r="BM48" s="2">
        <v>10001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118</v>
      </c>
      <c r="CA48" s="2">
        <v>63</v>
      </c>
      <c r="CB48" s="2"/>
      <c r="CC48" s="2"/>
      <c r="CD48" s="2"/>
      <c r="CE48" s="2">
        <v>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28"/>
        <v>13334.61</v>
      </c>
      <c r="CQ48" s="2">
        <f t="shared" si="29"/>
        <v>64.349999999999994</v>
      </c>
      <c r="CR48" s="2">
        <f t="shared" si="30"/>
        <v>0</v>
      </c>
      <c r="CS48" s="2">
        <f t="shared" si="31"/>
        <v>0</v>
      </c>
      <c r="CT48" s="2">
        <f t="shared" si="32"/>
        <v>0</v>
      </c>
      <c r="CU48" s="2">
        <f t="shared" si="33"/>
        <v>0</v>
      </c>
      <c r="CV48" s="2">
        <f t="shared" si="34"/>
        <v>0</v>
      </c>
      <c r="CW48" s="2">
        <f t="shared" si="35"/>
        <v>0</v>
      </c>
      <c r="CX48" s="2">
        <f t="shared" si="36"/>
        <v>0</v>
      </c>
      <c r="CY48" s="2">
        <f t="shared" si="37"/>
        <v>0</v>
      </c>
      <c r="CZ48" s="2">
        <f t="shared" si="38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1003</v>
      </c>
      <c r="DV48" s="2" t="s">
        <v>90</v>
      </c>
      <c r="DW48" s="2" t="s">
        <v>90</v>
      </c>
      <c r="DX48" s="2">
        <v>1</v>
      </c>
      <c r="DY48" s="2"/>
      <c r="DZ48" s="2"/>
      <c r="EA48" s="2"/>
      <c r="EB48" s="2"/>
      <c r="EC48" s="2"/>
      <c r="ED48" s="2"/>
      <c r="EE48" s="2">
        <v>16510487</v>
      </c>
      <c r="EF48" s="2">
        <v>2</v>
      </c>
      <c r="EG48" s="2" t="s">
        <v>21</v>
      </c>
      <c r="EH48" s="2">
        <v>0</v>
      </c>
      <c r="EI48" s="2" t="s">
        <v>6</v>
      </c>
      <c r="EJ48" s="2">
        <v>1</v>
      </c>
      <c r="EK48" s="2">
        <v>10001</v>
      </c>
      <c r="EL48" s="2" t="s">
        <v>58</v>
      </c>
      <c r="EM48" s="2" t="s">
        <v>59</v>
      </c>
      <c r="EN48" s="2"/>
      <c r="EO48" s="2" t="s">
        <v>6</v>
      </c>
      <c r="EP48" s="2"/>
      <c r="EQ48" s="2">
        <v>0</v>
      </c>
      <c r="ER48" s="2">
        <v>64.349999999999994</v>
      </c>
      <c r="ES48" s="2">
        <v>64.349999999999994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39"/>
        <v>0</v>
      </c>
      <c r="FS48" s="2">
        <v>0</v>
      </c>
      <c r="FT48" s="2" t="s">
        <v>25</v>
      </c>
      <c r="FU48" s="2" t="s">
        <v>26</v>
      </c>
      <c r="FV48" s="2"/>
      <c r="FW48" s="2"/>
      <c r="FX48" s="2">
        <v>106.2</v>
      </c>
      <c r="FY48" s="2">
        <v>53.55</v>
      </c>
      <c r="FZ48" s="2"/>
      <c r="GA48" s="2" t="s">
        <v>6</v>
      </c>
      <c r="GB48" s="2"/>
      <c r="GC48" s="2"/>
      <c r="GD48" s="2">
        <v>1</v>
      </c>
      <c r="GE48" s="2"/>
      <c r="GF48" s="2">
        <v>1369221803</v>
      </c>
      <c r="GG48" s="2">
        <v>2</v>
      </c>
      <c r="GH48" s="2">
        <v>1</v>
      </c>
      <c r="GI48" s="2">
        <v>-2</v>
      </c>
      <c r="GJ48" s="2">
        <v>0</v>
      </c>
      <c r="GK48" s="2">
        <v>0</v>
      </c>
      <c r="GL48" s="2">
        <f t="shared" si="40"/>
        <v>0</v>
      </c>
      <c r="GM48" s="2">
        <f t="shared" si="41"/>
        <v>13334.61</v>
      </c>
      <c r="GN48" s="2">
        <f t="shared" si="42"/>
        <v>13334.61</v>
      </c>
      <c r="GO48" s="2">
        <f t="shared" si="43"/>
        <v>0</v>
      </c>
      <c r="GP48" s="2">
        <f t="shared" si="44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45"/>
        <v>0</v>
      </c>
      <c r="GW48" s="2">
        <v>1</v>
      </c>
      <c r="GX48" s="2">
        <f t="shared" si="46"/>
        <v>0</v>
      </c>
      <c r="GY48" s="2"/>
      <c r="GZ48" s="2"/>
      <c r="HA48" s="2">
        <v>0</v>
      </c>
      <c r="HB48" s="2">
        <v>0</v>
      </c>
      <c r="HC48" s="2">
        <f t="shared" si="47"/>
        <v>0</v>
      </c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128</v>
      </c>
      <c r="E49" t="s">
        <v>87</v>
      </c>
      <c r="F49" t="s">
        <v>88</v>
      </c>
      <c r="G49" t="s">
        <v>89</v>
      </c>
      <c r="H49" t="s">
        <v>90</v>
      </c>
      <c r="I49">
        <f>I47*J49</f>
        <v>207.22</v>
      </c>
      <c r="J49">
        <v>100</v>
      </c>
      <c r="O49">
        <f t="shared" si="14"/>
        <v>90275.29</v>
      </c>
      <c r="P49">
        <f t="shared" si="15"/>
        <v>90275.29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16856228</v>
      </c>
      <c r="AB49">
        <f t="shared" si="25"/>
        <v>64.349999999999994</v>
      </c>
      <c r="AC49">
        <f t="shared" si="48"/>
        <v>64.349999999999994</v>
      </c>
      <c r="AD49">
        <f>ROUND((((ET49)-(EU49))+AE49),6)</f>
        <v>0</v>
      </c>
      <c r="AE49">
        <f>ROUND((EU49),6)</f>
        <v>0</v>
      </c>
      <c r="AF49">
        <f>ROUND((EV49),6)</f>
        <v>0</v>
      </c>
      <c r="AG49">
        <f t="shared" si="26"/>
        <v>0</v>
      </c>
      <c r="AH49">
        <f>(EW49)</f>
        <v>0</v>
      </c>
      <c r="AI49">
        <f>(EX49)</f>
        <v>0</v>
      </c>
      <c r="AJ49">
        <f t="shared" si="27"/>
        <v>0</v>
      </c>
      <c r="AK49">
        <v>64.349999999999994</v>
      </c>
      <c r="AL49">
        <v>64.349999999999994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106</v>
      </c>
      <c r="AU49">
        <v>54</v>
      </c>
      <c r="AV49">
        <v>1</v>
      </c>
      <c r="AW49">
        <v>1</v>
      </c>
      <c r="AZ49">
        <v>6.77</v>
      </c>
      <c r="BA49">
        <v>1</v>
      </c>
      <c r="BB49">
        <v>1</v>
      </c>
      <c r="BC49">
        <v>6.77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91</v>
      </c>
      <c r="BM49">
        <v>10001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118</v>
      </c>
      <c r="CA49">
        <v>63</v>
      </c>
      <c r="CE49">
        <v>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28"/>
        <v>90275.29</v>
      </c>
      <c r="CQ49">
        <f t="shared" si="29"/>
        <v>435.64949999999993</v>
      </c>
      <c r="CR49">
        <f t="shared" si="30"/>
        <v>0</v>
      </c>
      <c r="CS49">
        <f t="shared" si="31"/>
        <v>0</v>
      </c>
      <c r="CT49">
        <f t="shared" si="32"/>
        <v>0</v>
      </c>
      <c r="CU49">
        <f t="shared" si="33"/>
        <v>0</v>
      </c>
      <c r="CV49">
        <f t="shared" si="34"/>
        <v>0</v>
      </c>
      <c r="CW49">
        <f t="shared" si="35"/>
        <v>0</v>
      </c>
      <c r="CX49">
        <f t="shared" si="36"/>
        <v>0</v>
      </c>
      <c r="CY49">
        <f t="shared" si="37"/>
        <v>0</v>
      </c>
      <c r="CZ49">
        <f t="shared" si="38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1003</v>
      </c>
      <c r="DV49" t="s">
        <v>90</v>
      </c>
      <c r="DW49" t="s">
        <v>90</v>
      </c>
      <c r="DX49">
        <v>1</v>
      </c>
      <c r="EE49">
        <v>16510487</v>
      </c>
      <c r="EF49">
        <v>2</v>
      </c>
      <c r="EG49" t="s">
        <v>21</v>
      </c>
      <c r="EH49">
        <v>0</v>
      </c>
      <c r="EI49" t="s">
        <v>6</v>
      </c>
      <c r="EJ49">
        <v>1</v>
      </c>
      <c r="EK49">
        <v>10001</v>
      </c>
      <c r="EL49" t="s">
        <v>58</v>
      </c>
      <c r="EM49" t="s">
        <v>59</v>
      </c>
      <c r="EO49" t="s">
        <v>6</v>
      </c>
      <c r="EQ49">
        <v>0</v>
      </c>
      <c r="ER49">
        <v>64.349999999999994</v>
      </c>
      <c r="ES49">
        <v>64.349999999999994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39"/>
        <v>0</v>
      </c>
      <c r="FS49">
        <v>0</v>
      </c>
      <c r="FT49" t="s">
        <v>25</v>
      </c>
      <c r="FU49" t="s">
        <v>26</v>
      </c>
      <c r="FX49">
        <v>106.2</v>
      </c>
      <c r="FY49">
        <v>53.55</v>
      </c>
      <c r="GA49" t="s">
        <v>6</v>
      </c>
      <c r="GD49">
        <v>1</v>
      </c>
      <c r="GF49">
        <v>1369221803</v>
      </c>
      <c r="GG49">
        <v>1</v>
      </c>
      <c r="GH49">
        <v>1</v>
      </c>
      <c r="GI49">
        <v>4</v>
      </c>
      <c r="GJ49">
        <v>0</v>
      </c>
      <c r="GK49">
        <v>0</v>
      </c>
      <c r="GL49">
        <f t="shared" si="40"/>
        <v>0</v>
      </c>
      <c r="GM49">
        <f t="shared" si="41"/>
        <v>90275.29</v>
      </c>
      <c r="GN49">
        <f t="shared" si="42"/>
        <v>90275.29</v>
      </c>
      <c r="GO49">
        <f t="shared" si="43"/>
        <v>0</v>
      </c>
      <c r="GP49">
        <f t="shared" si="44"/>
        <v>0</v>
      </c>
      <c r="GR49">
        <v>0</v>
      </c>
      <c r="GS49">
        <v>3</v>
      </c>
      <c r="GT49">
        <v>0</v>
      </c>
      <c r="GU49" t="s">
        <v>6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HC49">
        <f t="shared" si="47"/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ROW(SmtRes!A137)</f>
        <v>137</v>
      </c>
      <c r="D50" s="2">
        <f>ROW(EtalonRes!A147)</f>
        <v>147</v>
      </c>
      <c r="E50" s="2" t="s">
        <v>92</v>
      </c>
      <c r="F50" s="2" t="s">
        <v>93</v>
      </c>
      <c r="G50" s="2" t="s">
        <v>94</v>
      </c>
      <c r="H50" s="2" t="s">
        <v>30</v>
      </c>
      <c r="I50" s="2">
        <f>ROUND(52.62/100,9)</f>
        <v>0.5262</v>
      </c>
      <c r="J50" s="2">
        <v>0</v>
      </c>
      <c r="K50" s="2"/>
      <c r="L50" s="2"/>
      <c r="M50" s="2"/>
      <c r="N50" s="2"/>
      <c r="O50" s="2">
        <f t="shared" si="14"/>
        <v>5274.6</v>
      </c>
      <c r="P50" s="2">
        <f t="shared" si="15"/>
        <v>4678.22</v>
      </c>
      <c r="Q50" s="2">
        <f t="shared" si="16"/>
        <v>14.39</v>
      </c>
      <c r="R50" s="2">
        <f t="shared" si="17"/>
        <v>2.31</v>
      </c>
      <c r="S50" s="2">
        <f t="shared" si="18"/>
        <v>581.99</v>
      </c>
      <c r="T50" s="2">
        <f t="shared" si="19"/>
        <v>0</v>
      </c>
      <c r="U50" s="2">
        <f t="shared" si="20"/>
        <v>68.228407500000003</v>
      </c>
      <c r="V50" s="2">
        <f t="shared" si="21"/>
        <v>0.17759250000000001</v>
      </c>
      <c r="W50" s="2">
        <f t="shared" si="22"/>
        <v>0</v>
      </c>
      <c r="X50" s="2">
        <f t="shared" si="23"/>
        <v>631.04</v>
      </c>
      <c r="Y50" s="2">
        <f t="shared" si="24"/>
        <v>321.37</v>
      </c>
      <c r="Z50" s="2"/>
      <c r="AA50" s="2">
        <v>16856227</v>
      </c>
      <c r="AB50" s="2">
        <f t="shared" si="25"/>
        <v>10023.954</v>
      </c>
      <c r="AC50" s="2">
        <f t="shared" si="48"/>
        <v>8890.58</v>
      </c>
      <c r="AD50" s="2">
        <f>ROUND(((((ET50*1.25))-((EU50*1.25)))+AE50),6)</f>
        <v>27.35</v>
      </c>
      <c r="AE50" s="2">
        <f>ROUND(((EU50*1.25)),6)</f>
        <v>4.3875000000000002</v>
      </c>
      <c r="AF50" s="2">
        <f>ROUND(((EV50*1.15)),6)</f>
        <v>1106.0239999999999</v>
      </c>
      <c r="AG50" s="2">
        <f t="shared" si="26"/>
        <v>0</v>
      </c>
      <c r="AH50" s="2">
        <f>((EW50*1.15))</f>
        <v>129.66249999999999</v>
      </c>
      <c r="AI50" s="2">
        <f>((EX50*1.25))</f>
        <v>0.33750000000000002</v>
      </c>
      <c r="AJ50" s="2">
        <f t="shared" si="27"/>
        <v>0</v>
      </c>
      <c r="AK50" s="2">
        <v>9874.2199999999993</v>
      </c>
      <c r="AL50" s="2">
        <v>8890.58</v>
      </c>
      <c r="AM50" s="2">
        <v>21.88</v>
      </c>
      <c r="AN50" s="2">
        <v>3.51</v>
      </c>
      <c r="AO50" s="2">
        <v>961.76</v>
      </c>
      <c r="AP50" s="2">
        <v>0</v>
      </c>
      <c r="AQ50" s="2">
        <v>112.75</v>
      </c>
      <c r="AR50" s="2">
        <v>0.27</v>
      </c>
      <c r="AS50" s="2">
        <v>0</v>
      </c>
      <c r="AT50" s="2">
        <v>108</v>
      </c>
      <c r="AU50" s="2">
        <v>55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95</v>
      </c>
      <c r="BK50" s="2"/>
      <c r="BL50" s="2"/>
      <c r="BM50" s="2">
        <v>12001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120</v>
      </c>
      <c r="CA50" s="2">
        <v>65</v>
      </c>
      <c r="CB50" s="2"/>
      <c r="CC50" s="2"/>
      <c r="CD50" s="2"/>
      <c r="CE50" s="2">
        <v>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450</v>
      </c>
      <c r="CO50" s="2">
        <v>0</v>
      </c>
      <c r="CP50" s="2">
        <f t="shared" si="28"/>
        <v>5274.6</v>
      </c>
      <c r="CQ50" s="2">
        <f t="shared" si="29"/>
        <v>8890.58</v>
      </c>
      <c r="CR50" s="2">
        <f t="shared" si="30"/>
        <v>27.35</v>
      </c>
      <c r="CS50" s="2">
        <f t="shared" si="31"/>
        <v>4.3875000000000002</v>
      </c>
      <c r="CT50" s="2">
        <f t="shared" si="32"/>
        <v>1106.0239999999999</v>
      </c>
      <c r="CU50" s="2">
        <f t="shared" si="33"/>
        <v>0</v>
      </c>
      <c r="CV50" s="2">
        <f t="shared" si="34"/>
        <v>129.66249999999999</v>
      </c>
      <c r="CW50" s="2">
        <f t="shared" si="35"/>
        <v>0.33750000000000002</v>
      </c>
      <c r="CX50" s="2">
        <f t="shared" si="36"/>
        <v>0</v>
      </c>
      <c r="CY50" s="2">
        <f t="shared" si="37"/>
        <v>631.04399999999998</v>
      </c>
      <c r="CZ50" s="2">
        <f t="shared" si="38"/>
        <v>321.36499999999995</v>
      </c>
      <c r="DA50" s="2"/>
      <c r="DB50" s="2"/>
      <c r="DC50" s="2" t="s">
        <v>6</v>
      </c>
      <c r="DD50" s="2" t="s">
        <v>6</v>
      </c>
      <c r="DE50" s="2" t="s">
        <v>56</v>
      </c>
      <c r="DF50" s="2" t="s">
        <v>56</v>
      </c>
      <c r="DG50" s="2" t="s">
        <v>57</v>
      </c>
      <c r="DH50" s="2" t="s">
        <v>6</v>
      </c>
      <c r="DI50" s="2" t="s">
        <v>57</v>
      </c>
      <c r="DJ50" s="2" t="s">
        <v>56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30</v>
      </c>
      <c r="DW50" s="2" t="s">
        <v>30</v>
      </c>
      <c r="DX50" s="2">
        <v>100</v>
      </c>
      <c r="DY50" s="2"/>
      <c r="DZ50" s="2"/>
      <c r="EA50" s="2"/>
      <c r="EB50" s="2"/>
      <c r="EC50" s="2"/>
      <c r="ED50" s="2"/>
      <c r="EE50" s="2">
        <v>16510489</v>
      </c>
      <c r="EF50" s="2">
        <v>2</v>
      </c>
      <c r="EG50" s="2" t="s">
        <v>21</v>
      </c>
      <c r="EH50" s="2">
        <v>0</v>
      </c>
      <c r="EI50" s="2" t="s">
        <v>6</v>
      </c>
      <c r="EJ50" s="2">
        <v>1</v>
      </c>
      <c r="EK50" s="2">
        <v>12001</v>
      </c>
      <c r="EL50" s="2" t="s">
        <v>96</v>
      </c>
      <c r="EM50" s="2" t="s">
        <v>97</v>
      </c>
      <c r="EN50" s="2"/>
      <c r="EO50" s="2" t="s">
        <v>60</v>
      </c>
      <c r="EP50" s="2"/>
      <c r="EQ50" s="2">
        <v>0</v>
      </c>
      <c r="ER50" s="2">
        <v>9874.2199999999993</v>
      </c>
      <c r="ES50" s="2">
        <v>8890.58</v>
      </c>
      <c r="ET50" s="2">
        <v>21.88</v>
      </c>
      <c r="EU50" s="2">
        <v>3.51</v>
      </c>
      <c r="EV50" s="2">
        <v>961.76</v>
      </c>
      <c r="EW50" s="2">
        <v>112.75</v>
      </c>
      <c r="EX50" s="2">
        <v>0.27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39"/>
        <v>0</v>
      </c>
      <c r="FS50" s="2">
        <v>0</v>
      </c>
      <c r="FT50" s="2" t="s">
        <v>25</v>
      </c>
      <c r="FU50" s="2" t="s">
        <v>26</v>
      </c>
      <c r="FV50" s="2"/>
      <c r="FW50" s="2"/>
      <c r="FX50" s="2">
        <v>108</v>
      </c>
      <c r="FY50" s="2">
        <v>55.25</v>
      </c>
      <c r="FZ50" s="2"/>
      <c r="GA50" s="2" t="s">
        <v>6</v>
      </c>
      <c r="GB50" s="2"/>
      <c r="GC50" s="2"/>
      <c r="GD50" s="2">
        <v>1</v>
      </c>
      <c r="GE50" s="2"/>
      <c r="GF50" s="2">
        <v>-1197977700</v>
      </c>
      <c r="GG50" s="2">
        <v>2</v>
      </c>
      <c r="GH50" s="2">
        <v>1</v>
      </c>
      <c r="GI50" s="2">
        <v>-2</v>
      </c>
      <c r="GJ50" s="2">
        <v>0</v>
      </c>
      <c r="GK50" s="2">
        <v>0</v>
      </c>
      <c r="GL50" s="2">
        <f t="shared" si="40"/>
        <v>0</v>
      </c>
      <c r="GM50" s="2">
        <f t="shared" si="41"/>
        <v>6227.01</v>
      </c>
      <c r="GN50" s="2">
        <f t="shared" si="42"/>
        <v>6227.01</v>
      </c>
      <c r="GO50" s="2">
        <f t="shared" si="43"/>
        <v>0</v>
      </c>
      <c r="GP50" s="2">
        <f t="shared" si="44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45"/>
        <v>0</v>
      </c>
      <c r="GW50" s="2">
        <v>1</v>
      </c>
      <c r="GX50" s="2">
        <f t="shared" si="46"/>
        <v>0</v>
      </c>
      <c r="GY50" s="2"/>
      <c r="GZ50" s="2"/>
      <c r="HA50" s="2">
        <v>0</v>
      </c>
      <c r="HB50" s="2">
        <v>0</v>
      </c>
      <c r="HC50" s="2">
        <f t="shared" si="47"/>
        <v>0</v>
      </c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ROW(SmtRes!A144)</f>
        <v>144</v>
      </c>
      <c r="D51">
        <f>ROW(EtalonRes!A154)</f>
        <v>154</v>
      </c>
      <c r="E51" t="s">
        <v>92</v>
      </c>
      <c r="F51" t="s">
        <v>93</v>
      </c>
      <c r="G51" t="s">
        <v>94</v>
      </c>
      <c r="H51" t="s">
        <v>30</v>
      </c>
      <c r="I51">
        <f>ROUND(52.62/100,9)</f>
        <v>0.5262</v>
      </c>
      <c r="J51">
        <v>0</v>
      </c>
      <c r="O51">
        <f t="shared" si="14"/>
        <v>35709.07</v>
      </c>
      <c r="P51">
        <f t="shared" si="15"/>
        <v>31671.57</v>
      </c>
      <c r="Q51">
        <f t="shared" si="16"/>
        <v>97.43</v>
      </c>
      <c r="R51">
        <f t="shared" si="17"/>
        <v>15.63</v>
      </c>
      <c r="S51">
        <f t="shared" si="18"/>
        <v>3940.07</v>
      </c>
      <c r="T51">
        <f t="shared" si="19"/>
        <v>0</v>
      </c>
      <c r="U51">
        <f t="shared" si="20"/>
        <v>68.228407500000003</v>
      </c>
      <c r="V51">
        <f t="shared" si="21"/>
        <v>0.17759250000000001</v>
      </c>
      <c r="W51">
        <f t="shared" si="22"/>
        <v>0</v>
      </c>
      <c r="X51">
        <f t="shared" si="23"/>
        <v>4272.16</v>
      </c>
      <c r="Y51">
        <f t="shared" si="24"/>
        <v>2175.64</v>
      </c>
      <c r="AA51">
        <v>16856228</v>
      </c>
      <c r="AB51">
        <f t="shared" si="25"/>
        <v>10023.954</v>
      </c>
      <c r="AC51">
        <f t="shared" si="48"/>
        <v>8890.58</v>
      </c>
      <c r="AD51">
        <f>ROUND(((((ET51*1.25))-((EU51*1.25)))+AE51),6)</f>
        <v>27.35</v>
      </c>
      <c r="AE51">
        <f>ROUND(((EU51*1.25)),6)</f>
        <v>4.3875000000000002</v>
      </c>
      <c r="AF51">
        <f>ROUND(((EV51*1.15)),6)</f>
        <v>1106.0239999999999</v>
      </c>
      <c r="AG51">
        <f t="shared" si="26"/>
        <v>0</v>
      </c>
      <c r="AH51">
        <f>((EW51*1.15))</f>
        <v>129.66249999999999</v>
      </c>
      <c r="AI51">
        <f>((EX51*1.25))</f>
        <v>0.33750000000000002</v>
      </c>
      <c r="AJ51">
        <f t="shared" si="27"/>
        <v>0</v>
      </c>
      <c r="AK51">
        <v>9874.2199999999993</v>
      </c>
      <c r="AL51">
        <v>8890.58</v>
      </c>
      <c r="AM51">
        <v>21.88</v>
      </c>
      <c r="AN51">
        <v>3.51</v>
      </c>
      <c r="AO51">
        <v>961.76</v>
      </c>
      <c r="AP51">
        <v>0</v>
      </c>
      <c r="AQ51">
        <v>112.75</v>
      </c>
      <c r="AR51">
        <v>0.27</v>
      </c>
      <c r="AS51">
        <v>0</v>
      </c>
      <c r="AT51">
        <v>108</v>
      </c>
      <c r="AU51">
        <v>55</v>
      </c>
      <c r="AV51">
        <v>1</v>
      </c>
      <c r="AW51">
        <v>1</v>
      </c>
      <c r="AZ51">
        <v>6.77</v>
      </c>
      <c r="BA51">
        <v>6.77</v>
      </c>
      <c r="BB51">
        <v>6.77</v>
      </c>
      <c r="BC51">
        <v>6.77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95</v>
      </c>
      <c r="BM51">
        <v>12001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6.77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120</v>
      </c>
      <c r="CA51">
        <v>65</v>
      </c>
      <c r="CE51">
        <v>0</v>
      </c>
      <c r="CF51">
        <v>0</v>
      </c>
      <c r="CG51">
        <v>0</v>
      </c>
      <c r="CM51">
        <v>0</v>
      </c>
      <c r="CN51" t="s">
        <v>450</v>
      </c>
      <c r="CO51">
        <v>0</v>
      </c>
      <c r="CP51">
        <f t="shared" si="28"/>
        <v>35709.07</v>
      </c>
      <c r="CQ51">
        <f t="shared" si="29"/>
        <v>60189.226599999995</v>
      </c>
      <c r="CR51">
        <f t="shared" si="30"/>
        <v>185.15950000000001</v>
      </c>
      <c r="CS51">
        <f t="shared" si="31"/>
        <v>29.703374999999998</v>
      </c>
      <c r="CT51">
        <f t="shared" si="32"/>
        <v>7487.7824799999989</v>
      </c>
      <c r="CU51">
        <f t="shared" si="33"/>
        <v>0</v>
      </c>
      <c r="CV51">
        <f t="shared" si="34"/>
        <v>129.66249999999999</v>
      </c>
      <c r="CW51">
        <f t="shared" si="35"/>
        <v>0.33750000000000002</v>
      </c>
      <c r="CX51">
        <f t="shared" si="36"/>
        <v>0</v>
      </c>
      <c r="CY51">
        <f t="shared" si="37"/>
        <v>4272.1559999999999</v>
      </c>
      <c r="CZ51">
        <f t="shared" si="38"/>
        <v>2175.6350000000002</v>
      </c>
      <c r="DC51" t="s">
        <v>6</v>
      </c>
      <c r="DD51" t="s">
        <v>6</v>
      </c>
      <c r="DE51" t="s">
        <v>56</v>
      </c>
      <c r="DF51" t="s">
        <v>56</v>
      </c>
      <c r="DG51" t="s">
        <v>57</v>
      </c>
      <c r="DH51" t="s">
        <v>6</v>
      </c>
      <c r="DI51" t="s">
        <v>57</v>
      </c>
      <c r="DJ51" t="s">
        <v>56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30</v>
      </c>
      <c r="DW51" t="s">
        <v>30</v>
      </c>
      <c r="DX51">
        <v>100</v>
      </c>
      <c r="EE51">
        <v>16510489</v>
      </c>
      <c r="EF51">
        <v>2</v>
      </c>
      <c r="EG51" t="s">
        <v>21</v>
      </c>
      <c r="EH51">
        <v>0</v>
      </c>
      <c r="EI51" t="s">
        <v>6</v>
      </c>
      <c r="EJ51">
        <v>1</v>
      </c>
      <c r="EK51">
        <v>12001</v>
      </c>
      <c r="EL51" t="s">
        <v>96</v>
      </c>
      <c r="EM51" t="s">
        <v>97</v>
      </c>
      <c r="EO51" t="s">
        <v>60</v>
      </c>
      <c r="EQ51">
        <v>0</v>
      </c>
      <c r="ER51">
        <v>9874.2199999999993</v>
      </c>
      <c r="ES51">
        <v>8890.58</v>
      </c>
      <c r="ET51">
        <v>21.88</v>
      </c>
      <c r="EU51">
        <v>3.51</v>
      </c>
      <c r="EV51">
        <v>961.76</v>
      </c>
      <c r="EW51">
        <v>112.75</v>
      </c>
      <c r="EX51">
        <v>0.27</v>
      </c>
      <c r="EY51">
        <v>0</v>
      </c>
      <c r="FQ51">
        <v>0</v>
      </c>
      <c r="FR51">
        <f t="shared" si="39"/>
        <v>0</v>
      </c>
      <c r="FS51">
        <v>0</v>
      </c>
      <c r="FT51" t="s">
        <v>25</v>
      </c>
      <c r="FU51" t="s">
        <v>26</v>
      </c>
      <c r="FX51">
        <v>108</v>
      </c>
      <c r="FY51">
        <v>55.25</v>
      </c>
      <c r="GA51" t="s">
        <v>6</v>
      </c>
      <c r="GD51">
        <v>1</v>
      </c>
      <c r="GF51">
        <v>-1197977700</v>
      </c>
      <c r="GG51">
        <v>1</v>
      </c>
      <c r="GH51">
        <v>1</v>
      </c>
      <c r="GI51">
        <v>4</v>
      </c>
      <c r="GJ51">
        <v>0</v>
      </c>
      <c r="GK51">
        <v>0</v>
      </c>
      <c r="GL51">
        <f t="shared" si="40"/>
        <v>0</v>
      </c>
      <c r="GM51">
        <f t="shared" si="41"/>
        <v>42156.87</v>
      </c>
      <c r="GN51">
        <f t="shared" si="42"/>
        <v>42156.87</v>
      </c>
      <c r="GO51">
        <f t="shared" si="43"/>
        <v>0</v>
      </c>
      <c r="GP51">
        <f t="shared" si="44"/>
        <v>0</v>
      </c>
      <c r="GR51">
        <v>0</v>
      </c>
      <c r="GS51">
        <v>3</v>
      </c>
      <c r="GT51">
        <v>0</v>
      </c>
      <c r="GU51" t="s">
        <v>6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HC51">
        <f t="shared" si="47"/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ROW(SmtRes!A150)</f>
        <v>150</v>
      </c>
      <c r="D52" s="2">
        <f>ROW(EtalonRes!A160)</f>
        <v>160</v>
      </c>
      <c r="E52" s="2" t="s">
        <v>98</v>
      </c>
      <c r="F52" s="2" t="s">
        <v>99</v>
      </c>
      <c r="G52" s="2" t="s">
        <v>100</v>
      </c>
      <c r="H52" s="2" t="s">
        <v>30</v>
      </c>
      <c r="I52" s="2">
        <f>ROUND(90.45/100,9)</f>
        <v>0.90449999999999997</v>
      </c>
      <c r="J52" s="2">
        <v>0</v>
      </c>
      <c r="K52" s="2"/>
      <c r="L52" s="2"/>
      <c r="M52" s="2"/>
      <c r="N52" s="2"/>
      <c r="O52" s="2">
        <f t="shared" si="14"/>
        <v>5202.6499999999996</v>
      </c>
      <c r="P52" s="2">
        <f t="shared" si="15"/>
        <v>2061.94</v>
      </c>
      <c r="Q52" s="2">
        <f t="shared" si="16"/>
        <v>32.799999999999997</v>
      </c>
      <c r="R52" s="2">
        <f t="shared" si="17"/>
        <v>14.16</v>
      </c>
      <c r="S52" s="2">
        <f t="shared" si="18"/>
        <v>3107.91</v>
      </c>
      <c r="T52" s="2">
        <f t="shared" si="19"/>
        <v>0</v>
      </c>
      <c r="U52" s="2">
        <f t="shared" si="20"/>
        <v>346.47776999999996</v>
      </c>
      <c r="V52" s="2">
        <f t="shared" si="21"/>
        <v>1.0492199999999998</v>
      </c>
      <c r="W52" s="2">
        <f t="shared" si="22"/>
        <v>0</v>
      </c>
      <c r="X52" s="2">
        <f t="shared" si="23"/>
        <v>2466.44</v>
      </c>
      <c r="Y52" s="2">
        <f t="shared" si="24"/>
        <v>1561.04</v>
      </c>
      <c r="Z52" s="2"/>
      <c r="AA52" s="2">
        <v>16856227</v>
      </c>
      <c r="AB52" s="2">
        <f t="shared" si="25"/>
        <v>5751.96</v>
      </c>
      <c r="AC52" s="2">
        <f t="shared" si="48"/>
        <v>2279.65</v>
      </c>
      <c r="AD52" s="2">
        <f t="shared" ref="AD52:AD57" si="51">ROUND((((ET52)-(EU52))+AE52),6)</f>
        <v>36.26</v>
      </c>
      <c r="AE52" s="2">
        <f t="shared" ref="AE52:AF57" si="52">ROUND((EU52),6)</f>
        <v>15.66</v>
      </c>
      <c r="AF52" s="2">
        <f t="shared" si="52"/>
        <v>3436.05</v>
      </c>
      <c r="AG52" s="2">
        <f t="shared" si="26"/>
        <v>0</v>
      </c>
      <c r="AH52" s="2">
        <f t="shared" ref="AH52:AI57" si="53">(EW52)</f>
        <v>383.06</v>
      </c>
      <c r="AI52" s="2">
        <f t="shared" si="53"/>
        <v>1.1599999999999999</v>
      </c>
      <c r="AJ52" s="2">
        <f t="shared" si="27"/>
        <v>0</v>
      </c>
      <c r="AK52" s="2">
        <v>5751.96</v>
      </c>
      <c r="AL52" s="2">
        <v>2279.65</v>
      </c>
      <c r="AM52" s="2">
        <v>36.26</v>
      </c>
      <c r="AN52" s="2">
        <v>15.66</v>
      </c>
      <c r="AO52" s="2">
        <v>3436.05</v>
      </c>
      <c r="AP52" s="2">
        <v>0</v>
      </c>
      <c r="AQ52" s="2">
        <v>383.06</v>
      </c>
      <c r="AR52" s="2">
        <v>1.1599999999999999</v>
      </c>
      <c r="AS52" s="2">
        <v>0</v>
      </c>
      <c r="AT52" s="2">
        <v>79</v>
      </c>
      <c r="AU52" s="2">
        <v>50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101</v>
      </c>
      <c r="BK52" s="2"/>
      <c r="BL52" s="2"/>
      <c r="BM52" s="2">
        <v>61001</v>
      </c>
      <c r="BN52" s="2">
        <v>0</v>
      </c>
      <c r="BO52" s="2" t="s">
        <v>6</v>
      </c>
      <c r="BP52" s="2">
        <v>0</v>
      </c>
      <c r="BQ52" s="2">
        <v>6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79</v>
      </c>
      <c r="CA52" s="2">
        <v>50</v>
      </c>
      <c r="CB52" s="2"/>
      <c r="CC52" s="2"/>
      <c r="CD52" s="2"/>
      <c r="CE52" s="2">
        <v>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28"/>
        <v>5202.6499999999996</v>
      </c>
      <c r="CQ52" s="2">
        <f t="shared" si="29"/>
        <v>2279.65</v>
      </c>
      <c r="CR52" s="2">
        <f t="shared" si="30"/>
        <v>36.26</v>
      </c>
      <c r="CS52" s="2">
        <f t="shared" si="31"/>
        <v>15.66</v>
      </c>
      <c r="CT52" s="2">
        <f t="shared" si="32"/>
        <v>3436.05</v>
      </c>
      <c r="CU52" s="2">
        <f t="shared" si="33"/>
        <v>0</v>
      </c>
      <c r="CV52" s="2">
        <f t="shared" si="34"/>
        <v>383.06</v>
      </c>
      <c r="CW52" s="2">
        <f t="shared" si="35"/>
        <v>1.1599999999999999</v>
      </c>
      <c r="CX52" s="2">
        <f t="shared" si="36"/>
        <v>0</v>
      </c>
      <c r="CY52" s="2">
        <f t="shared" si="37"/>
        <v>2466.4352999999996</v>
      </c>
      <c r="CZ52" s="2">
        <f t="shared" si="38"/>
        <v>1561.0350000000001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1005</v>
      </c>
      <c r="DV52" s="2" t="s">
        <v>30</v>
      </c>
      <c r="DW52" s="2" t="s">
        <v>30</v>
      </c>
      <c r="DX52" s="2">
        <v>100</v>
      </c>
      <c r="DY52" s="2"/>
      <c r="DZ52" s="2"/>
      <c r="EA52" s="2"/>
      <c r="EB52" s="2"/>
      <c r="EC52" s="2"/>
      <c r="ED52" s="2"/>
      <c r="EE52" s="2">
        <v>16510570</v>
      </c>
      <c r="EF52" s="2">
        <v>6</v>
      </c>
      <c r="EG52" s="2" t="s">
        <v>49</v>
      </c>
      <c r="EH52" s="2">
        <v>0</v>
      </c>
      <c r="EI52" s="2" t="s">
        <v>6</v>
      </c>
      <c r="EJ52" s="2">
        <v>1</v>
      </c>
      <c r="EK52" s="2">
        <v>61001</v>
      </c>
      <c r="EL52" s="2" t="s">
        <v>102</v>
      </c>
      <c r="EM52" s="2" t="s">
        <v>103</v>
      </c>
      <c r="EN52" s="2"/>
      <c r="EO52" s="2" t="s">
        <v>6</v>
      </c>
      <c r="EP52" s="2"/>
      <c r="EQ52" s="2">
        <v>0</v>
      </c>
      <c r="ER52" s="2">
        <v>5751.96</v>
      </c>
      <c r="ES52" s="2">
        <v>2279.65</v>
      </c>
      <c r="ET52" s="2">
        <v>36.26</v>
      </c>
      <c r="EU52" s="2">
        <v>15.66</v>
      </c>
      <c r="EV52" s="2">
        <v>3436.05</v>
      </c>
      <c r="EW52" s="2">
        <v>383.06</v>
      </c>
      <c r="EX52" s="2">
        <v>1.1599999999999999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39"/>
        <v>0</v>
      </c>
      <c r="FS52" s="2">
        <v>0</v>
      </c>
      <c r="FT52" s="2"/>
      <c r="FU52" s="2"/>
      <c r="FV52" s="2"/>
      <c r="FW52" s="2"/>
      <c r="FX52" s="2">
        <v>79</v>
      </c>
      <c r="FY52" s="2">
        <v>50</v>
      </c>
      <c r="FZ52" s="2"/>
      <c r="GA52" s="2" t="s">
        <v>6</v>
      </c>
      <c r="GB52" s="2"/>
      <c r="GC52" s="2"/>
      <c r="GD52" s="2">
        <v>1</v>
      </c>
      <c r="GE52" s="2"/>
      <c r="GF52" s="2">
        <v>-1742364027</v>
      </c>
      <c r="GG52" s="2">
        <v>2</v>
      </c>
      <c r="GH52" s="2">
        <v>1</v>
      </c>
      <c r="GI52" s="2">
        <v>-2</v>
      </c>
      <c r="GJ52" s="2">
        <v>0</v>
      </c>
      <c r="GK52" s="2">
        <v>0</v>
      </c>
      <c r="GL52" s="2">
        <f t="shared" si="40"/>
        <v>0</v>
      </c>
      <c r="GM52" s="2">
        <f t="shared" si="41"/>
        <v>9230.1299999999992</v>
      </c>
      <c r="GN52" s="2">
        <f t="shared" si="42"/>
        <v>9230.1299999999992</v>
      </c>
      <c r="GO52" s="2">
        <f t="shared" si="43"/>
        <v>0</v>
      </c>
      <c r="GP52" s="2">
        <f t="shared" si="44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45"/>
        <v>0</v>
      </c>
      <c r="GW52" s="2">
        <v>1</v>
      </c>
      <c r="GX52" s="2">
        <f t="shared" si="46"/>
        <v>0</v>
      </c>
      <c r="GY52" s="2"/>
      <c r="GZ52" s="2"/>
      <c r="HA52" s="2">
        <v>0</v>
      </c>
      <c r="HB52" s="2">
        <v>0</v>
      </c>
      <c r="HC52" s="2">
        <f t="shared" si="47"/>
        <v>0</v>
      </c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ROW(SmtRes!A156)</f>
        <v>156</v>
      </c>
      <c r="D53">
        <f>ROW(EtalonRes!A166)</f>
        <v>166</v>
      </c>
      <c r="E53" t="s">
        <v>98</v>
      </c>
      <c r="F53" t="s">
        <v>99</v>
      </c>
      <c r="G53" t="s">
        <v>100</v>
      </c>
      <c r="H53" t="s">
        <v>30</v>
      </c>
      <c r="I53">
        <f>ROUND(90.45/100,9)</f>
        <v>0.90449999999999997</v>
      </c>
      <c r="J53">
        <v>0</v>
      </c>
      <c r="O53">
        <f t="shared" si="14"/>
        <v>35221.93</v>
      </c>
      <c r="P53">
        <f t="shared" si="15"/>
        <v>13959.36</v>
      </c>
      <c r="Q53">
        <f t="shared" si="16"/>
        <v>222.04</v>
      </c>
      <c r="R53">
        <f t="shared" si="17"/>
        <v>95.89</v>
      </c>
      <c r="S53">
        <f t="shared" si="18"/>
        <v>21040.53</v>
      </c>
      <c r="T53">
        <f t="shared" si="19"/>
        <v>0</v>
      </c>
      <c r="U53">
        <f t="shared" si="20"/>
        <v>346.47776999999996</v>
      </c>
      <c r="V53">
        <f t="shared" si="21"/>
        <v>1.0492199999999998</v>
      </c>
      <c r="W53">
        <f t="shared" si="22"/>
        <v>0</v>
      </c>
      <c r="X53">
        <f t="shared" si="23"/>
        <v>16697.77</v>
      </c>
      <c r="Y53">
        <f t="shared" si="24"/>
        <v>10568.21</v>
      </c>
      <c r="AA53">
        <v>16856228</v>
      </c>
      <c r="AB53">
        <f t="shared" si="25"/>
        <v>5751.96</v>
      </c>
      <c r="AC53">
        <f t="shared" si="48"/>
        <v>2279.65</v>
      </c>
      <c r="AD53">
        <f t="shared" si="51"/>
        <v>36.26</v>
      </c>
      <c r="AE53">
        <f t="shared" si="52"/>
        <v>15.66</v>
      </c>
      <c r="AF53">
        <f t="shared" si="52"/>
        <v>3436.05</v>
      </c>
      <c r="AG53">
        <f t="shared" si="26"/>
        <v>0</v>
      </c>
      <c r="AH53">
        <f t="shared" si="53"/>
        <v>383.06</v>
      </c>
      <c r="AI53">
        <f t="shared" si="53"/>
        <v>1.1599999999999999</v>
      </c>
      <c r="AJ53">
        <f t="shared" si="27"/>
        <v>0</v>
      </c>
      <c r="AK53">
        <v>5751.96</v>
      </c>
      <c r="AL53">
        <v>2279.65</v>
      </c>
      <c r="AM53">
        <v>36.26</v>
      </c>
      <c r="AN53">
        <v>15.66</v>
      </c>
      <c r="AO53">
        <v>3436.05</v>
      </c>
      <c r="AP53">
        <v>0</v>
      </c>
      <c r="AQ53">
        <v>383.06</v>
      </c>
      <c r="AR53">
        <v>1.1599999999999999</v>
      </c>
      <c r="AS53">
        <v>0</v>
      </c>
      <c r="AT53">
        <v>79</v>
      </c>
      <c r="AU53">
        <v>50</v>
      </c>
      <c r="AV53">
        <v>1</v>
      </c>
      <c r="AW53">
        <v>1</v>
      </c>
      <c r="AZ53">
        <v>6.77</v>
      </c>
      <c r="BA53">
        <v>6.77</v>
      </c>
      <c r="BB53">
        <v>6.77</v>
      </c>
      <c r="BC53">
        <v>6.77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101</v>
      </c>
      <c r="BM53">
        <v>61001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6.77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79</v>
      </c>
      <c r="CA53">
        <v>50</v>
      </c>
      <c r="CE53">
        <v>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28"/>
        <v>35221.93</v>
      </c>
      <c r="CQ53">
        <f t="shared" si="29"/>
        <v>15433.2305</v>
      </c>
      <c r="CR53">
        <f t="shared" si="30"/>
        <v>245.48019999999997</v>
      </c>
      <c r="CS53">
        <f t="shared" si="31"/>
        <v>106.01819999999999</v>
      </c>
      <c r="CT53">
        <f t="shared" si="32"/>
        <v>23262.058499999999</v>
      </c>
      <c r="CU53">
        <f t="shared" si="33"/>
        <v>0</v>
      </c>
      <c r="CV53">
        <f t="shared" si="34"/>
        <v>383.06</v>
      </c>
      <c r="CW53">
        <f t="shared" si="35"/>
        <v>1.1599999999999999</v>
      </c>
      <c r="CX53">
        <f t="shared" si="36"/>
        <v>0</v>
      </c>
      <c r="CY53">
        <f t="shared" si="37"/>
        <v>16697.771799999999</v>
      </c>
      <c r="CZ53">
        <f t="shared" si="38"/>
        <v>10568.21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30</v>
      </c>
      <c r="DW53" t="s">
        <v>30</v>
      </c>
      <c r="DX53">
        <v>100</v>
      </c>
      <c r="EE53">
        <v>16510570</v>
      </c>
      <c r="EF53">
        <v>6</v>
      </c>
      <c r="EG53" t="s">
        <v>49</v>
      </c>
      <c r="EH53">
        <v>0</v>
      </c>
      <c r="EI53" t="s">
        <v>6</v>
      </c>
      <c r="EJ53">
        <v>1</v>
      </c>
      <c r="EK53">
        <v>61001</v>
      </c>
      <c r="EL53" t="s">
        <v>102</v>
      </c>
      <c r="EM53" t="s">
        <v>103</v>
      </c>
      <c r="EO53" t="s">
        <v>6</v>
      </c>
      <c r="EQ53">
        <v>0</v>
      </c>
      <c r="ER53">
        <v>5751.96</v>
      </c>
      <c r="ES53">
        <v>2279.65</v>
      </c>
      <c r="ET53">
        <v>36.26</v>
      </c>
      <c r="EU53">
        <v>15.66</v>
      </c>
      <c r="EV53">
        <v>3436.05</v>
      </c>
      <c r="EW53">
        <v>383.06</v>
      </c>
      <c r="EX53">
        <v>1.1599999999999999</v>
      </c>
      <c r="EY53">
        <v>0</v>
      </c>
      <c r="FQ53">
        <v>0</v>
      </c>
      <c r="FR53">
        <f t="shared" si="39"/>
        <v>0</v>
      </c>
      <c r="FS53">
        <v>0</v>
      </c>
      <c r="FX53">
        <v>79</v>
      </c>
      <c r="FY53">
        <v>50</v>
      </c>
      <c r="GA53" t="s">
        <v>6</v>
      </c>
      <c r="GD53">
        <v>1</v>
      </c>
      <c r="GF53">
        <v>-1742364027</v>
      </c>
      <c r="GG53">
        <v>1</v>
      </c>
      <c r="GH53">
        <v>1</v>
      </c>
      <c r="GI53">
        <v>4</v>
      </c>
      <c r="GJ53">
        <v>0</v>
      </c>
      <c r="GK53">
        <v>0</v>
      </c>
      <c r="GL53">
        <f t="shared" si="40"/>
        <v>0</v>
      </c>
      <c r="GM53">
        <f t="shared" si="41"/>
        <v>62487.91</v>
      </c>
      <c r="GN53">
        <f t="shared" si="42"/>
        <v>62487.91</v>
      </c>
      <c r="GO53">
        <f t="shared" si="43"/>
        <v>0</v>
      </c>
      <c r="GP53">
        <f t="shared" si="44"/>
        <v>0</v>
      </c>
      <c r="GR53">
        <v>0</v>
      </c>
      <c r="GS53">
        <v>3</v>
      </c>
      <c r="GT53">
        <v>0</v>
      </c>
      <c r="GU53" t="s">
        <v>6</v>
      </c>
      <c r="GV53">
        <f t="shared" si="45"/>
        <v>0</v>
      </c>
      <c r="GW53">
        <v>1</v>
      </c>
      <c r="GX53">
        <f t="shared" si="46"/>
        <v>0</v>
      </c>
      <c r="HA53">
        <v>0</v>
      </c>
      <c r="HB53">
        <v>0</v>
      </c>
      <c r="HC53">
        <f t="shared" si="47"/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150</v>
      </c>
      <c r="D54" s="2"/>
      <c r="E54" s="2" t="s">
        <v>104</v>
      </c>
      <c r="F54" s="2" t="s">
        <v>105</v>
      </c>
      <c r="G54" s="2" t="s">
        <v>106</v>
      </c>
      <c r="H54" s="2" t="s">
        <v>107</v>
      </c>
      <c r="I54" s="2">
        <f>I52*J54</f>
        <v>-3.9798</v>
      </c>
      <c r="J54" s="2">
        <v>-4.4000000000000004</v>
      </c>
      <c r="K54" s="2"/>
      <c r="L54" s="2"/>
      <c r="M54" s="2"/>
      <c r="N54" s="2"/>
      <c r="O54" s="2">
        <f t="shared" si="14"/>
        <v>-2061.1799999999998</v>
      </c>
      <c r="P54" s="2">
        <f t="shared" si="15"/>
        <v>-2061.1799999999998</v>
      </c>
      <c r="Q54" s="2">
        <f t="shared" si="16"/>
        <v>0</v>
      </c>
      <c r="R54" s="2">
        <f t="shared" si="17"/>
        <v>0</v>
      </c>
      <c r="S54" s="2">
        <f t="shared" si="18"/>
        <v>0</v>
      </c>
      <c r="T54" s="2">
        <f t="shared" si="19"/>
        <v>0</v>
      </c>
      <c r="U54" s="2">
        <f t="shared" si="20"/>
        <v>0</v>
      </c>
      <c r="V54" s="2">
        <f t="shared" si="21"/>
        <v>0</v>
      </c>
      <c r="W54" s="2">
        <f t="shared" si="22"/>
        <v>0</v>
      </c>
      <c r="X54" s="2">
        <f t="shared" si="23"/>
        <v>0</v>
      </c>
      <c r="Y54" s="2">
        <f t="shared" si="24"/>
        <v>0</v>
      </c>
      <c r="Z54" s="2"/>
      <c r="AA54" s="2">
        <v>16856227</v>
      </c>
      <c r="AB54" s="2">
        <f t="shared" si="25"/>
        <v>517.91</v>
      </c>
      <c r="AC54" s="2">
        <f t="shared" si="48"/>
        <v>517.91</v>
      </c>
      <c r="AD54" s="2">
        <f t="shared" si="51"/>
        <v>0</v>
      </c>
      <c r="AE54" s="2">
        <f t="shared" si="52"/>
        <v>0</v>
      </c>
      <c r="AF54" s="2">
        <f t="shared" si="52"/>
        <v>0</v>
      </c>
      <c r="AG54" s="2">
        <f t="shared" si="26"/>
        <v>0</v>
      </c>
      <c r="AH54" s="2">
        <f t="shared" si="53"/>
        <v>0</v>
      </c>
      <c r="AI54" s="2">
        <f t="shared" si="53"/>
        <v>0</v>
      </c>
      <c r="AJ54" s="2">
        <f t="shared" si="27"/>
        <v>0</v>
      </c>
      <c r="AK54" s="2">
        <v>517.91</v>
      </c>
      <c r="AL54" s="2">
        <v>517.91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79</v>
      </c>
      <c r="AU54" s="2">
        <v>50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108</v>
      </c>
      <c r="BK54" s="2"/>
      <c r="BL54" s="2"/>
      <c r="BM54" s="2">
        <v>61001</v>
      </c>
      <c r="BN54" s="2">
        <v>0</v>
      </c>
      <c r="BO54" s="2" t="s">
        <v>6</v>
      </c>
      <c r="BP54" s="2">
        <v>0</v>
      </c>
      <c r="BQ54" s="2">
        <v>6</v>
      </c>
      <c r="BR54" s="2">
        <v>1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79</v>
      </c>
      <c r="CA54" s="2">
        <v>50</v>
      </c>
      <c r="CB54" s="2"/>
      <c r="CC54" s="2"/>
      <c r="CD54" s="2"/>
      <c r="CE54" s="2">
        <v>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28"/>
        <v>-2061.1799999999998</v>
      </c>
      <c r="CQ54" s="2">
        <f t="shared" si="29"/>
        <v>517.91</v>
      </c>
      <c r="CR54" s="2">
        <f t="shared" si="30"/>
        <v>0</v>
      </c>
      <c r="CS54" s="2">
        <f t="shared" si="31"/>
        <v>0</v>
      </c>
      <c r="CT54" s="2">
        <f t="shared" si="32"/>
        <v>0</v>
      </c>
      <c r="CU54" s="2">
        <f t="shared" si="33"/>
        <v>0</v>
      </c>
      <c r="CV54" s="2">
        <f t="shared" si="34"/>
        <v>0</v>
      </c>
      <c r="CW54" s="2">
        <f t="shared" si="35"/>
        <v>0</v>
      </c>
      <c r="CX54" s="2">
        <f t="shared" si="36"/>
        <v>0</v>
      </c>
      <c r="CY54" s="2">
        <f t="shared" si="37"/>
        <v>0</v>
      </c>
      <c r="CZ54" s="2">
        <f t="shared" si="38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1007</v>
      </c>
      <c r="DV54" s="2" t="s">
        <v>107</v>
      </c>
      <c r="DW54" s="2" t="s">
        <v>107</v>
      </c>
      <c r="DX54" s="2">
        <v>1</v>
      </c>
      <c r="DY54" s="2"/>
      <c r="DZ54" s="2"/>
      <c r="EA54" s="2"/>
      <c r="EB54" s="2"/>
      <c r="EC54" s="2"/>
      <c r="ED54" s="2"/>
      <c r="EE54" s="2">
        <v>16510570</v>
      </c>
      <c r="EF54" s="2">
        <v>6</v>
      </c>
      <c r="EG54" s="2" t="s">
        <v>49</v>
      </c>
      <c r="EH54" s="2">
        <v>0</v>
      </c>
      <c r="EI54" s="2" t="s">
        <v>6</v>
      </c>
      <c r="EJ54" s="2">
        <v>1</v>
      </c>
      <c r="EK54" s="2">
        <v>61001</v>
      </c>
      <c r="EL54" s="2" t="s">
        <v>102</v>
      </c>
      <c r="EM54" s="2" t="s">
        <v>103</v>
      </c>
      <c r="EN54" s="2"/>
      <c r="EO54" s="2" t="s">
        <v>6</v>
      </c>
      <c r="EP54" s="2"/>
      <c r="EQ54" s="2">
        <v>0</v>
      </c>
      <c r="ER54" s="2">
        <v>517.91</v>
      </c>
      <c r="ES54" s="2">
        <v>517.91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39"/>
        <v>0</v>
      </c>
      <c r="FS54" s="2">
        <v>0</v>
      </c>
      <c r="FT54" s="2"/>
      <c r="FU54" s="2"/>
      <c r="FV54" s="2"/>
      <c r="FW54" s="2"/>
      <c r="FX54" s="2">
        <v>79</v>
      </c>
      <c r="FY54" s="2">
        <v>50</v>
      </c>
      <c r="FZ54" s="2"/>
      <c r="GA54" s="2" t="s">
        <v>6</v>
      </c>
      <c r="GB54" s="2"/>
      <c r="GC54" s="2"/>
      <c r="GD54" s="2">
        <v>1</v>
      </c>
      <c r="GE54" s="2"/>
      <c r="GF54" s="2">
        <v>-1001479081</v>
      </c>
      <c r="GG54" s="2">
        <v>2</v>
      </c>
      <c r="GH54" s="2">
        <v>1</v>
      </c>
      <c r="GI54" s="2">
        <v>-2</v>
      </c>
      <c r="GJ54" s="2">
        <v>0</v>
      </c>
      <c r="GK54" s="2">
        <v>0</v>
      </c>
      <c r="GL54" s="2">
        <f t="shared" si="40"/>
        <v>0</v>
      </c>
      <c r="GM54" s="2">
        <f t="shared" si="41"/>
        <v>-2061.1799999999998</v>
      </c>
      <c r="GN54" s="2">
        <f t="shared" si="42"/>
        <v>-2061.1799999999998</v>
      </c>
      <c r="GO54" s="2">
        <f t="shared" si="43"/>
        <v>0</v>
      </c>
      <c r="GP54" s="2">
        <f t="shared" si="44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45"/>
        <v>0</v>
      </c>
      <c r="GW54" s="2">
        <v>1</v>
      </c>
      <c r="GX54" s="2">
        <f t="shared" si="46"/>
        <v>0</v>
      </c>
      <c r="GY54" s="2"/>
      <c r="GZ54" s="2"/>
      <c r="HA54" s="2">
        <v>0</v>
      </c>
      <c r="HB54" s="2">
        <v>0</v>
      </c>
      <c r="HC54" s="2">
        <f t="shared" si="47"/>
        <v>0</v>
      </c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156</v>
      </c>
      <c r="E55" t="s">
        <v>104</v>
      </c>
      <c r="F55" t="s">
        <v>105</v>
      </c>
      <c r="G55" t="s">
        <v>106</v>
      </c>
      <c r="H55" t="s">
        <v>107</v>
      </c>
      <c r="I55">
        <f>I53*J55</f>
        <v>-3.9798</v>
      </c>
      <c r="J55">
        <v>-4.4000000000000004</v>
      </c>
      <c r="O55">
        <f t="shared" si="14"/>
        <v>-13954.18</v>
      </c>
      <c r="P55">
        <f t="shared" si="15"/>
        <v>-13954.18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16856228</v>
      </c>
      <c r="AB55">
        <f t="shared" si="25"/>
        <v>517.91</v>
      </c>
      <c r="AC55">
        <f t="shared" si="48"/>
        <v>517.91</v>
      </c>
      <c r="AD55">
        <f t="shared" si="51"/>
        <v>0</v>
      </c>
      <c r="AE55">
        <f t="shared" si="52"/>
        <v>0</v>
      </c>
      <c r="AF55">
        <f t="shared" si="52"/>
        <v>0</v>
      </c>
      <c r="AG55">
        <f t="shared" si="26"/>
        <v>0</v>
      </c>
      <c r="AH55">
        <f t="shared" si="53"/>
        <v>0</v>
      </c>
      <c r="AI55">
        <f t="shared" si="53"/>
        <v>0</v>
      </c>
      <c r="AJ55">
        <f t="shared" si="27"/>
        <v>0</v>
      </c>
      <c r="AK55">
        <v>517.91</v>
      </c>
      <c r="AL55">
        <v>517.91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79</v>
      </c>
      <c r="AU55">
        <v>50</v>
      </c>
      <c r="AV55">
        <v>1</v>
      </c>
      <c r="AW55">
        <v>1</v>
      </c>
      <c r="AZ55">
        <v>6.77</v>
      </c>
      <c r="BA55">
        <v>1</v>
      </c>
      <c r="BB55">
        <v>1</v>
      </c>
      <c r="BC55">
        <v>6.77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108</v>
      </c>
      <c r="BM55">
        <v>61001</v>
      </c>
      <c r="BN55">
        <v>0</v>
      </c>
      <c r="BO55" t="s">
        <v>6</v>
      </c>
      <c r="BP55">
        <v>0</v>
      </c>
      <c r="BQ55">
        <v>6</v>
      </c>
      <c r="BR55">
        <v>1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79</v>
      </c>
      <c r="CA55">
        <v>50</v>
      </c>
      <c r="CE55">
        <v>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28"/>
        <v>-13954.18</v>
      </c>
      <c r="CQ55">
        <f t="shared" si="29"/>
        <v>3506.2506999999996</v>
      </c>
      <c r="CR55">
        <f t="shared" si="30"/>
        <v>0</v>
      </c>
      <c r="CS55">
        <f t="shared" si="31"/>
        <v>0</v>
      </c>
      <c r="CT55">
        <f t="shared" si="32"/>
        <v>0</v>
      </c>
      <c r="CU55">
        <f t="shared" si="33"/>
        <v>0</v>
      </c>
      <c r="CV55">
        <f t="shared" si="34"/>
        <v>0</v>
      </c>
      <c r="CW55">
        <f t="shared" si="35"/>
        <v>0</v>
      </c>
      <c r="CX55">
        <f t="shared" si="36"/>
        <v>0</v>
      </c>
      <c r="CY55">
        <f t="shared" si="37"/>
        <v>0</v>
      </c>
      <c r="CZ55">
        <f t="shared" si="38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1007</v>
      </c>
      <c r="DV55" t="s">
        <v>107</v>
      </c>
      <c r="DW55" t="s">
        <v>107</v>
      </c>
      <c r="DX55">
        <v>1</v>
      </c>
      <c r="EE55">
        <v>16510570</v>
      </c>
      <c r="EF55">
        <v>6</v>
      </c>
      <c r="EG55" t="s">
        <v>49</v>
      </c>
      <c r="EH55">
        <v>0</v>
      </c>
      <c r="EI55" t="s">
        <v>6</v>
      </c>
      <c r="EJ55">
        <v>1</v>
      </c>
      <c r="EK55">
        <v>61001</v>
      </c>
      <c r="EL55" t="s">
        <v>102</v>
      </c>
      <c r="EM55" t="s">
        <v>103</v>
      </c>
      <c r="EO55" t="s">
        <v>6</v>
      </c>
      <c r="EQ55">
        <v>0</v>
      </c>
      <c r="ER55">
        <v>517.91</v>
      </c>
      <c r="ES55">
        <v>517.91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39"/>
        <v>0</v>
      </c>
      <c r="FS55">
        <v>0</v>
      </c>
      <c r="FX55">
        <v>79</v>
      </c>
      <c r="FY55">
        <v>50</v>
      </c>
      <c r="GA55" t="s">
        <v>6</v>
      </c>
      <c r="GD55">
        <v>1</v>
      </c>
      <c r="GF55">
        <v>-1001479081</v>
      </c>
      <c r="GG55">
        <v>1</v>
      </c>
      <c r="GH55">
        <v>1</v>
      </c>
      <c r="GI55">
        <v>4</v>
      </c>
      <c r="GJ55">
        <v>0</v>
      </c>
      <c r="GK55">
        <v>0</v>
      </c>
      <c r="GL55">
        <f t="shared" si="40"/>
        <v>0</v>
      </c>
      <c r="GM55">
        <f t="shared" si="41"/>
        <v>-13954.18</v>
      </c>
      <c r="GN55">
        <f t="shared" si="42"/>
        <v>-13954.18</v>
      </c>
      <c r="GO55">
        <f t="shared" si="43"/>
        <v>0</v>
      </c>
      <c r="GP55">
        <f t="shared" si="44"/>
        <v>0</v>
      </c>
      <c r="GR55">
        <v>0</v>
      </c>
      <c r="GS55">
        <v>3</v>
      </c>
      <c r="GT55">
        <v>0</v>
      </c>
      <c r="GU55" t="s">
        <v>6</v>
      </c>
      <c r="GV55">
        <f t="shared" si="45"/>
        <v>0</v>
      </c>
      <c r="GW55">
        <v>1</v>
      </c>
      <c r="GX55">
        <f t="shared" si="46"/>
        <v>0</v>
      </c>
      <c r="HA55">
        <v>0</v>
      </c>
      <c r="HB55">
        <v>0</v>
      </c>
      <c r="HC55">
        <f t="shared" si="47"/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149</v>
      </c>
      <c r="D56" s="2"/>
      <c r="E56" s="2" t="s">
        <v>109</v>
      </c>
      <c r="F56" s="2" t="s">
        <v>110</v>
      </c>
      <c r="G56" s="2" t="s">
        <v>111</v>
      </c>
      <c r="H56" s="2" t="s">
        <v>107</v>
      </c>
      <c r="I56" s="2">
        <f>I52*J56</f>
        <v>3.9798</v>
      </c>
      <c r="J56" s="2">
        <v>4.4000000000000004</v>
      </c>
      <c r="K56" s="2"/>
      <c r="L56" s="2"/>
      <c r="M56" s="2"/>
      <c r="N56" s="2"/>
      <c r="O56" s="2">
        <f t="shared" ref="O56:O87" si="54">ROUND(CP56,2)</f>
        <v>2225.62</v>
      </c>
      <c r="P56" s="2">
        <f t="shared" ref="P56:P87" si="55">ROUND(CQ56*I56,2)</f>
        <v>2225.62</v>
      </c>
      <c r="Q56" s="2">
        <f t="shared" ref="Q56:Q87" si="56">ROUND(CR56*I56,2)</f>
        <v>0</v>
      </c>
      <c r="R56" s="2">
        <f t="shared" ref="R56:R87" si="57">ROUND(CS56*I56,2)</f>
        <v>0</v>
      </c>
      <c r="S56" s="2">
        <f t="shared" ref="S56:S87" si="58">ROUND(CT56*I56,2)</f>
        <v>0</v>
      </c>
      <c r="T56" s="2">
        <f t="shared" ref="T56:T87" si="59">ROUND(CU56*I56,2)</f>
        <v>0</v>
      </c>
      <c r="U56" s="2">
        <f t="shared" ref="U56:U87" si="60">CV56*I56</f>
        <v>0</v>
      </c>
      <c r="V56" s="2">
        <f t="shared" ref="V56:V87" si="61">CW56*I56</f>
        <v>0</v>
      </c>
      <c r="W56" s="2">
        <f t="shared" ref="W56:W87" si="62">ROUND(CX56*I56,2)</f>
        <v>0</v>
      </c>
      <c r="X56" s="2">
        <f t="shared" ref="X56:X87" si="63">ROUND(CY56,2)</f>
        <v>0</v>
      </c>
      <c r="Y56" s="2">
        <f t="shared" ref="Y56:Y87" si="64">ROUND(CZ56,2)</f>
        <v>0</v>
      </c>
      <c r="Z56" s="2"/>
      <c r="AA56" s="2">
        <v>16856227</v>
      </c>
      <c r="AB56" s="2">
        <f t="shared" ref="AB56:AB87" si="65">ROUND((AC56+AD56+AF56),6)</f>
        <v>559.23</v>
      </c>
      <c r="AC56" s="2">
        <f t="shared" si="48"/>
        <v>559.23</v>
      </c>
      <c r="AD56" s="2">
        <f t="shared" si="51"/>
        <v>0</v>
      </c>
      <c r="AE56" s="2">
        <f t="shared" si="52"/>
        <v>0</v>
      </c>
      <c r="AF56" s="2">
        <f t="shared" si="52"/>
        <v>0</v>
      </c>
      <c r="AG56" s="2">
        <f t="shared" ref="AG56:AG87" si="66">ROUND((AP56),6)</f>
        <v>0</v>
      </c>
      <c r="AH56" s="2">
        <f t="shared" si="53"/>
        <v>0</v>
      </c>
      <c r="AI56" s="2">
        <f t="shared" si="53"/>
        <v>0</v>
      </c>
      <c r="AJ56" s="2">
        <f t="shared" ref="AJ56:AJ87" si="67">(AS56)</f>
        <v>0</v>
      </c>
      <c r="AK56" s="2">
        <v>559.23</v>
      </c>
      <c r="AL56" s="2">
        <v>559.23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79</v>
      </c>
      <c r="AU56" s="2">
        <v>50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1</v>
      </c>
      <c r="BJ56" s="2" t="s">
        <v>112</v>
      </c>
      <c r="BK56" s="2"/>
      <c r="BL56" s="2"/>
      <c r="BM56" s="2">
        <v>61001</v>
      </c>
      <c r="BN56" s="2">
        <v>0</v>
      </c>
      <c r="BO56" s="2" t="s">
        <v>6</v>
      </c>
      <c r="BP56" s="2">
        <v>0</v>
      </c>
      <c r="BQ56" s="2">
        <v>6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79</v>
      </c>
      <c r="CA56" s="2">
        <v>50</v>
      </c>
      <c r="CB56" s="2"/>
      <c r="CC56" s="2"/>
      <c r="CD56" s="2"/>
      <c r="CE56" s="2">
        <v>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ref="CP56:CP87" si="68">(P56+Q56+S56)</f>
        <v>2225.62</v>
      </c>
      <c r="CQ56" s="2">
        <f t="shared" ref="CQ56:CQ87" si="69">AC56*BC56</f>
        <v>559.23</v>
      </c>
      <c r="CR56" s="2">
        <f t="shared" ref="CR56:CR87" si="70">AD56*BB56</f>
        <v>0</v>
      </c>
      <c r="CS56" s="2">
        <f t="shared" ref="CS56:CS87" si="71">AE56*BS56</f>
        <v>0</v>
      </c>
      <c r="CT56" s="2">
        <f t="shared" ref="CT56:CT87" si="72">AF56*BA56</f>
        <v>0</v>
      </c>
      <c r="CU56" s="2">
        <f t="shared" ref="CU56:CU87" si="73">AG56</f>
        <v>0</v>
      </c>
      <c r="CV56" s="2">
        <f t="shared" ref="CV56:CV87" si="74">AH56</f>
        <v>0</v>
      </c>
      <c r="CW56" s="2">
        <f t="shared" ref="CW56:CW87" si="75">AI56</f>
        <v>0</v>
      </c>
      <c r="CX56" s="2">
        <f t="shared" ref="CX56:CX87" si="76">AJ56</f>
        <v>0</v>
      </c>
      <c r="CY56" s="2">
        <f t="shared" ref="CY56:CY87" si="77">(((S56+R56)*AT56)/100)</f>
        <v>0</v>
      </c>
      <c r="CZ56" s="2">
        <f t="shared" ref="CZ56:CZ87" si="78">(((S56+R56)*AU56)/100)</f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1007</v>
      </c>
      <c r="DV56" s="2" t="s">
        <v>107</v>
      </c>
      <c r="DW56" s="2" t="s">
        <v>107</v>
      </c>
      <c r="DX56" s="2">
        <v>1</v>
      </c>
      <c r="DY56" s="2"/>
      <c r="DZ56" s="2"/>
      <c r="EA56" s="2"/>
      <c r="EB56" s="2"/>
      <c r="EC56" s="2"/>
      <c r="ED56" s="2"/>
      <c r="EE56" s="2">
        <v>16510570</v>
      </c>
      <c r="EF56" s="2">
        <v>6</v>
      </c>
      <c r="EG56" s="2" t="s">
        <v>49</v>
      </c>
      <c r="EH56" s="2">
        <v>0</v>
      </c>
      <c r="EI56" s="2" t="s">
        <v>6</v>
      </c>
      <c r="EJ56" s="2">
        <v>1</v>
      </c>
      <c r="EK56" s="2">
        <v>61001</v>
      </c>
      <c r="EL56" s="2" t="s">
        <v>102</v>
      </c>
      <c r="EM56" s="2" t="s">
        <v>103</v>
      </c>
      <c r="EN56" s="2"/>
      <c r="EO56" s="2" t="s">
        <v>6</v>
      </c>
      <c r="EP56" s="2"/>
      <c r="EQ56" s="2">
        <v>0</v>
      </c>
      <c r="ER56" s="2">
        <v>559.23</v>
      </c>
      <c r="ES56" s="2">
        <v>559.23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91" si="79">ROUND(IF(AND(BH56=3,BI56=3),P56,0),2)</f>
        <v>0</v>
      </c>
      <c r="FS56" s="2">
        <v>0</v>
      </c>
      <c r="FT56" s="2"/>
      <c r="FU56" s="2"/>
      <c r="FV56" s="2"/>
      <c r="FW56" s="2"/>
      <c r="FX56" s="2">
        <v>79</v>
      </c>
      <c r="FY56" s="2">
        <v>50</v>
      </c>
      <c r="FZ56" s="2"/>
      <c r="GA56" s="2" t="s">
        <v>6</v>
      </c>
      <c r="GB56" s="2"/>
      <c r="GC56" s="2"/>
      <c r="GD56" s="2">
        <v>1</v>
      </c>
      <c r="GE56" s="2"/>
      <c r="GF56" s="2">
        <v>-461341439</v>
      </c>
      <c r="GG56" s="2">
        <v>2</v>
      </c>
      <c r="GH56" s="2">
        <v>1</v>
      </c>
      <c r="GI56" s="2">
        <v>-2</v>
      </c>
      <c r="GJ56" s="2">
        <v>0</v>
      </c>
      <c r="GK56" s="2">
        <v>0</v>
      </c>
      <c r="GL56" s="2">
        <f t="shared" ref="GL56:GL91" si="80">ROUND(IF(AND(BH56=3,BI56=3,FS56&lt;&gt;0),P56,0),2)</f>
        <v>0</v>
      </c>
      <c r="GM56" s="2">
        <f t="shared" ref="GM56:GM87" si="81">ROUND(O56+X56+Y56,2)+GX56</f>
        <v>2225.62</v>
      </c>
      <c r="GN56" s="2">
        <f t="shared" ref="GN56:GN87" si="82">IF(OR(BI56=0,BI56=1),ROUND(O56+X56+Y56,2),0)</f>
        <v>2225.62</v>
      </c>
      <c r="GO56" s="2">
        <f t="shared" ref="GO56:GO87" si="83">IF(BI56=2,ROUND(O56+X56+Y56,2),0)</f>
        <v>0</v>
      </c>
      <c r="GP56" s="2">
        <f t="shared" ref="GP56:GP87" si="84">IF(BI56=4,ROUND(O56+X56+Y56,2)+GX56,0)</f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ref="GV56:GV87" si="85">ROUND((GT56),6)</f>
        <v>0</v>
      </c>
      <c r="GW56" s="2">
        <v>1</v>
      </c>
      <c r="GX56" s="2">
        <f t="shared" ref="GX56:GX87" si="86">ROUND(HC56*I56,2)</f>
        <v>0</v>
      </c>
      <c r="GY56" s="2"/>
      <c r="GZ56" s="2"/>
      <c r="HA56" s="2">
        <v>0</v>
      </c>
      <c r="HB56" s="2">
        <v>0</v>
      </c>
      <c r="HC56" s="2">
        <f t="shared" ref="HC56:HC87" si="87">GV56*GW56</f>
        <v>0</v>
      </c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155</v>
      </c>
      <c r="E57" t="s">
        <v>109</v>
      </c>
      <c r="F57" t="s">
        <v>110</v>
      </c>
      <c r="G57" t="s">
        <v>111</v>
      </c>
      <c r="H57" t="s">
        <v>107</v>
      </c>
      <c r="I57">
        <f>I53*J57</f>
        <v>3.9798</v>
      </c>
      <c r="J57">
        <v>4.4000000000000004</v>
      </c>
      <c r="O57">
        <f t="shared" si="54"/>
        <v>15067.47</v>
      </c>
      <c r="P57">
        <f t="shared" si="55"/>
        <v>15067.47</v>
      </c>
      <c r="Q57">
        <f t="shared" si="56"/>
        <v>0</v>
      </c>
      <c r="R57">
        <f t="shared" si="57"/>
        <v>0</v>
      </c>
      <c r="S57">
        <f t="shared" si="58"/>
        <v>0</v>
      </c>
      <c r="T57">
        <f t="shared" si="59"/>
        <v>0</v>
      </c>
      <c r="U57">
        <f t="shared" si="60"/>
        <v>0</v>
      </c>
      <c r="V57">
        <f t="shared" si="61"/>
        <v>0</v>
      </c>
      <c r="W57">
        <f t="shared" si="62"/>
        <v>0</v>
      </c>
      <c r="X57">
        <f t="shared" si="63"/>
        <v>0</v>
      </c>
      <c r="Y57">
        <f t="shared" si="64"/>
        <v>0</v>
      </c>
      <c r="AA57">
        <v>16856228</v>
      </c>
      <c r="AB57">
        <f t="shared" si="65"/>
        <v>559.23</v>
      </c>
      <c r="AC57">
        <f t="shared" si="48"/>
        <v>559.23</v>
      </c>
      <c r="AD57">
        <f t="shared" si="51"/>
        <v>0</v>
      </c>
      <c r="AE57">
        <f t="shared" si="52"/>
        <v>0</v>
      </c>
      <c r="AF57">
        <f t="shared" si="52"/>
        <v>0</v>
      </c>
      <c r="AG57">
        <f t="shared" si="66"/>
        <v>0</v>
      </c>
      <c r="AH57">
        <f t="shared" si="53"/>
        <v>0</v>
      </c>
      <c r="AI57">
        <f t="shared" si="53"/>
        <v>0</v>
      </c>
      <c r="AJ57">
        <f t="shared" si="67"/>
        <v>0</v>
      </c>
      <c r="AK57">
        <v>559.23</v>
      </c>
      <c r="AL57">
        <v>559.23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79</v>
      </c>
      <c r="AU57">
        <v>50</v>
      </c>
      <c r="AV57">
        <v>1</v>
      </c>
      <c r="AW57">
        <v>1</v>
      </c>
      <c r="AZ57">
        <v>6.77</v>
      </c>
      <c r="BA57">
        <v>1</v>
      </c>
      <c r="BB57">
        <v>1</v>
      </c>
      <c r="BC57">
        <v>6.77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112</v>
      </c>
      <c r="BM57">
        <v>61001</v>
      </c>
      <c r="BN57">
        <v>0</v>
      </c>
      <c r="BO57" t="s">
        <v>6</v>
      </c>
      <c r="BP57">
        <v>0</v>
      </c>
      <c r="BQ57">
        <v>6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79</v>
      </c>
      <c r="CA57">
        <v>50</v>
      </c>
      <c r="CE57">
        <v>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68"/>
        <v>15067.47</v>
      </c>
      <c r="CQ57">
        <f t="shared" si="69"/>
        <v>3785.9870999999998</v>
      </c>
      <c r="CR57">
        <f t="shared" si="70"/>
        <v>0</v>
      </c>
      <c r="CS57">
        <f t="shared" si="71"/>
        <v>0</v>
      </c>
      <c r="CT57">
        <f t="shared" si="72"/>
        <v>0</v>
      </c>
      <c r="CU57">
        <f t="shared" si="73"/>
        <v>0</v>
      </c>
      <c r="CV57">
        <f t="shared" si="74"/>
        <v>0</v>
      </c>
      <c r="CW57">
        <f t="shared" si="75"/>
        <v>0</v>
      </c>
      <c r="CX57">
        <f t="shared" si="76"/>
        <v>0</v>
      </c>
      <c r="CY57">
        <f t="shared" si="77"/>
        <v>0</v>
      </c>
      <c r="CZ57">
        <f t="shared" si="78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1007</v>
      </c>
      <c r="DV57" t="s">
        <v>107</v>
      </c>
      <c r="DW57" t="s">
        <v>107</v>
      </c>
      <c r="DX57">
        <v>1</v>
      </c>
      <c r="EE57">
        <v>16510570</v>
      </c>
      <c r="EF57">
        <v>6</v>
      </c>
      <c r="EG57" t="s">
        <v>49</v>
      </c>
      <c r="EH57">
        <v>0</v>
      </c>
      <c r="EI57" t="s">
        <v>6</v>
      </c>
      <c r="EJ57">
        <v>1</v>
      </c>
      <c r="EK57">
        <v>61001</v>
      </c>
      <c r="EL57" t="s">
        <v>102</v>
      </c>
      <c r="EM57" t="s">
        <v>103</v>
      </c>
      <c r="EO57" t="s">
        <v>6</v>
      </c>
      <c r="EQ57">
        <v>0</v>
      </c>
      <c r="ER57">
        <v>559.23</v>
      </c>
      <c r="ES57">
        <v>559.23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79"/>
        <v>0</v>
      </c>
      <c r="FS57">
        <v>0</v>
      </c>
      <c r="FX57">
        <v>79</v>
      </c>
      <c r="FY57">
        <v>50</v>
      </c>
      <c r="GA57" t="s">
        <v>6</v>
      </c>
      <c r="GD57">
        <v>1</v>
      </c>
      <c r="GF57">
        <v>-461341439</v>
      </c>
      <c r="GG57">
        <v>1</v>
      </c>
      <c r="GH57">
        <v>1</v>
      </c>
      <c r="GI57">
        <v>4</v>
      </c>
      <c r="GJ57">
        <v>0</v>
      </c>
      <c r="GK57">
        <v>0</v>
      </c>
      <c r="GL57">
        <f t="shared" si="80"/>
        <v>0</v>
      </c>
      <c r="GM57">
        <f t="shared" si="81"/>
        <v>15067.47</v>
      </c>
      <c r="GN57">
        <f t="shared" si="82"/>
        <v>15067.47</v>
      </c>
      <c r="GO57">
        <f t="shared" si="83"/>
        <v>0</v>
      </c>
      <c r="GP57">
        <f t="shared" si="84"/>
        <v>0</v>
      </c>
      <c r="GR57">
        <v>0</v>
      </c>
      <c r="GS57">
        <v>3</v>
      </c>
      <c r="GT57">
        <v>0</v>
      </c>
      <c r="GU57" t="s">
        <v>6</v>
      </c>
      <c r="GV57">
        <f t="shared" si="85"/>
        <v>0</v>
      </c>
      <c r="GW57">
        <v>1</v>
      </c>
      <c r="GX57">
        <f t="shared" si="86"/>
        <v>0</v>
      </c>
      <c r="HA57">
        <v>0</v>
      </c>
      <c r="HB57">
        <v>0</v>
      </c>
      <c r="HC57">
        <f t="shared" si="87"/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ROW(SmtRes!A167)</f>
        <v>167</v>
      </c>
      <c r="D58" s="2">
        <f>ROW(EtalonRes!A174)</f>
        <v>174</v>
      </c>
      <c r="E58" s="2" t="s">
        <v>113</v>
      </c>
      <c r="F58" s="2" t="s">
        <v>114</v>
      </c>
      <c r="G58" s="2" t="s">
        <v>115</v>
      </c>
      <c r="H58" s="2" t="s">
        <v>30</v>
      </c>
      <c r="I58" s="2">
        <f>ROUND(221.33/100,9)</f>
        <v>2.2132999999999998</v>
      </c>
      <c r="J58" s="2">
        <v>0</v>
      </c>
      <c r="K58" s="2"/>
      <c r="L58" s="2"/>
      <c r="M58" s="2"/>
      <c r="N58" s="2"/>
      <c r="O58" s="2">
        <f t="shared" si="54"/>
        <v>3988.32</v>
      </c>
      <c r="P58" s="2">
        <f t="shared" si="55"/>
        <v>0.8</v>
      </c>
      <c r="Q58" s="2">
        <f t="shared" si="56"/>
        <v>97.83</v>
      </c>
      <c r="R58" s="2">
        <f t="shared" si="57"/>
        <v>19.03</v>
      </c>
      <c r="S58" s="2">
        <f t="shared" si="58"/>
        <v>3889.69</v>
      </c>
      <c r="T58" s="2">
        <f t="shared" si="59"/>
        <v>0</v>
      </c>
      <c r="U58" s="2">
        <f t="shared" si="60"/>
        <v>423.71525864999995</v>
      </c>
      <c r="V58" s="2">
        <f t="shared" si="61"/>
        <v>1.6046424999999997</v>
      </c>
      <c r="W58" s="2">
        <f t="shared" si="62"/>
        <v>0</v>
      </c>
      <c r="X58" s="2">
        <f t="shared" si="63"/>
        <v>3713.28</v>
      </c>
      <c r="Y58" s="2">
        <f t="shared" si="64"/>
        <v>1837.1</v>
      </c>
      <c r="Z58" s="2"/>
      <c r="AA58" s="2">
        <v>16856227</v>
      </c>
      <c r="AB58" s="2">
        <f t="shared" si="65"/>
        <v>1801.9784999999999</v>
      </c>
      <c r="AC58" s="2">
        <f t="shared" si="48"/>
        <v>0.36</v>
      </c>
      <c r="AD58" s="2">
        <f>ROUND(((((ET58*1.25))-((EU58*1.25)))+AE58),6)</f>
        <v>44.2</v>
      </c>
      <c r="AE58" s="2">
        <f>ROUND(((EU58*1.25)),6)</f>
        <v>8.6</v>
      </c>
      <c r="AF58" s="2">
        <f>ROUND(((EV58*1.15)),6)</f>
        <v>1757.4185</v>
      </c>
      <c r="AG58" s="2">
        <f t="shared" si="66"/>
        <v>0</v>
      </c>
      <c r="AH58" s="2">
        <f>((EW58*1.15))</f>
        <v>191.44049999999999</v>
      </c>
      <c r="AI58" s="2">
        <f>((EX58*1.25))</f>
        <v>0.72499999999999998</v>
      </c>
      <c r="AJ58" s="2">
        <f t="shared" si="67"/>
        <v>0</v>
      </c>
      <c r="AK58" s="2">
        <v>1563.91</v>
      </c>
      <c r="AL58" s="2">
        <v>0.36</v>
      </c>
      <c r="AM58" s="2">
        <v>35.36</v>
      </c>
      <c r="AN58" s="2">
        <v>6.88</v>
      </c>
      <c r="AO58" s="2">
        <v>1528.19</v>
      </c>
      <c r="AP58" s="2">
        <v>0</v>
      </c>
      <c r="AQ58" s="2">
        <v>166.47</v>
      </c>
      <c r="AR58" s="2">
        <v>0.57999999999999996</v>
      </c>
      <c r="AS58" s="2">
        <v>0</v>
      </c>
      <c r="AT58" s="2">
        <v>95</v>
      </c>
      <c r="AU58" s="2">
        <v>47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0</v>
      </c>
      <c r="BI58" s="2">
        <v>1</v>
      </c>
      <c r="BJ58" s="2" t="s">
        <v>116</v>
      </c>
      <c r="BK58" s="2"/>
      <c r="BL58" s="2"/>
      <c r="BM58" s="2">
        <v>15001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105</v>
      </c>
      <c r="CA58" s="2">
        <v>55</v>
      </c>
      <c r="CB58" s="2"/>
      <c r="CC58" s="2"/>
      <c r="CD58" s="2"/>
      <c r="CE58" s="2">
        <v>0</v>
      </c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450</v>
      </c>
      <c r="CO58" s="2">
        <v>0</v>
      </c>
      <c r="CP58" s="2">
        <f t="shared" si="68"/>
        <v>3988.32</v>
      </c>
      <c r="CQ58" s="2">
        <f t="shared" si="69"/>
        <v>0.36</v>
      </c>
      <c r="CR58" s="2">
        <f t="shared" si="70"/>
        <v>44.2</v>
      </c>
      <c r="CS58" s="2">
        <f t="shared" si="71"/>
        <v>8.6</v>
      </c>
      <c r="CT58" s="2">
        <f t="shared" si="72"/>
        <v>1757.4185</v>
      </c>
      <c r="CU58" s="2">
        <f t="shared" si="73"/>
        <v>0</v>
      </c>
      <c r="CV58" s="2">
        <f t="shared" si="74"/>
        <v>191.44049999999999</v>
      </c>
      <c r="CW58" s="2">
        <f t="shared" si="75"/>
        <v>0.72499999999999998</v>
      </c>
      <c r="CX58" s="2">
        <f t="shared" si="76"/>
        <v>0</v>
      </c>
      <c r="CY58" s="2">
        <f t="shared" si="77"/>
        <v>3713.2840000000001</v>
      </c>
      <c r="CZ58" s="2">
        <f t="shared" si="78"/>
        <v>1837.0984000000003</v>
      </c>
      <c r="DA58" s="2"/>
      <c r="DB58" s="2"/>
      <c r="DC58" s="2" t="s">
        <v>6</v>
      </c>
      <c r="DD58" s="2" t="s">
        <v>6</v>
      </c>
      <c r="DE58" s="2" t="s">
        <v>56</v>
      </c>
      <c r="DF58" s="2" t="s">
        <v>56</v>
      </c>
      <c r="DG58" s="2" t="s">
        <v>57</v>
      </c>
      <c r="DH58" s="2" t="s">
        <v>6</v>
      </c>
      <c r="DI58" s="2" t="s">
        <v>57</v>
      </c>
      <c r="DJ58" s="2" t="s">
        <v>56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30</v>
      </c>
      <c r="DW58" s="2" t="s">
        <v>30</v>
      </c>
      <c r="DX58" s="2">
        <v>100</v>
      </c>
      <c r="DY58" s="2"/>
      <c r="DZ58" s="2"/>
      <c r="EA58" s="2"/>
      <c r="EB58" s="2"/>
      <c r="EC58" s="2"/>
      <c r="ED58" s="2"/>
      <c r="EE58" s="2">
        <v>16510513</v>
      </c>
      <c r="EF58" s="2">
        <v>2</v>
      </c>
      <c r="EG58" s="2" t="s">
        <v>21</v>
      </c>
      <c r="EH58" s="2">
        <v>0</v>
      </c>
      <c r="EI58" s="2" t="s">
        <v>6</v>
      </c>
      <c r="EJ58" s="2">
        <v>1</v>
      </c>
      <c r="EK58" s="2">
        <v>15001</v>
      </c>
      <c r="EL58" s="2" t="s">
        <v>117</v>
      </c>
      <c r="EM58" s="2" t="s">
        <v>118</v>
      </c>
      <c r="EN58" s="2"/>
      <c r="EO58" s="2" t="s">
        <v>60</v>
      </c>
      <c r="EP58" s="2"/>
      <c r="EQ58" s="2">
        <v>0</v>
      </c>
      <c r="ER58" s="2">
        <v>1563.91</v>
      </c>
      <c r="ES58" s="2">
        <v>0.36</v>
      </c>
      <c r="ET58" s="2">
        <v>35.36</v>
      </c>
      <c r="EU58" s="2">
        <v>6.88</v>
      </c>
      <c r="EV58" s="2">
        <v>1528.19</v>
      </c>
      <c r="EW58" s="2">
        <v>166.47</v>
      </c>
      <c r="EX58" s="2">
        <v>0.57999999999999996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79"/>
        <v>0</v>
      </c>
      <c r="FS58" s="2">
        <v>0</v>
      </c>
      <c r="FT58" s="2" t="s">
        <v>25</v>
      </c>
      <c r="FU58" s="2" t="s">
        <v>26</v>
      </c>
      <c r="FV58" s="2"/>
      <c r="FW58" s="2"/>
      <c r="FX58" s="2">
        <v>94.5</v>
      </c>
      <c r="FY58" s="2">
        <v>46.75</v>
      </c>
      <c r="FZ58" s="2"/>
      <c r="GA58" s="2" t="s">
        <v>6</v>
      </c>
      <c r="GB58" s="2"/>
      <c r="GC58" s="2"/>
      <c r="GD58" s="2">
        <v>1</v>
      </c>
      <c r="GE58" s="2"/>
      <c r="GF58" s="2">
        <v>251333065</v>
      </c>
      <c r="GG58" s="2">
        <v>2</v>
      </c>
      <c r="GH58" s="2">
        <v>1</v>
      </c>
      <c r="GI58" s="2">
        <v>-2</v>
      </c>
      <c r="GJ58" s="2">
        <v>0</v>
      </c>
      <c r="GK58" s="2">
        <v>0</v>
      </c>
      <c r="GL58" s="2">
        <f t="shared" si="80"/>
        <v>0</v>
      </c>
      <c r="GM58" s="2">
        <f t="shared" si="81"/>
        <v>9538.7000000000007</v>
      </c>
      <c r="GN58" s="2">
        <f t="shared" si="82"/>
        <v>9538.7000000000007</v>
      </c>
      <c r="GO58" s="2">
        <f t="shared" si="83"/>
        <v>0</v>
      </c>
      <c r="GP58" s="2">
        <f t="shared" si="84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85"/>
        <v>0</v>
      </c>
      <c r="GW58" s="2">
        <v>1</v>
      </c>
      <c r="GX58" s="2">
        <f t="shared" si="86"/>
        <v>0</v>
      </c>
      <c r="GY58" s="2"/>
      <c r="GZ58" s="2"/>
      <c r="HA58" s="2">
        <v>0</v>
      </c>
      <c r="HB58" s="2">
        <v>0</v>
      </c>
      <c r="HC58" s="2">
        <f t="shared" si="87"/>
        <v>0</v>
      </c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ROW(SmtRes!A178)</f>
        <v>178</v>
      </c>
      <c r="D59">
        <f>ROW(EtalonRes!A182)</f>
        <v>182</v>
      </c>
      <c r="E59" t="s">
        <v>113</v>
      </c>
      <c r="F59" t="s">
        <v>114</v>
      </c>
      <c r="G59" t="s">
        <v>115</v>
      </c>
      <c r="H59" t="s">
        <v>30</v>
      </c>
      <c r="I59">
        <f>ROUND(221.33/100,9)</f>
        <v>2.2132999999999998</v>
      </c>
      <c r="J59">
        <v>0</v>
      </c>
      <c r="O59">
        <f t="shared" si="54"/>
        <v>27000.91</v>
      </c>
      <c r="P59">
        <f t="shared" si="55"/>
        <v>5.39</v>
      </c>
      <c r="Q59">
        <f t="shared" si="56"/>
        <v>662.29</v>
      </c>
      <c r="R59">
        <f t="shared" si="57"/>
        <v>128.86000000000001</v>
      </c>
      <c r="S59">
        <f t="shared" si="58"/>
        <v>26333.23</v>
      </c>
      <c r="T59">
        <f t="shared" si="59"/>
        <v>0</v>
      </c>
      <c r="U59">
        <f t="shared" si="60"/>
        <v>423.71525864999995</v>
      </c>
      <c r="V59">
        <f t="shared" si="61"/>
        <v>1.6046424999999997</v>
      </c>
      <c r="W59">
        <f t="shared" si="62"/>
        <v>0</v>
      </c>
      <c r="X59">
        <f t="shared" si="63"/>
        <v>25138.99</v>
      </c>
      <c r="Y59">
        <f t="shared" si="64"/>
        <v>12437.18</v>
      </c>
      <c r="AA59">
        <v>16856228</v>
      </c>
      <c r="AB59">
        <f t="shared" si="65"/>
        <v>1801.9784999999999</v>
      </c>
      <c r="AC59">
        <f t="shared" si="48"/>
        <v>0.36</v>
      </c>
      <c r="AD59">
        <f>ROUND(((((ET59*1.25))-((EU59*1.25)))+AE59),6)</f>
        <v>44.2</v>
      </c>
      <c r="AE59">
        <f>ROUND(((EU59*1.25)),6)</f>
        <v>8.6</v>
      </c>
      <c r="AF59">
        <f>ROUND(((EV59*1.15)),6)</f>
        <v>1757.4185</v>
      </c>
      <c r="AG59">
        <f t="shared" si="66"/>
        <v>0</v>
      </c>
      <c r="AH59">
        <f>((EW59*1.15))</f>
        <v>191.44049999999999</v>
      </c>
      <c r="AI59">
        <f>((EX59*1.25))</f>
        <v>0.72499999999999998</v>
      </c>
      <c r="AJ59">
        <f t="shared" si="67"/>
        <v>0</v>
      </c>
      <c r="AK59">
        <v>1563.91</v>
      </c>
      <c r="AL59">
        <v>0.36</v>
      </c>
      <c r="AM59">
        <v>35.36</v>
      </c>
      <c r="AN59">
        <v>6.88</v>
      </c>
      <c r="AO59">
        <v>1528.19</v>
      </c>
      <c r="AP59">
        <v>0</v>
      </c>
      <c r="AQ59">
        <v>166.47</v>
      </c>
      <c r="AR59">
        <v>0.57999999999999996</v>
      </c>
      <c r="AS59">
        <v>0</v>
      </c>
      <c r="AT59">
        <v>95</v>
      </c>
      <c r="AU59">
        <v>47</v>
      </c>
      <c r="AV59">
        <v>1</v>
      </c>
      <c r="AW59">
        <v>1</v>
      </c>
      <c r="AZ59">
        <v>6.77</v>
      </c>
      <c r="BA59">
        <v>6.77</v>
      </c>
      <c r="BB59">
        <v>6.77</v>
      </c>
      <c r="BC59">
        <v>6.77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116</v>
      </c>
      <c r="BM59">
        <v>15001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6.77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105</v>
      </c>
      <c r="CA59">
        <v>55</v>
      </c>
      <c r="CE59">
        <v>0</v>
      </c>
      <c r="CF59">
        <v>0</v>
      </c>
      <c r="CG59">
        <v>0</v>
      </c>
      <c r="CM59">
        <v>0</v>
      </c>
      <c r="CN59" t="s">
        <v>450</v>
      </c>
      <c r="CO59">
        <v>0</v>
      </c>
      <c r="CP59">
        <f t="shared" si="68"/>
        <v>27000.91</v>
      </c>
      <c r="CQ59">
        <f t="shared" si="69"/>
        <v>2.4371999999999998</v>
      </c>
      <c r="CR59">
        <f t="shared" si="70"/>
        <v>299.23399999999998</v>
      </c>
      <c r="CS59">
        <f t="shared" si="71"/>
        <v>58.221999999999994</v>
      </c>
      <c r="CT59">
        <f t="shared" si="72"/>
        <v>11897.723244999999</v>
      </c>
      <c r="CU59">
        <f t="shared" si="73"/>
        <v>0</v>
      </c>
      <c r="CV59">
        <f t="shared" si="74"/>
        <v>191.44049999999999</v>
      </c>
      <c r="CW59">
        <f t="shared" si="75"/>
        <v>0.72499999999999998</v>
      </c>
      <c r="CX59">
        <f t="shared" si="76"/>
        <v>0</v>
      </c>
      <c r="CY59">
        <f t="shared" si="77"/>
        <v>25138.985499999999</v>
      </c>
      <c r="CZ59">
        <f t="shared" si="78"/>
        <v>12437.1823</v>
      </c>
      <c r="DC59" t="s">
        <v>6</v>
      </c>
      <c r="DD59" t="s">
        <v>6</v>
      </c>
      <c r="DE59" t="s">
        <v>56</v>
      </c>
      <c r="DF59" t="s">
        <v>56</v>
      </c>
      <c r="DG59" t="s">
        <v>57</v>
      </c>
      <c r="DH59" t="s">
        <v>6</v>
      </c>
      <c r="DI59" t="s">
        <v>57</v>
      </c>
      <c r="DJ59" t="s">
        <v>56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30</v>
      </c>
      <c r="DW59" t="s">
        <v>30</v>
      </c>
      <c r="DX59">
        <v>100</v>
      </c>
      <c r="EE59">
        <v>16510513</v>
      </c>
      <c r="EF59">
        <v>2</v>
      </c>
      <c r="EG59" t="s">
        <v>21</v>
      </c>
      <c r="EH59">
        <v>0</v>
      </c>
      <c r="EI59" t="s">
        <v>6</v>
      </c>
      <c r="EJ59">
        <v>1</v>
      </c>
      <c r="EK59">
        <v>15001</v>
      </c>
      <c r="EL59" t="s">
        <v>117</v>
      </c>
      <c r="EM59" t="s">
        <v>118</v>
      </c>
      <c r="EO59" t="s">
        <v>60</v>
      </c>
      <c r="EQ59">
        <v>0</v>
      </c>
      <c r="ER59">
        <v>1563.91</v>
      </c>
      <c r="ES59">
        <v>0.36</v>
      </c>
      <c r="ET59">
        <v>35.36</v>
      </c>
      <c r="EU59">
        <v>6.88</v>
      </c>
      <c r="EV59">
        <v>1528.19</v>
      </c>
      <c r="EW59">
        <v>166.47</v>
      </c>
      <c r="EX59">
        <v>0.57999999999999996</v>
      </c>
      <c r="EY59">
        <v>0</v>
      </c>
      <c r="FQ59">
        <v>0</v>
      </c>
      <c r="FR59">
        <f t="shared" si="79"/>
        <v>0</v>
      </c>
      <c r="FS59">
        <v>0</v>
      </c>
      <c r="FT59" t="s">
        <v>25</v>
      </c>
      <c r="FU59" t="s">
        <v>26</v>
      </c>
      <c r="FX59">
        <v>94.5</v>
      </c>
      <c r="FY59">
        <v>46.75</v>
      </c>
      <c r="GA59" t="s">
        <v>6</v>
      </c>
      <c r="GD59">
        <v>1</v>
      </c>
      <c r="GF59">
        <v>251333065</v>
      </c>
      <c r="GG59">
        <v>1</v>
      </c>
      <c r="GH59">
        <v>1</v>
      </c>
      <c r="GI59">
        <v>4</v>
      </c>
      <c r="GJ59">
        <v>0</v>
      </c>
      <c r="GK59">
        <v>0</v>
      </c>
      <c r="GL59">
        <f t="shared" si="80"/>
        <v>0</v>
      </c>
      <c r="GM59">
        <f t="shared" si="81"/>
        <v>64577.08</v>
      </c>
      <c r="GN59">
        <f t="shared" si="82"/>
        <v>64577.08</v>
      </c>
      <c r="GO59">
        <f t="shared" si="83"/>
        <v>0</v>
      </c>
      <c r="GP59">
        <f t="shared" si="84"/>
        <v>0</v>
      </c>
      <c r="GR59">
        <v>0</v>
      </c>
      <c r="GS59">
        <v>3</v>
      </c>
      <c r="GT59">
        <v>0</v>
      </c>
      <c r="GU59" t="s">
        <v>6</v>
      </c>
      <c r="GV59">
        <f t="shared" si="85"/>
        <v>0</v>
      </c>
      <c r="GW59">
        <v>1</v>
      </c>
      <c r="GX59">
        <f t="shared" si="86"/>
        <v>0</v>
      </c>
      <c r="HA59">
        <v>0</v>
      </c>
      <c r="HB59">
        <v>0</v>
      </c>
      <c r="HC59">
        <f t="shared" si="87"/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161</v>
      </c>
      <c r="D60" s="2"/>
      <c r="E60" s="2" t="s">
        <v>119</v>
      </c>
      <c r="F60" s="2" t="s">
        <v>120</v>
      </c>
      <c r="G60" s="2" t="s">
        <v>121</v>
      </c>
      <c r="H60" s="2" t="s">
        <v>64</v>
      </c>
      <c r="I60" s="2">
        <f>I58*J60</f>
        <v>232.3965</v>
      </c>
      <c r="J60" s="2">
        <v>105.00000000000001</v>
      </c>
      <c r="K60" s="2"/>
      <c r="L60" s="2"/>
      <c r="M60" s="2"/>
      <c r="N60" s="2"/>
      <c r="O60" s="2">
        <f t="shared" si="54"/>
        <v>0</v>
      </c>
      <c r="P60" s="2">
        <f t="shared" si="55"/>
        <v>0</v>
      </c>
      <c r="Q60" s="2">
        <f t="shared" si="56"/>
        <v>0</v>
      </c>
      <c r="R60" s="2">
        <f t="shared" si="57"/>
        <v>0</v>
      </c>
      <c r="S60" s="2">
        <f t="shared" si="58"/>
        <v>0</v>
      </c>
      <c r="T60" s="2">
        <f t="shared" si="59"/>
        <v>0</v>
      </c>
      <c r="U60" s="2">
        <f t="shared" si="60"/>
        <v>0</v>
      </c>
      <c r="V60" s="2">
        <f t="shared" si="61"/>
        <v>0</v>
      </c>
      <c r="W60" s="2">
        <f t="shared" si="62"/>
        <v>0</v>
      </c>
      <c r="X60" s="2">
        <f t="shared" si="63"/>
        <v>0</v>
      </c>
      <c r="Y60" s="2">
        <f t="shared" si="64"/>
        <v>0</v>
      </c>
      <c r="Z60" s="2"/>
      <c r="AA60" s="2">
        <v>16856227</v>
      </c>
      <c r="AB60" s="2">
        <f t="shared" si="65"/>
        <v>0</v>
      </c>
      <c r="AC60" s="2">
        <f t="shared" si="48"/>
        <v>0</v>
      </c>
      <c r="AD60" s="2">
        <f t="shared" ref="AD60:AD71" si="88">ROUND((((ET60)-(EU60))+AE60),6)</f>
        <v>0</v>
      </c>
      <c r="AE60" s="2">
        <f t="shared" ref="AE60:AE71" si="89">ROUND((EU60),6)</f>
        <v>0</v>
      </c>
      <c r="AF60" s="2">
        <f t="shared" ref="AF60:AF71" si="90">ROUND((EV60),6)</f>
        <v>0</v>
      </c>
      <c r="AG60" s="2">
        <f t="shared" si="66"/>
        <v>0</v>
      </c>
      <c r="AH60" s="2">
        <f t="shared" ref="AH60:AH71" si="91">(EW60)</f>
        <v>0</v>
      </c>
      <c r="AI60" s="2">
        <f t="shared" ref="AI60:AI71" si="92">(EX60)</f>
        <v>0</v>
      </c>
      <c r="AJ60" s="2">
        <f t="shared" si="67"/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95</v>
      </c>
      <c r="AU60" s="2">
        <v>47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6</v>
      </c>
      <c r="BK60" s="2"/>
      <c r="BL60" s="2"/>
      <c r="BM60" s="2">
        <v>15001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105</v>
      </c>
      <c r="CA60" s="2">
        <v>55</v>
      </c>
      <c r="CB60" s="2"/>
      <c r="CC60" s="2"/>
      <c r="CD60" s="2"/>
      <c r="CE60" s="2">
        <v>0</v>
      </c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68"/>
        <v>0</v>
      </c>
      <c r="CQ60" s="2">
        <f t="shared" si="69"/>
        <v>0</v>
      </c>
      <c r="CR60" s="2">
        <f t="shared" si="70"/>
        <v>0</v>
      </c>
      <c r="CS60" s="2">
        <f t="shared" si="71"/>
        <v>0</v>
      </c>
      <c r="CT60" s="2">
        <f t="shared" si="72"/>
        <v>0</v>
      </c>
      <c r="CU60" s="2">
        <f t="shared" si="73"/>
        <v>0</v>
      </c>
      <c r="CV60" s="2">
        <f t="shared" si="74"/>
        <v>0</v>
      </c>
      <c r="CW60" s="2">
        <f t="shared" si="75"/>
        <v>0</v>
      </c>
      <c r="CX60" s="2">
        <f t="shared" si="76"/>
        <v>0</v>
      </c>
      <c r="CY60" s="2">
        <f t="shared" si="77"/>
        <v>0</v>
      </c>
      <c r="CZ60" s="2">
        <f t="shared" si="78"/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1005</v>
      </c>
      <c r="DV60" s="2" t="s">
        <v>64</v>
      </c>
      <c r="DW60" s="2" t="s">
        <v>64</v>
      </c>
      <c r="DX60" s="2">
        <v>1</v>
      </c>
      <c r="DY60" s="2"/>
      <c r="DZ60" s="2"/>
      <c r="EA60" s="2"/>
      <c r="EB60" s="2"/>
      <c r="EC60" s="2"/>
      <c r="ED60" s="2"/>
      <c r="EE60" s="2">
        <v>16510513</v>
      </c>
      <c r="EF60" s="2">
        <v>2</v>
      </c>
      <c r="EG60" s="2" t="s">
        <v>21</v>
      </c>
      <c r="EH60" s="2">
        <v>0</v>
      </c>
      <c r="EI60" s="2" t="s">
        <v>6</v>
      </c>
      <c r="EJ60" s="2">
        <v>1</v>
      </c>
      <c r="EK60" s="2">
        <v>15001</v>
      </c>
      <c r="EL60" s="2" t="s">
        <v>117</v>
      </c>
      <c r="EM60" s="2" t="s">
        <v>118</v>
      </c>
      <c r="EN60" s="2"/>
      <c r="EO60" s="2" t="s">
        <v>6</v>
      </c>
      <c r="EP60" s="2"/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79"/>
        <v>0</v>
      </c>
      <c r="FS60" s="2">
        <v>0</v>
      </c>
      <c r="FT60" s="2" t="s">
        <v>25</v>
      </c>
      <c r="FU60" s="2" t="s">
        <v>26</v>
      </c>
      <c r="FV60" s="2"/>
      <c r="FW60" s="2"/>
      <c r="FX60" s="2">
        <v>94.5</v>
      </c>
      <c r="FY60" s="2">
        <v>46.75</v>
      </c>
      <c r="FZ60" s="2"/>
      <c r="GA60" s="2" t="s">
        <v>6</v>
      </c>
      <c r="GB60" s="2"/>
      <c r="GC60" s="2"/>
      <c r="GD60" s="2">
        <v>1</v>
      </c>
      <c r="GE60" s="2"/>
      <c r="GF60" s="2">
        <v>-112006704</v>
      </c>
      <c r="GG60" s="2">
        <v>2</v>
      </c>
      <c r="GH60" s="2">
        <v>1</v>
      </c>
      <c r="GI60" s="2">
        <v>-2</v>
      </c>
      <c r="GJ60" s="2">
        <v>0</v>
      </c>
      <c r="GK60" s="2">
        <v>0</v>
      </c>
      <c r="GL60" s="2">
        <f t="shared" si="80"/>
        <v>0</v>
      </c>
      <c r="GM60" s="2">
        <f t="shared" si="81"/>
        <v>0</v>
      </c>
      <c r="GN60" s="2">
        <f t="shared" si="82"/>
        <v>0</v>
      </c>
      <c r="GO60" s="2">
        <f t="shared" si="83"/>
        <v>0</v>
      </c>
      <c r="GP60" s="2">
        <f t="shared" si="84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85"/>
        <v>0</v>
      </c>
      <c r="GW60" s="2">
        <v>1</v>
      </c>
      <c r="GX60" s="2">
        <f t="shared" si="86"/>
        <v>0</v>
      </c>
      <c r="GY60" s="2"/>
      <c r="GZ60" s="2"/>
      <c r="HA60" s="2">
        <v>0</v>
      </c>
      <c r="HB60" s="2">
        <v>0</v>
      </c>
      <c r="HC60" s="2">
        <f t="shared" si="87"/>
        <v>0</v>
      </c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172</v>
      </c>
      <c r="E61" t="s">
        <v>119</v>
      </c>
      <c r="F61" t="s">
        <v>120</v>
      </c>
      <c r="G61" t="s">
        <v>121</v>
      </c>
      <c r="H61" t="s">
        <v>64</v>
      </c>
      <c r="I61">
        <f>I59*J61</f>
        <v>232.3965</v>
      </c>
      <c r="J61">
        <v>105.00000000000001</v>
      </c>
      <c r="O61">
        <f t="shared" si="54"/>
        <v>0</v>
      </c>
      <c r="P61">
        <f t="shared" si="55"/>
        <v>0</v>
      </c>
      <c r="Q61">
        <f t="shared" si="56"/>
        <v>0</v>
      </c>
      <c r="R61">
        <f t="shared" si="57"/>
        <v>0</v>
      </c>
      <c r="S61">
        <f t="shared" si="58"/>
        <v>0</v>
      </c>
      <c r="T61">
        <f t="shared" si="59"/>
        <v>0</v>
      </c>
      <c r="U61">
        <f t="shared" si="60"/>
        <v>0</v>
      </c>
      <c r="V61">
        <f t="shared" si="61"/>
        <v>0</v>
      </c>
      <c r="W61">
        <f t="shared" si="62"/>
        <v>0</v>
      </c>
      <c r="X61">
        <f t="shared" si="63"/>
        <v>0</v>
      </c>
      <c r="Y61">
        <f t="shared" si="64"/>
        <v>0</v>
      </c>
      <c r="AA61">
        <v>16856228</v>
      </c>
      <c r="AB61">
        <f t="shared" si="65"/>
        <v>0</v>
      </c>
      <c r="AC61">
        <f t="shared" si="48"/>
        <v>0</v>
      </c>
      <c r="AD61">
        <f t="shared" si="88"/>
        <v>0</v>
      </c>
      <c r="AE61">
        <f t="shared" si="89"/>
        <v>0</v>
      </c>
      <c r="AF61">
        <f t="shared" si="90"/>
        <v>0</v>
      </c>
      <c r="AG61">
        <f t="shared" si="66"/>
        <v>0</v>
      </c>
      <c r="AH61">
        <f t="shared" si="91"/>
        <v>0</v>
      </c>
      <c r="AI61">
        <f t="shared" si="92"/>
        <v>0</v>
      </c>
      <c r="AJ61">
        <f t="shared" si="67"/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47</v>
      </c>
      <c r="AV61">
        <v>1</v>
      </c>
      <c r="AW61">
        <v>1</v>
      </c>
      <c r="AZ61">
        <v>6.77</v>
      </c>
      <c r="BA61">
        <v>1</v>
      </c>
      <c r="BB61">
        <v>1</v>
      </c>
      <c r="BC61">
        <v>6.77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6</v>
      </c>
      <c r="BM61">
        <v>15001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105</v>
      </c>
      <c r="CA61">
        <v>55</v>
      </c>
      <c r="CE61">
        <v>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68"/>
        <v>0</v>
      </c>
      <c r="CQ61">
        <f t="shared" si="69"/>
        <v>0</v>
      </c>
      <c r="CR61">
        <f t="shared" si="70"/>
        <v>0</v>
      </c>
      <c r="CS61">
        <f t="shared" si="71"/>
        <v>0</v>
      </c>
      <c r="CT61">
        <f t="shared" si="72"/>
        <v>0</v>
      </c>
      <c r="CU61">
        <f t="shared" si="73"/>
        <v>0</v>
      </c>
      <c r="CV61">
        <f t="shared" si="74"/>
        <v>0</v>
      </c>
      <c r="CW61">
        <f t="shared" si="75"/>
        <v>0</v>
      </c>
      <c r="CX61">
        <f t="shared" si="76"/>
        <v>0</v>
      </c>
      <c r="CY61">
        <f t="shared" si="77"/>
        <v>0</v>
      </c>
      <c r="CZ61">
        <f t="shared" si="78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64</v>
      </c>
      <c r="DW61" t="s">
        <v>64</v>
      </c>
      <c r="DX61">
        <v>1</v>
      </c>
      <c r="EE61">
        <v>16510513</v>
      </c>
      <c r="EF61">
        <v>2</v>
      </c>
      <c r="EG61" t="s">
        <v>21</v>
      </c>
      <c r="EH61">
        <v>0</v>
      </c>
      <c r="EI61" t="s">
        <v>6</v>
      </c>
      <c r="EJ61">
        <v>1</v>
      </c>
      <c r="EK61">
        <v>15001</v>
      </c>
      <c r="EL61" t="s">
        <v>117</v>
      </c>
      <c r="EM61" t="s">
        <v>118</v>
      </c>
      <c r="EO61" t="s">
        <v>6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79"/>
        <v>0</v>
      </c>
      <c r="FS61">
        <v>0</v>
      </c>
      <c r="FT61" t="s">
        <v>25</v>
      </c>
      <c r="FU61" t="s">
        <v>26</v>
      </c>
      <c r="FX61">
        <v>94.5</v>
      </c>
      <c r="FY61">
        <v>46.75</v>
      </c>
      <c r="GA61" t="s">
        <v>6</v>
      </c>
      <c r="GD61">
        <v>1</v>
      </c>
      <c r="GF61">
        <v>-112006704</v>
      </c>
      <c r="GG61">
        <v>1</v>
      </c>
      <c r="GH61">
        <v>1</v>
      </c>
      <c r="GI61">
        <v>4</v>
      </c>
      <c r="GJ61">
        <v>0</v>
      </c>
      <c r="GK61">
        <v>0</v>
      </c>
      <c r="GL61">
        <f t="shared" si="80"/>
        <v>0</v>
      </c>
      <c r="GM61">
        <f t="shared" si="81"/>
        <v>0</v>
      </c>
      <c r="GN61">
        <f t="shared" si="82"/>
        <v>0</v>
      </c>
      <c r="GO61">
        <f t="shared" si="83"/>
        <v>0</v>
      </c>
      <c r="GP61">
        <f t="shared" si="84"/>
        <v>0</v>
      </c>
      <c r="GR61">
        <v>0</v>
      </c>
      <c r="GS61">
        <v>3</v>
      </c>
      <c r="GT61">
        <v>0</v>
      </c>
      <c r="GU61" t="s">
        <v>6</v>
      </c>
      <c r="GV61">
        <f t="shared" si="85"/>
        <v>0</v>
      </c>
      <c r="GW61">
        <v>1</v>
      </c>
      <c r="GX61">
        <f t="shared" si="86"/>
        <v>0</v>
      </c>
      <c r="HA61">
        <v>0</v>
      </c>
      <c r="HB61">
        <v>0</v>
      </c>
      <c r="HC61">
        <f t="shared" si="87"/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163</v>
      </c>
      <c r="D62" s="2"/>
      <c r="E62" s="2" t="s">
        <v>122</v>
      </c>
      <c r="F62" s="2" t="s">
        <v>123</v>
      </c>
      <c r="G62" s="2" t="s">
        <v>124</v>
      </c>
      <c r="H62" s="2" t="s">
        <v>64</v>
      </c>
      <c r="I62" s="2">
        <f>I58*J62</f>
        <v>232.3965</v>
      </c>
      <c r="J62" s="2">
        <v>105.00000000000001</v>
      </c>
      <c r="K62" s="2"/>
      <c r="L62" s="2"/>
      <c r="M62" s="2"/>
      <c r="N62" s="2"/>
      <c r="O62" s="2">
        <f t="shared" si="54"/>
        <v>13748.58</v>
      </c>
      <c r="P62" s="2">
        <f t="shared" si="55"/>
        <v>13748.58</v>
      </c>
      <c r="Q62" s="2">
        <f t="shared" si="56"/>
        <v>0</v>
      </c>
      <c r="R62" s="2">
        <f t="shared" si="57"/>
        <v>0</v>
      </c>
      <c r="S62" s="2">
        <f t="shared" si="58"/>
        <v>0</v>
      </c>
      <c r="T62" s="2">
        <f t="shared" si="59"/>
        <v>0</v>
      </c>
      <c r="U62" s="2">
        <f t="shared" si="60"/>
        <v>0</v>
      </c>
      <c r="V62" s="2">
        <f t="shared" si="61"/>
        <v>0</v>
      </c>
      <c r="W62" s="2">
        <f t="shared" si="62"/>
        <v>0</v>
      </c>
      <c r="X62" s="2">
        <f t="shared" si="63"/>
        <v>0</v>
      </c>
      <c r="Y62" s="2">
        <f t="shared" si="64"/>
        <v>0</v>
      </c>
      <c r="Z62" s="2"/>
      <c r="AA62" s="2">
        <v>16856227</v>
      </c>
      <c r="AB62" s="2">
        <f t="shared" si="65"/>
        <v>59.16</v>
      </c>
      <c r="AC62" s="2">
        <f t="shared" si="48"/>
        <v>59.16</v>
      </c>
      <c r="AD62" s="2">
        <f t="shared" si="88"/>
        <v>0</v>
      </c>
      <c r="AE62" s="2">
        <f t="shared" si="89"/>
        <v>0</v>
      </c>
      <c r="AF62" s="2">
        <f t="shared" si="90"/>
        <v>0</v>
      </c>
      <c r="AG62" s="2">
        <f t="shared" si="66"/>
        <v>0</v>
      </c>
      <c r="AH62" s="2">
        <f t="shared" si="91"/>
        <v>0</v>
      </c>
      <c r="AI62" s="2">
        <f t="shared" si="92"/>
        <v>0</v>
      </c>
      <c r="AJ62" s="2">
        <f t="shared" si="67"/>
        <v>0</v>
      </c>
      <c r="AK62" s="2">
        <v>59.16</v>
      </c>
      <c r="AL62" s="2">
        <v>59.16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95</v>
      </c>
      <c r="AU62" s="2">
        <v>47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3</v>
      </c>
      <c r="BI62" s="2">
        <v>1</v>
      </c>
      <c r="BJ62" s="2" t="s">
        <v>125</v>
      </c>
      <c r="BK62" s="2"/>
      <c r="BL62" s="2"/>
      <c r="BM62" s="2">
        <v>15001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105</v>
      </c>
      <c r="CA62" s="2">
        <v>55</v>
      </c>
      <c r="CB62" s="2"/>
      <c r="CC62" s="2"/>
      <c r="CD62" s="2"/>
      <c r="CE62" s="2">
        <v>0</v>
      </c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68"/>
        <v>13748.58</v>
      </c>
      <c r="CQ62" s="2">
        <f t="shared" si="69"/>
        <v>59.16</v>
      </c>
      <c r="CR62" s="2">
        <f t="shared" si="70"/>
        <v>0</v>
      </c>
      <c r="CS62" s="2">
        <f t="shared" si="71"/>
        <v>0</v>
      </c>
      <c r="CT62" s="2">
        <f t="shared" si="72"/>
        <v>0</v>
      </c>
      <c r="CU62" s="2">
        <f t="shared" si="73"/>
        <v>0</v>
      </c>
      <c r="CV62" s="2">
        <f t="shared" si="74"/>
        <v>0</v>
      </c>
      <c r="CW62" s="2">
        <f t="shared" si="75"/>
        <v>0</v>
      </c>
      <c r="CX62" s="2">
        <f t="shared" si="76"/>
        <v>0</v>
      </c>
      <c r="CY62" s="2">
        <f t="shared" si="77"/>
        <v>0</v>
      </c>
      <c r="CZ62" s="2">
        <f t="shared" si="78"/>
        <v>0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64</v>
      </c>
      <c r="DW62" s="2" t="s">
        <v>64</v>
      </c>
      <c r="DX62" s="2">
        <v>1</v>
      </c>
      <c r="DY62" s="2"/>
      <c r="DZ62" s="2"/>
      <c r="EA62" s="2"/>
      <c r="EB62" s="2"/>
      <c r="EC62" s="2"/>
      <c r="ED62" s="2"/>
      <c r="EE62" s="2">
        <v>16510513</v>
      </c>
      <c r="EF62" s="2">
        <v>2</v>
      </c>
      <c r="EG62" s="2" t="s">
        <v>21</v>
      </c>
      <c r="EH62" s="2">
        <v>0</v>
      </c>
      <c r="EI62" s="2" t="s">
        <v>6</v>
      </c>
      <c r="EJ62" s="2">
        <v>1</v>
      </c>
      <c r="EK62" s="2">
        <v>15001</v>
      </c>
      <c r="EL62" s="2" t="s">
        <v>117</v>
      </c>
      <c r="EM62" s="2" t="s">
        <v>118</v>
      </c>
      <c r="EN62" s="2"/>
      <c r="EO62" s="2" t="s">
        <v>6</v>
      </c>
      <c r="EP62" s="2"/>
      <c r="EQ62" s="2">
        <v>0</v>
      </c>
      <c r="ER62" s="2">
        <v>59.16</v>
      </c>
      <c r="ES62" s="2">
        <v>59.16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79"/>
        <v>0</v>
      </c>
      <c r="FS62" s="2">
        <v>0</v>
      </c>
      <c r="FT62" s="2" t="s">
        <v>25</v>
      </c>
      <c r="FU62" s="2" t="s">
        <v>26</v>
      </c>
      <c r="FV62" s="2"/>
      <c r="FW62" s="2"/>
      <c r="FX62" s="2">
        <v>94.5</v>
      </c>
      <c r="FY62" s="2">
        <v>46.75</v>
      </c>
      <c r="FZ62" s="2"/>
      <c r="GA62" s="2" t="s">
        <v>6</v>
      </c>
      <c r="GB62" s="2"/>
      <c r="GC62" s="2"/>
      <c r="GD62" s="2">
        <v>1</v>
      </c>
      <c r="GE62" s="2"/>
      <c r="GF62" s="2">
        <v>-724546537</v>
      </c>
      <c r="GG62" s="2">
        <v>2</v>
      </c>
      <c r="GH62" s="2">
        <v>1</v>
      </c>
      <c r="GI62" s="2">
        <v>-2</v>
      </c>
      <c r="GJ62" s="2">
        <v>0</v>
      </c>
      <c r="GK62" s="2">
        <v>0</v>
      </c>
      <c r="GL62" s="2">
        <f t="shared" si="80"/>
        <v>0</v>
      </c>
      <c r="GM62" s="2">
        <f t="shared" si="81"/>
        <v>13748.58</v>
      </c>
      <c r="GN62" s="2">
        <f t="shared" si="82"/>
        <v>13748.58</v>
      </c>
      <c r="GO62" s="2">
        <f t="shared" si="83"/>
        <v>0</v>
      </c>
      <c r="GP62" s="2">
        <f t="shared" si="84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85"/>
        <v>0</v>
      </c>
      <c r="GW62" s="2">
        <v>1</v>
      </c>
      <c r="GX62" s="2">
        <f t="shared" si="86"/>
        <v>0</v>
      </c>
      <c r="GY62" s="2"/>
      <c r="GZ62" s="2"/>
      <c r="HA62" s="2">
        <v>0</v>
      </c>
      <c r="HB62" s="2">
        <v>0</v>
      </c>
      <c r="HC62" s="2">
        <f t="shared" si="87"/>
        <v>0</v>
      </c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174</v>
      </c>
      <c r="E63" t="s">
        <v>122</v>
      </c>
      <c r="F63" t="s">
        <v>123</v>
      </c>
      <c r="G63" t="s">
        <v>124</v>
      </c>
      <c r="H63" t="s">
        <v>64</v>
      </c>
      <c r="I63">
        <f>I59*J63</f>
        <v>232.3965</v>
      </c>
      <c r="J63">
        <v>105.00000000000001</v>
      </c>
      <c r="O63">
        <f t="shared" si="54"/>
        <v>93077.87</v>
      </c>
      <c r="P63">
        <f t="shared" si="55"/>
        <v>93077.87</v>
      </c>
      <c r="Q63">
        <f t="shared" si="56"/>
        <v>0</v>
      </c>
      <c r="R63">
        <f t="shared" si="57"/>
        <v>0</v>
      </c>
      <c r="S63">
        <f t="shared" si="58"/>
        <v>0</v>
      </c>
      <c r="T63">
        <f t="shared" si="59"/>
        <v>0</v>
      </c>
      <c r="U63">
        <f t="shared" si="60"/>
        <v>0</v>
      </c>
      <c r="V63">
        <f t="shared" si="61"/>
        <v>0</v>
      </c>
      <c r="W63">
        <f t="shared" si="62"/>
        <v>0</v>
      </c>
      <c r="X63">
        <f t="shared" si="63"/>
        <v>0</v>
      </c>
      <c r="Y63">
        <f t="shared" si="64"/>
        <v>0</v>
      </c>
      <c r="AA63">
        <v>16856228</v>
      </c>
      <c r="AB63">
        <f t="shared" si="65"/>
        <v>59.16</v>
      </c>
      <c r="AC63">
        <f t="shared" si="48"/>
        <v>59.16</v>
      </c>
      <c r="AD63">
        <f t="shared" si="88"/>
        <v>0</v>
      </c>
      <c r="AE63">
        <f t="shared" si="89"/>
        <v>0</v>
      </c>
      <c r="AF63">
        <f t="shared" si="90"/>
        <v>0</v>
      </c>
      <c r="AG63">
        <f t="shared" si="66"/>
        <v>0</v>
      </c>
      <c r="AH63">
        <f t="shared" si="91"/>
        <v>0</v>
      </c>
      <c r="AI63">
        <f t="shared" si="92"/>
        <v>0</v>
      </c>
      <c r="AJ63">
        <f t="shared" si="67"/>
        <v>0</v>
      </c>
      <c r="AK63">
        <v>59.16</v>
      </c>
      <c r="AL63">
        <v>59.16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47</v>
      </c>
      <c r="AV63">
        <v>1</v>
      </c>
      <c r="AW63">
        <v>1</v>
      </c>
      <c r="AZ63">
        <v>6.77</v>
      </c>
      <c r="BA63">
        <v>1</v>
      </c>
      <c r="BB63">
        <v>1</v>
      </c>
      <c r="BC63">
        <v>6.77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125</v>
      </c>
      <c r="BM63">
        <v>15001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105</v>
      </c>
      <c r="CA63">
        <v>55</v>
      </c>
      <c r="CE63">
        <v>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68"/>
        <v>93077.87</v>
      </c>
      <c r="CQ63">
        <f t="shared" si="69"/>
        <v>400.51319999999993</v>
      </c>
      <c r="CR63">
        <f t="shared" si="70"/>
        <v>0</v>
      </c>
      <c r="CS63">
        <f t="shared" si="71"/>
        <v>0</v>
      </c>
      <c r="CT63">
        <f t="shared" si="72"/>
        <v>0</v>
      </c>
      <c r="CU63">
        <f t="shared" si="73"/>
        <v>0</v>
      </c>
      <c r="CV63">
        <f t="shared" si="74"/>
        <v>0</v>
      </c>
      <c r="CW63">
        <f t="shared" si="75"/>
        <v>0</v>
      </c>
      <c r="CX63">
        <f t="shared" si="76"/>
        <v>0</v>
      </c>
      <c r="CY63">
        <f t="shared" si="77"/>
        <v>0</v>
      </c>
      <c r="CZ63">
        <f t="shared" si="78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64</v>
      </c>
      <c r="DW63" t="s">
        <v>64</v>
      </c>
      <c r="DX63">
        <v>1</v>
      </c>
      <c r="EE63">
        <v>16510513</v>
      </c>
      <c r="EF63">
        <v>2</v>
      </c>
      <c r="EG63" t="s">
        <v>21</v>
      </c>
      <c r="EH63">
        <v>0</v>
      </c>
      <c r="EI63" t="s">
        <v>6</v>
      </c>
      <c r="EJ63">
        <v>1</v>
      </c>
      <c r="EK63">
        <v>15001</v>
      </c>
      <c r="EL63" t="s">
        <v>117</v>
      </c>
      <c r="EM63" t="s">
        <v>118</v>
      </c>
      <c r="EO63" t="s">
        <v>6</v>
      </c>
      <c r="EQ63">
        <v>0</v>
      </c>
      <c r="ER63">
        <v>59.16</v>
      </c>
      <c r="ES63">
        <v>59.16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79"/>
        <v>0</v>
      </c>
      <c r="FS63">
        <v>0</v>
      </c>
      <c r="FT63" t="s">
        <v>25</v>
      </c>
      <c r="FU63" t="s">
        <v>26</v>
      </c>
      <c r="FX63">
        <v>94.5</v>
      </c>
      <c r="FY63">
        <v>46.75</v>
      </c>
      <c r="GA63" t="s">
        <v>6</v>
      </c>
      <c r="GD63">
        <v>1</v>
      </c>
      <c r="GF63">
        <v>-724546537</v>
      </c>
      <c r="GG63">
        <v>1</v>
      </c>
      <c r="GH63">
        <v>1</v>
      </c>
      <c r="GI63">
        <v>4</v>
      </c>
      <c r="GJ63">
        <v>0</v>
      </c>
      <c r="GK63">
        <v>0</v>
      </c>
      <c r="GL63">
        <f t="shared" si="80"/>
        <v>0</v>
      </c>
      <c r="GM63">
        <f t="shared" si="81"/>
        <v>93077.87</v>
      </c>
      <c r="GN63">
        <f t="shared" si="82"/>
        <v>93077.87</v>
      </c>
      <c r="GO63">
        <f t="shared" si="83"/>
        <v>0</v>
      </c>
      <c r="GP63">
        <f t="shared" si="84"/>
        <v>0</v>
      </c>
      <c r="GR63">
        <v>0</v>
      </c>
      <c r="GS63">
        <v>3</v>
      </c>
      <c r="GT63">
        <v>0</v>
      </c>
      <c r="GU63" t="s">
        <v>6</v>
      </c>
      <c r="GV63">
        <f t="shared" si="85"/>
        <v>0</v>
      </c>
      <c r="GW63">
        <v>1</v>
      </c>
      <c r="GX63">
        <f t="shared" si="86"/>
        <v>0</v>
      </c>
      <c r="HA63">
        <v>0</v>
      </c>
      <c r="HB63">
        <v>0</v>
      </c>
      <c r="HC63">
        <f t="shared" si="87"/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165</v>
      </c>
      <c r="D64" s="2"/>
      <c r="E64" s="2" t="s">
        <v>126</v>
      </c>
      <c r="F64" s="2" t="s">
        <v>127</v>
      </c>
      <c r="G64" s="2" t="s">
        <v>128</v>
      </c>
      <c r="H64" s="2" t="s">
        <v>129</v>
      </c>
      <c r="I64" s="2">
        <f>I58*J64</f>
        <v>66.399000000000001</v>
      </c>
      <c r="J64" s="2">
        <v>30.000000000000004</v>
      </c>
      <c r="K64" s="2"/>
      <c r="L64" s="2"/>
      <c r="M64" s="2"/>
      <c r="N64" s="2"/>
      <c r="O64" s="2">
        <f t="shared" si="54"/>
        <v>0</v>
      </c>
      <c r="P64" s="2">
        <f t="shared" si="55"/>
        <v>0</v>
      </c>
      <c r="Q64" s="2">
        <f t="shared" si="56"/>
        <v>0</v>
      </c>
      <c r="R64" s="2">
        <f t="shared" si="57"/>
        <v>0</v>
      </c>
      <c r="S64" s="2">
        <f t="shared" si="58"/>
        <v>0</v>
      </c>
      <c r="T64" s="2">
        <f t="shared" si="59"/>
        <v>0</v>
      </c>
      <c r="U64" s="2">
        <f t="shared" si="60"/>
        <v>0</v>
      </c>
      <c r="V64" s="2">
        <f t="shared" si="61"/>
        <v>0</v>
      </c>
      <c r="W64" s="2">
        <f t="shared" si="62"/>
        <v>0</v>
      </c>
      <c r="X64" s="2">
        <f t="shared" si="63"/>
        <v>0</v>
      </c>
      <c r="Y64" s="2">
        <f t="shared" si="64"/>
        <v>0</v>
      </c>
      <c r="Z64" s="2"/>
      <c r="AA64" s="2">
        <v>16856227</v>
      </c>
      <c r="AB64" s="2">
        <f t="shared" si="65"/>
        <v>0</v>
      </c>
      <c r="AC64" s="2">
        <f t="shared" si="48"/>
        <v>0</v>
      </c>
      <c r="AD64" s="2">
        <f t="shared" si="88"/>
        <v>0</v>
      </c>
      <c r="AE64" s="2">
        <f t="shared" si="89"/>
        <v>0</v>
      </c>
      <c r="AF64" s="2">
        <f t="shared" si="90"/>
        <v>0</v>
      </c>
      <c r="AG64" s="2">
        <f t="shared" si="66"/>
        <v>0</v>
      </c>
      <c r="AH64" s="2">
        <f t="shared" si="91"/>
        <v>0</v>
      </c>
      <c r="AI64" s="2">
        <f t="shared" si="92"/>
        <v>0</v>
      </c>
      <c r="AJ64" s="2">
        <f t="shared" si="67"/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95</v>
      </c>
      <c r="AU64" s="2">
        <v>47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3</v>
      </c>
      <c r="BI64" s="2">
        <v>1</v>
      </c>
      <c r="BJ64" s="2" t="s">
        <v>6</v>
      </c>
      <c r="BK64" s="2"/>
      <c r="BL64" s="2"/>
      <c r="BM64" s="2">
        <v>15001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105</v>
      </c>
      <c r="CA64" s="2">
        <v>55</v>
      </c>
      <c r="CB64" s="2"/>
      <c r="CC64" s="2"/>
      <c r="CD64" s="2"/>
      <c r="CE64" s="2">
        <v>0</v>
      </c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68"/>
        <v>0</v>
      </c>
      <c r="CQ64" s="2">
        <f t="shared" si="69"/>
        <v>0</v>
      </c>
      <c r="CR64" s="2">
        <f t="shared" si="70"/>
        <v>0</v>
      </c>
      <c r="CS64" s="2">
        <f t="shared" si="71"/>
        <v>0</v>
      </c>
      <c r="CT64" s="2">
        <f t="shared" si="72"/>
        <v>0</v>
      </c>
      <c r="CU64" s="2">
        <f t="shared" si="73"/>
        <v>0</v>
      </c>
      <c r="CV64" s="2">
        <f t="shared" si="74"/>
        <v>0</v>
      </c>
      <c r="CW64" s="2">
        <f t="shared" si="75"/>
        <v>0</v>
      </c>
      <c r="CX64" s="2">
        <f t="shared" si="76"/>
        <v>0</v>
      </c>
      <c r="CY64" s="2">
        <f t="shared" si="77"/>
        <v>0</v>
      </c>
      <c r="CZ64" s="2">
        <f t="shared" si="78"/>
        <v>0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1009</v>
      </c>
      <c r="DV64" s="2" t="s">
        <v>129</v>
      </c>
      <c r="DW64" s="2" t="s">
        <v>129</v>
      </c>
      <c r="DX64" s="2">
        <v>1</v>
      </c>
      <c r="DY64" s="2"/>
      <c r="DZ64" s="2"/>
      <c r="EA64" s="2"/>
      <c r="EB64" s="2"/>
      <c r="EC64" s="2"/>
      <c r="ED64" s="2"/>
      <c r="EE64" s="2">
        <v>16510513</v>
      </c>
      <c r="EF64" s="2">
        <v>2</v>
      </c>
      <c r="EG64" s="2" t="s">
        <v>21</v>
      </c>
      <c r="EH64" s="2">
        <v>0</v>
      </c>
      <c r="EI64" s="2" t="s">
        <v>6</v>
      </c>
      <c r="EJ64" s="2">
        <v>1</v>
      </c>
      <c r="EK64" s="2">
        <v>15001</v>
      </c>
      <c r="EL64" s="2" t="s">
        <v>117</v>
      </c>
      <c r="EM64" s="2" t="s">
        <v>118</v>
      </c>
      <c r="EN64" s="2"/>
      <c r="EO64" s="2" t="s">
        <v>6</v>
      </c>
      <c r="EP64" s="2"/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79"/>
        <v>0</v>
      </c>
      <c r="FS64" s="2">
        <v>0</v>
      </c>
      <c r="FT64" s="2" t="s">
        <v>25</v>
      </c>
      <c r="FU64" s="2" t="s">
        <v>26</v>
      </c>
      <c r="FV64" s="2"/>
      <c r="FW64" s="2"/>
      <c r="FX64" s="2">
        <v>94.5</v>
      </c>
      <c r="FY64" s="2">
        <v>46.75</v>
      </c>
      <c r="FZ64" s="2"/>
      <c r="GA64" s="2" t="s">
        <v>6</v>
      </c>
      <c r="GB64" s="2"/>
      <c r="GC64" s="2"/>
      <c r="GD64" s="2">
        <v>1</v>
      </c>
      <c r="GE64" s="2"/>
      <c r="GF64" s="2">
        <v>-1516100259</v>
      </c>
      <c r="GG64" s="2">
        <v>2</v>
      </c>
      <c r="GH64" s="2">
        <v>1</v>
      </c>
      <c r="GI64" s="2">
        <v>-2</v>
      </c>
      <c r="GJ64" s="2">
        <v>0</v>
      </c>
      <c r="GK64" s="2">
        <v>0</v>
      </c>
      <c r="GL64" s="2">
        <f t="shared" si="80"/>
        <v>0</v>
      </c>
      <c r="GM64" s="2">
        <f t="shared" si="81"/>
        <v>0</v>
      </c>
      <c r="GN64" s="2">
        <f t="shared" si="82"/>
        <v>0</v>
      </c>
      <c r="GO64" s="2">
        <f t="shared" si="83"/>
        <v>0</v>
      </c>
      <c r="GP64" s="2">
        <f t="shared" si="84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85"/>
        <v>0</v>
      </c>
      <c r="GW64" s="2">
        <v>1</v>
      </c>
      <c r="GX64" s="2">
        <f t="shared" si="86"/>
        <v>0</v>
      </c>
      <c r="GY64" s="2"/>
      <c r="GZ64" s="2"/>
      <c r="HA64" s="2">
        <v>0</v>
      </c>
      <c r="HB64" s="2">
        <v>0</v>
      </c>
      <c r="HC64" s="2">
        <f t="shared" si="87"/>
        <v>0</v>
      </c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176</v>
      </c>
      <c r="E65" t="s">
        <v>126</v>
      </c>
      <c r="F65" t="s">
        <v>127</v>
      </c>
      <c r="G65" t="s">
        <v>128</v>
      </c>
      <c r="H65" t="s">
        <v>129</v>
      </c>
      <c r="I65">
        <f>I59*J65</f>
        <v>66.399000000000001</v>
      </c>
      <c r="J65">
        <v>30.000000000000004</v>
      </c>
      <c r="O65">
        <f t="shared" si="54"/>
        <v>0</v>
      </c>
      <c r="P65">
        <f t="shared" si="55"/>
        <v>0</v>
      </c>
      <c r="Q65">
        <f t="shared" si="56"/>
        <v>0</v>
      </c>
      <c r="R65">
        <f t="shared" si="57"/>
        <v>0</v>
      </c>
      <c r="S65">
        <f t="shared" si="58"/>
        <v>0</v>
      </c>
      <c r="T65">
        <f t="shared" si="59"/>
        <v>0</v>
      </c>
      <c r="U65">
        <f t="shared" si="60"/>
        <v>0</v>
      </c>
      <c r="V65">
        <f t="shared" si="61"/>
        <v>0</v>
      </c>
      <c r="W65">
        <f t="shared" si="62"/>
        <v>0</v>
      </c>
      <c r="X65">
        <f t="shared" si="63"/>
        <v>0</v>
      </c>
      <c r="Y65">
        <f t="shared" si="64"/>
        <v>0</v>
      </c>
      <c r="AA65">
        <v>16856228</v>
      </c>
      <c r="AB65">
        <f t="shared" si="65"/>
        <v>0</v>
      </c>
      <c r="AC65">
        <f t="shared" si="48"/>
        <v>0</v>
      </c>
      <c r="AD65">
        <f t="shared" si="88"/>
        <v>0</v>
      </c>
      <c r="AE65">
        <f t="shared" si="89"/>
        <v>0</v>
      </c>
      <c r="AF65">
        <f t="shared" si="90"/>
        <v>0</v>
      </c>
      <c r="AG65">
        <f t="shared" si="66"/>
        <v>0</v>
      </c>
      <c r="AH65">
        <f t="shared" si="91"/>
        <v>0</v>
      </c>
      <c r="AI65">
        <f t="shared" si="92"/>
        <v>0</v>
      </c>
      <c r="AJ65">
        <f t="shared" si="67"/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47</v>
      </c>
      <c r="AV65">
        <v>1</v>
      </c>
      <c r="AW65">
        <v>1</v>
      </c>
      <c r="AZ65">
        <v>6.77</v>
      </c>
      <c r="BA65">
        <v>1</v>
      </c>
      <c r="BB65">
        <v>1</v>
      </c>
      <c r="BC65">
        <v>6.77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6</v>
      </c>
      <c r="BM65">
        <v>15001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105</v>
      </c>
      <c r="CA65">
        <v>55</v>
      </c>
      <c r="CE65">
        <v>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68"/>
        <v>0</v>
      </c>
      <c r="CQ65">
        <f t="shared" si="69"/>
        <v>0</v>
      </c>
      <c r="CR65">
        <f t="shared" si="70"/>
        <v>0</v>
      </c>
      <c r="CS65">
        <f t="shared" si="71"/>
        <v>0</v>
      </c>
      <c r="CT65">
        <f t="shared" si="72"/>
        <v>0</v>
      </c>
      <c r="CU65">
        <f t="shared" si="73"/>
        <v>0</v>
      </c>
      <c r="CV65">
        <f t="shared" si="74"/>
        <v>0</v>
      </c>
      <c r="CW65">
        <f t="shared" si="75"/>
        <v>0</v>
      </c>
      <c r="CX65">
        <f t="shared" si="76"/>
        <v>0</v>
      </c>
      <c r="CY65">
        <f t="shared" si="77"/>
        <v>0</v>
      </c>
      <c r="CZ65">
        <f t="shared" si="78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129</v>
      </c>
      <c r="DW65" t="s">
        <v>129</v>
      </c>
      <c r="DX65">
        <v>1</v>
      </c>
      <c r="EE65">
        <v>16510513</v>
      </c>
      <c r="EF65">
        <v>2</v>
      </c>
      <c r="EG65" t="s">
        <v>21</v>
      </c>
      <c r="EH65">
        <v>0</v>
      </c>
      <c r="EI65" t="s">
        <v>6</v>
      </c>
      <c r="EJ65">
        <v>1</v>
      </c>
      <c r="EK65">
        <v>15001</v>
      </c>
      <c r="EL65" t="s">
        <v>117</v>
      </c>
      <c r="EM65" t="s">
        <v>118</v>
      </c>
      <c r="EO65" t="s">
        <v>6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79"/>
        <v>0</v>
      </c>
      <c r="FS65">
        <v>0</v>
      </c>
      <c r="FT65" t="s">
        <v>25</v>
      </c>
      <c r="FU65" t="s">
        <v>26</v>
      </c>
      <c r="FX65">
        <v>94.5</v>
      </c>
      <c r="FY65">
        <v>46.75</v>
      </c>
      <c r="GA65" t="s">
        <v>6</v>
      </c>
      <c r="GD65">
        <v>1</v>
      </c>
      <c r="GF65">
        <v>-1516100259</v>
      </c>
      <c r="GG65">
        <v>1</v>
      </c>
      <c r="GH65">
        <v>1</v>
      </c>
      <c r="GI65">
        <v>4</v>
      </c>
      <c r="GJ65">
        <v>0</v>
      </c>
      <c r="GK65">
        <v>0</v>
      </c>
      <c r="GL65">
        <f t="shared" si="80"/>
        <v>0</v>
      </c>
      <c r="GM65">
        <f t="shared" si="81"/>
        <v>0</v>
      </c>
      <c r="GN65">
        <f t="shared" si="82"/>
        <v>0</v>
      </c>
      <c r="GO65">
        <f t="shared" si="83"/>
        <v>0</v>
      </c>
      <c r="GP65">
        <f t="shared" si="84"/>
        <v>0</v>
      </c>
      <c r="GR65">
        <v>0</v>
      </c>
      <c r="GS65">
        <v>3</v>
      </c>
      <c r="GT65">
        <v>0</v>
      </c>
      <c r="GU65" t="s">
        <v>6</v>
      </c>
      <c r="GV65">
        <f t="shared" si="85"/>
        <v>0</v>
      </c>
      <c r="GW65">
        <v>1</v>
      </c>
      <c r="GX65">
        <f t="shared" si="86"/>
        <v>0</v>
      </c>
      <c r="HA65">
        <v>0</v>
      </c>
      <c r="HB65">
        <v>0</v>
      </c>
      <c r="HC65">
        <f t="shared" si="87"/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164</v>
      </c>
      <c r="D66" s="2"/>
      <c r="E66" s="2" t="s">
        <v>130</v>
      </c>
      <c r="F66" s="2" t="s">
        <v>131</v>
      </c>
      <c r="G66" s="2" t="s">
        <v>132</v>
      </c>
      <c r="H66" s="2" t="s">
        <v>129</v>
      </c>
      <c r="I66" s="2">
        <f>I58*J66</f>
        <v>66.399000000000001</v>
      </c>
      <c r="J66" s="2">
        <v>30.000000000000004</v>
      </c>
      <c r="K66" s="2"/>
      <c r="L66" s="2"/>
      <c r="M66" s="2"/>
      <c r="N66" s="2"/>
      <c r="O66" s="2">
        <f t="shared" si="54"/>
        <v>1697.16</v>
      </c>
      <c r="P66" s="2">
        <f t="shared" si="55"/>
        <v>1697.16</v>
      </c>
      <c r="Q66" s="2">
        <f t="shared" si="56"/>
        <v>0</v>
      </c>
      <c r="R66" s="2">
        <f t="shared" si="57"/>
        <v>0</v>
      </c>
      <c r="S66" s="2">
        <f t="shared" si="58"/>
        <v>0</v>
      </c>
      <c r="T66" s="2">
        <f t="shared" si="59"/>
        <v>0</v>
      </c>
      <c r="U66" s="2">
        <f t="shared" si="60"/>
        <v>0</v>
      </c>
      <c r="V66" s="2">
        <f t="shared" si="61"/>
        <v>0</v>
      </c>
      <c r="W66" s="2">
        <f t="shared" si="62"/>
        <v>0</v>
      </c>
      <c r="X66" s="2">
        <f t="shared" si="63"/>
        <v>0</v>
      </c>
      <c r="Y66" s="2">
        <f t="shared" si="64"/>
        <v>0</v>
      </c>
      <c r="Z66" s="2"/>
      <c r="AA66" s="2">
        <v>16856227</v>
      </c>
      <c r="AB66" s="2">
        <f t="shared" si="65"/>
        <v>25.56</v>
      </c>
      <c r="AC66" s="2">
        <f t="shared" si="48"/>
        <v>25.56</v>
      </c>
      <c r="AD66" s="2">
        <f t="shared" si="88"/>
        <v>0</v>
      </c>
      <c r="AE66" s="2">
        <f t="shared" si="89"/>
        <v>0</v>
      </c>
      <c r="AF66" s="2">
        <f t="shared" si="90"/>
        <v>0</v>
      </c>
      <c r="AG66" s="2">
        <f t="shared" si="66"/>
        <v>0</v>
      </c>
      <c r="AH66" s="2">
        <f t="shared" si="91"/>
        <v>0</v>
      </c>
      <c r="AI66" s="2">
        <f t="shared" si="92"/>
        <v>0</v>
      </c>
      <c r="AJ66" s="2">
        <f t="shared" si="67"/>
        <v>0</v>
      </c>
      <c r="AK66" s="2">
        <v>25.56</v>
      </c>
      <c r="AL66" s="2">
        <v>25.56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95</v>
      </c>
      <c r="AU66" s="2">
        <v>47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3</v>
      </c>
      <c r="BI66" s="2">
        <v>1</v>
      </c>
      <c r="BJ66" s="2" t="s">
        <v>133</v>
      </c>
      <c r="BK66" s="2"/>
      <c r="BL66" s="2"/>
      <c r="BM66" s="2">
        <v>15001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105</v>
      </c>
      <c r="CA66" s="2">
        <v>55</v>
      </c>
      <c r="CB66" s="2"/>
      <c r="CC66" s="2"/>
      <c r="CD66" s="2"/>
      <c r="CE66" s="2">
        <v>0</v>
      </c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68"/>
        <v>1697.16</v>
      </c>
      <c r="CQ66" s="2">
        <f t="shared" si="69"/>
        <v>25.56</v>
      </c>
      <c r="CR66" s="2">
        <f t="shared" si="70"/>
        <v>0</v>
      </c>
      <c r="CS66" s="2">
        <f t="shared" si="71"/>
        <v>0</v>
      </c>
      <c r="CT66" s="2">
        <f t="shared" si="72"/>
        <v>0</v>
      </c>
      <c r="CU66" s="2">
        <f t="shared" si="73"/>
        <v>0</v>
      </c>
      <c r="CV66" s="2">
        <f t="shared" si="74"/>
        <v>0</v>
      </c>
      <c r="CW66" s="2">
        <f t="shared" si="75"/>
        <v>0</v>
      </c>
      <c r="CX66" s="2">
        <f t="shared" si="76"/>
        <v>0</v>
      </c>
      <c r="CY66" s="2">
        <f t="shared" si="77"/>
        <v>0</v>
      </c>
      <c r="CZ66" s="2">
        <f t="shared" si="78"/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1009</v>
      </c>
      <c r="DV66" s="2" t="s">
        <v>129</v>
      </c>
      <c r="DW66" s="2" t="s">
        <v>129</v>
      </c>
      <c r="DX66" s="2">
        <v>1</v>
      </c>
      <c r="DY66" s="2"/>
      <c r="DZ66" s="2"/>
      <c r="EA66" s="2"/>
      <c r="EB66" s="2"/>
      <c r="EC66" s="2"/>
      <c r="ED66" s="2"/>
      <c r="EE66" s="2">
        <v>16510513</v>
      </c>
      <c r="EF66" s="2">
        <v>2</v>
      </c>
      <c r="EG66" s="2" t="s">
        <v>21</v>
      </c>
      <c r="EH66" s="2">
        <v>0</v>
      </c>
      <c r="EI66" s="2" t="s">
        <v>6</v>
      </c>
      <c r="EJ66" s="2">
        <v>1</v>
      </c>
      <c r="EK66" s="2">
        <v>15001</v>
      </c>
      <c r="EL66" s="2" t="s">
        <v>117</v>
      </c>
      <c r="EM66" s="2" t="s">
        <v>118</v>
      </c>
      <c r="EN66" s="2"/>
      <c r="EO66" s="2" t="s">
        <v>6</v>
      </c>
      <c r="EP66" s="2"/>
      <c r="EQ66" s="2">
        <v>0</v>
      </c>
      <c r="ER66" s="2">
        <v>25.56</v>
      </c>
      <c r="ES66" s="2">
        <v>25.56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79"/>
        <v>0</v>
      </c>
      <c r="FS66" s="2">
        <v>0</v>
      </c>
      <c r="FT66" s="2" t="s">
        <v>25</v>
      </c>
      <c r="FU66" s="2" t="s">
        <v>26</v>
      </c>
      <c r="FV66" s="2"/>
      <c r="FW66" s="2"/>
      <c r="FX66" s="2">
        <v>94.5</v>
      </c>
      <c r="FY66" s="2">
        <v>46.75</v>
      </c>
      <c r="FZ66" s="2"/>
      <c r="GA66" s="2" t="s">
        <v>6</v>
      </c>
      <c r="GB66" s="2"/>
      <c r="GC66" s="2"/>
      <c r="GD66" s="2">
        <v>1</v>
      </c>
      <c r="GE66" s="2"/>
      <c r="GF66" s="2">
        <v>-89726692</v>
      </c>
      <c r="GG66" s="2">
        <v>2</v>
      </c>
      <c r="GH66" s="2">
        <v>1</v>
      </c>
      <c r="GI66" s="2">
        <v>-2</v>
      </c>
      <c r="GJ66" s="2">
        <v>0</v>
      </c>
      <c r="GK66" s="2">
        <v>0</v>
      </c>
      <c r="GL66" s="2">
        <f t="shared" si="80"/>
        <v>0</v>
      </c>
      <c r="GM66" s="2">
        <f t="shared" si="81"/>
        <v>1697.16</v>
      </c>
      <c r="GN66" s="2">
        <f t="shared" si="82"/>
        <v>1697.16</v>
      </c>
      <c r="GO66" s="2">
        <f t="shared" si="83"/>
        <v>0</v>
      </c>
      <c r="GP66" s="2">
        <f t="shared" si="84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85"/>
        <v>0</v>
      </c>
      <c r="GW66" s="2">
        <v>1</v>
      </c>
      <c r="GX66" s="2">
        <f t="shared" si="86"/>
        <v>0</v>
      </c>
      <c r="GY66" s="2"/>
      <c r="GZ66" s="2"/>
      <c r="HA66" s="2">
        <v>0</v>
      </c>
      <c r="HB66" s="2">
        <v>0</v>
      </c>
      <c r="HC66" s="2">
        <f t="shared" si="87"/>
        <v>0</v>
      </c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175</v>
      </c>
      <c r="E67" t="s">
        <v>130</v>
      </c>
      <c r="F67" t="s">
        <v>131</v>
      </c>
      <c r="G67" t="s">
        <v>132</v>
      </c>
      <c r="H67" t="s">
        <v>129</v>
      </c>
      <c r="I67">
        <f>I59*J67</f>
        <v>66.399000000000001</v>
      </c>
      <c r="J67">
        <v>30.000000000000004</v>
      </c>
      <c r="O67">
        <f t="shared" si="54"/>
        <v>11489.76</v>
      </c>
      <c r="P67">
        <f t="shared" si="55"/>
        <v>11489.76</v>
      </c>
      <c r="Q67">
        <f t="shared" si="56"/>
        <v>0</v>
      </c>
      <c r="R67">
        <f t="shared" si="57"/>
        <v>0</v>
      </c>
      <c r="S67">
        <f t="shared" si="58"/>
        <v>0</v>
      </c>
      <c r="T67">
        <f t="shared" si="59"/>
        <v>0</v>
      </c>
      <c r="U67">
        <f t="shared" si="60"/>
        <v>0</v>
      </c>
      <c r="V67">
        <f t="shared" si="61"/>
        <v>0</v>
      </c>
      <c r="W67">
        <f t="shared" si="62"/>
        <v>0</v>
      </c>
      <c r="X67">
        <f t="shared" si="63"/>
        <v>0</v>
      </c>
      <c r="Y67">
        <f t="shared" si="64"/>
        <v>0</v>
      </c>
      <c r="AA67">
        <v>16856228</v>
      </c>
      <c r="AB67">
        <f t="shared" si="65"/>
        <v>25.56</v>
      </c>
      <c r="AC67">
        <f t="shared" si="48"/>
        <v>25.56</v>
      </c>
      <c r="AD67">
        <f t="shared" si="88"/>
        <v>0</v>
      </c>
      <c r="AE67">
        <f t="shared" si="89"/>
        <v>0</v>
      </c>
      <c r="AF67">
        <f t="shared" si="90"/>
        <v>0</v>
      </c>
      <c r="AG67">
        <f t="shared" si="66"/>
        <v>0</v>
      </c>
      <c r="AH67">
        <f t="shared" si="91"/>
        <v>0</v>
      </c>
      <c r="AI67">
        <f t="shared" si="92"/>
        <v>0</v>
      </c>
      <c r="AJ67">
        <f t="shared" si="67"/>
        <v>0</v>
      </c>
      <c r="AK67">
        <v>25.56</v>
      </c>
      <c r="AL67">
        <v>25.56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6.77</v>
      </c>
      <c r="BA67">
        <v>1</v>
      </c>
      <c r="BB67">
        <v>1</v>
      </c>
      <c r="BC67">
        <v>6.77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133</v>
      </c>
      <c r="BM67">
        <v>15001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105</v>
      </c>
      <c r="CA67">
        <v>55</v>
      </c>
      <c r="CE67">
        <v>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68"/>
        <v>11489.76</v>
      </c>
      <c r="CQ67">
        <f t="shared" si="69"/>
        <v>173.04119999999998</v>
      </c>
      <c r="CR67">
        <f t="shared" si="70"/>
        <v>0</v>
      </c>
      <c r="CS67">
        <f t="shared" si="71"/>
        <v>0</v>
      </c>
      <c r="CT67">
        <f t="shared" si="72"/>
        <v>0</v>
      </c>
      <c r="CU67">
        <f t="shared" si="73"/>
        <v>0</v>
      </c>
      <c r="CV67">
        <f t="shared" si="74"/>
        <v>0</v>
      </c>
      <c r="CW67">
        <f t="shared" si="75"/>
        <v>0</v>
      </c>
      <c r="CX67">
        <f t="shared" si="76"/>
        <v>0</v>
      </c>
      <c r="CY67">
        <f t="shared" si="77"/>
        <v>0</v>
      </c>
      <c r="CZ67">
        <f t="shared" si="78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129</v>
      </c>
      <c r="DW67" t="s">
        <v>129</v>
      </c>
      <c r="DX67">
        <v>1</v>
      </c>
      <c r="EE67">
        <v>16510513</v>
      </c>
      <c r="EF67">
        <v>2</v>
      </c>
      <c r="EG67" t="s">
        <v>21</v>
      </c>
      <c r="EH67">
        <v>0</v>
      </c>
      <c r="EI67" t="s">
        <v>6</v>
      </c>
      <c r="EJ67">
        <v>1</v>
      </c>
      <c r="EK67">
        <v>15001</v>
      </c>
      <c r="EL67" t="s">
        <v>117</v>
      </c>
      <c r="EM67" t="s">
        <v>118</v>
      </c>
      <c r="EO67" t="s">
        <v>6</v>
      </c>
      <c r="EQ67">
        <v>0</v>
      </c>
      <c r="ER67">
        <v>25.56</v>
      </c>
      <c r="ES67">
        <v>25.56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79"/>
        <v>0</v>
      </c>
      <c r="FS67">
        <v>0</v>
      </c>
      <c r="FT67" t="s">
        <v>25</v>
      </c>
      <c r="FU67" t="s">
        <v>26</v>
      </c>
      <c r="FX67">
        <v>94.5</v>
      </c>
      <c r="FY67">
        <v>46.75</v>
      </c>
      <c r="GA67" t="s">
        <v>6</v>
      </c>
      <c r="GD67">
        <v>1</v>
      </c>
      <c r="GF67">
        <v>-89726692</v>
      </c>
      <c r="GG67">
        <v>1</v>
      </c>
      <c r="GH67">
        <v>1</v>
      </c>
      <c r="GI67">
        <v>4</v>
      </c>
      <c r="GJ67">
        <v>0</v>
      </c>
      <c r="GK67">
        <v>0</v>
      </c>
      <c r="GL67">
        <f t="shared" si="80"/>
        <v>0</v>
      </c>
      <c r="GM67">
        <f t="shared" si="81"/>
        <v>11489.76</v>
      </c>
      <c r="GN67">
        <f t="shared" si="82"/>
        <v>11489.76</v>
      </c>
      <c r="GO67">
        <f t="shared" si="83"/>
        <v>0</v>
      </c>
      <c r="GP67">
        <f t="shared" si="84"/>
        <v>0</v>
      </c>
      <c r="GR67">
        <v>0</v>
      </c>
      <c r="GS67">
        <v>3</v>
      </c>
      <c r="GT67">
        <v>0</v>
      </c>
      <c r="GU67" t="s">
        <v>6</v>
      </c>
      <c r="GV67">
        <f t="shared" si="85"/>
        <v>0</v>
      </c>
      <c r="GW67">
        <v>1</v>
      </c>
      <c r="GX67">
        <f t="shared" si="86"/>
        <v>0</v>
      </c>
      <c r="HA67">
        <v>0</v>
      </c>
      <c r="HB67">
        <v>0</v>
      </c>
      <c r="HC67">
        <f t="shared" si="87"/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166</v>
      </c>
      <c r="D68" s="2"/>
      <c r="E68" s="2" t="s">
        <v>134</v>
      </c>
      <c r="F68" s="2" t="s">
        <v>135</v>
      </c>
      <c r="G68" s="2" t="s">
        <v>136</v>
      </c>
      <c r="H68" s="2" t="s">
        <v>129</v>
      </c>
      <c r="I68" s="2">
        <f>I58*J68</f>
        <v>19.698</v>
      </c>
      <c r="J68" s="2">
        <v>8.8998328288076642</v>
      </c>
      <c r="K68" s="2"/>
      <c r="L68" s="2"/>
      <c r="M68" s="2"/>
      <c r="N68" s="2"/>
      <c r="O68" s="2">
        <f t="shared" si="54"/>
        <v>297.24</v>
      </c>
      <c r="P68" s="2">
        <f t="shared" si="55"/>
        <v>297.24</v>
      </c>
      <c r="Q68" s="2">
        <f t="shared" si="56"/>
        <v>0</v>
      </c>
      <c r="R68" s="2">
        <f t="shared" si="57"/>
        <v>0</v>
      </c>
      <c r="S68" s="2">
        <f t="shared" si="58"/>
        <v>0</v>
      </c>
      <c r="T68" s="2">
        <f t="shared" si="59"/>
        <v>0</v>
      </c>
      <c r="U68" s="2">
        <f t="shared" si="60"/>
        <v>0</v>
      </c>
      <c r="V68" s="2">
        <f t="shared" si="61"/>
        <v>0</v>
      </c>
      <c r="W68" s="2">
        <f t="shared" si="62"/>
        <v>0</v>
      </c>
      <c r="X68" s="2">
        <f t="shared" si="63"/>
        <v>0</v>
      </c>
      <c r="Y68" s="2">
        <f t="shared" si="64"/>
        <v>0</v>
      </c>
      <c r="Z68" s="2"/>
      <c r="AA68" s="2">
        <v>16856227</v>
      </c>
      <c r="AB68" s="2">
        <f t="shared" si="65"/>
        <v>15.09</v>
      </c>
      <c r="AC68" s="2">
        <f t="shared" si="48"/>
        <v>15.09</v>
      </c>
      <c r="AD68" s="2">
        <f t="shared" si="88"/>
        <v>0</v>
      </c>
      <c r="AE68" s="2">
        <f t="shared" si="89"/>
        <v>0</v>
      </c>
      <c r="AF68" s="2">
        <f t="shared" si="90"/>
        <v>0</v>
      </c>
      <c r="AG68" s="2">
        <f t="shared" si="66"/>
        <v>0</v>
      </c>
      <c r="AH68" s="2">
        <f t="shared" si="91"/>
        <v>0</v>
      </c>
      <c r="AI68" s="2">
        <f t="shared" si="92"/>
        <v>0</v>
      </c>
      <c r="AJ68" s="2">
        <f t="shared" si="67"/>
        <v>0</v>
      </c>
      <c r="AK68" s="2">
        <v>15.09</v>
      </c>
      <c r="AL68" s="2">
        <v>15.09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95</v>
      </c>
      <c r="AU68" s="2">
        <v>47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3</v>
      </c>
      <c r="BI68" s="2">
        <v>1</v>
      </c>
      <c r="BJ68" s="2" t="s">
        <v>137</v>
      </c>
      <c r="BK68" s="2"/>
      <c r="BL68" s="2"/>
      <c r="BM68" s="2">
        <v>15001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105</v>
      </c>
      <c r="CA68" s="2">
        <v>55</v>
      </c>
      <c r="CB68" s="2"/>
      <c r="CC68" s="2"/>
      <c r="CD68" s="2"/>
      <c r="CE68" s="2">
        <v>0</v>
      </c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68"/>
        <v>297.24</v>
      </c>
      <c r="CQ68" s="2">
        <f t="shared" si="69"/>
        <v>15.09</v>
      </c>
      <c r="CR68" s="2">
        <f t="shared" si="70"/>
        <v>0</v>
      </c>
      <c r="CS68" s="2">
        <f t="shared" si="71"/>
        <v>0</v>
      </c>
      <c r="CT68" s="2">
        <f t="shared" si="72"/>
        <v>0</v>
      </c>
      <c r="CU68" s="2">
        <f t="shared" si="73"/>
        <v>0</v>
      </c>
      <c r="CV68" s="2">
        <f t="shared" si="74"/>
        <v>0</v>
      </c>
      <c r="CW68" s="2">
        <f t="shared" si="75"/>
        <v>0</v>
      </c>
      <c r="CX68" s="2">
        <f t="shared" si="76"/>
        <v>0</v>
      </c>
      <c r="CY68" s="2">
        <f t="shared" si="77"/>
        <v>0</v>
      </c>
      <c r="CZ68" s="2">
        <f t="shared" si="78"/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1009</v>
      </c>
      <c r="DV68" s="2" t="s">
        <v>129</v>
      </c>
      <c r="DW68" s="2" t="s">
        <v>129</v>
      </c>
      <c r="DX68" s="2">
        <v>1</v>
      </c>
      <c r="DY68" s="2"/>
      <c r="DZ68" s="2"/>
      <c r="EA68" s="2"/>
      <c r="EB68" s="2"/>
      <c r="EC68" s="2"/>
      <c r="ED68" s="2"/>
      <c r="EE68" s="2">
        <v>16510513</v>
      </c>
      <c r="EF68" s="2">
        <v>2</v>
      </c>
      <c r="EG68" s="2" t="s">
        <v>21</v>
      </c>
      <c r="EH68" s="2">
        <v>0</v>
      </c>
      <c r="EI68" s="2" t="s">
        <v>6</v>
      </c>
      <c r="EJ68" s="2">
        <v>1</v>
      </c>
      <c r="EK68" s="2">
        <v>15001</v>
      </c>
      <c r="EL68" s="2" t="s">
        <v>117</v>
      </c>
      <c r="EM68" s="2" t="s">
        <v>118</v>
      </c>
      <c r="EN68" s="2"/>
      <c r="EO68" s="2" t="s">
        <v>6</v>
      </c>
      <c r="EP68" s="2"/>
      <c r="EQ68" s="2">
        <v>0</v>
      </c>
      <c r="ER68" s="2">
        <v>15.09</v>
      </c>
      <c r="ES68" s="2">
        <v>15.09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79"/>
        <v>0</v>
      </c>
      <c r="FS68" s="2">
        <v>0</v>
      </c>
      <c r="FT68" s="2" t="s">
        <v>25</v>
      </c>
      <c r="FU68" s="2" t="s">
        <v>26</v>
      </c>
      <c r="FV68" s="2"/>
      <c r="FW68" s="2"/>
      <c r="FX68" s="2">
        <v>94.5</v>
      </c>
      <c r="FY68" s="2">
        <v>46.75</v>
      </c>
      <c r="FZ68" s="2"/>
      <c r="GA68" s="2" t="s">
        <v>6</v>
      </c>
      <c r="GB68" s="2"/>
      <c r="GC68" s="2"/>
      <c r="GD68" s="2">
        <v>1</v>
      </c>
      <c r="GE68" s="2"/>
      <c r="GF68" s="2">
        <v>1453462043</v>
      </c>
      <c r="GG68" s="2">
        <v>2</v>
      </c>
      <c r="GH68" s="2">
        <v>1</v>
      </c>
      <c r="GI68" s="2">
        <v>-2</v>
      </c>
      <c r="GJ68" s="2">
        <v>0</v>
      </c>
      <c r="GK68" s="2">
        <v>0</v>
      </c>
      <c r="GL68" s="2">
        <f t="shared" si="80"/>
        <v>0</v>
      </c>
      <c r="GM68" s="2">
        <f t="shared" si="81"/>
        <v>297.24</v>
      </c>
      <c r="GN68" s="2">
        <f t="shared" si="82"/>
        <v>297.24</v>
      </c>
      <c r="GO68" s="2">
        <f t="shared" si="83"/>
        <v>0</v>
      </c>
      <c r="GP68" s="2">
        <f t="shared" si="84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85"/>
        <v>0</v>
      </c>
      <c r="GW68" s="2">
        <v>1</v>
      </c>
      <c r="GX68" s="2">
        <f t="shared" si="86"/>
        <v>0</v>
      </c>
      <c r="GY68" s="2"/>
      <c r="GZ68" s="2"/>
      <c r="HA68" s="2">
        <v>0</v>
      </c>
      <c r="HB68" s="2">
        <v>0</v>
      </c>
      <c r="HC68" s="2">
        <f t="shared" si="87"/>
        <v>0</v>
      </c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177</v>
      </c>
      <c r="E69" t="s">
        <v>134</v>
      </c>
      <c r="F69" t="s">
        <v>135</v>
      </c>
      <c r="G69" t="s">
        <v>136</v>
      </c>
      <c r="H69" t="s">
        <v>129</v>
      </c>
      <c r="I69">
        <f>I59*J69</f>
        <v>19.698</v>
      </c>
      <c r="J69">
        <v>8.8998328288076642</v>
      </c>
      <c r="O69">
        <f t="shared" si="54"/>
        <v>2012.33</v>
      </c>
      <c r="P69">
        <f t="shared" si="55"/>
        <v>2012.33</v>
      </c>
      <c r="Q69">
        <f t="shared" si="56"/>
        <v>0</v>
      </c>
      <c r="R69">
        <f t="shared" si="57"/>
        <v>0</v>
      </c>
      <c r="S69">
        <f t="shared" si="58"/>
        <v>0</v>
      </c>
      <c r="T69">
        <f t="shared" si="59"/>
        <v>0</v>
      </c>
      <c r="U69">
        <f t="shared" si="60"/>
        <v>0</v>
      </c>
      <c r="V69">
        <f t="shared" si="61"/>
        <v>0</v>
      </c>
      <c r="W69">
        <f t="shared" si="62"/>
        <v>0</v>
      </c>
      <c r="X69">
        <f t="shared" si="63"/>
        <v>0</v>
      </c>
      <c r="Y69">
        <f t="shared" si="64"/>
        <v>0</v>
      </c>
      <c r="AA69">
        <v>16856228</v>
      </c>
      <c r="AB69">
        <f t="shared" si="65"/>
        <v>15.09</v>
      </c>
      <c r="AC69">
        <f t="shared" si="48"/>
        <v>15.09</v>
      </c>
      <c r="AD69">
        <f t="shared" si="88"/>
        <v>0</v>
      </c>
      <c r="AE69">
        <f t="shared" si="89"/>
        <v>0</v>
      </c>
      <c r="AF69">
        <f t="shared" si="90"/>
        <v>0</v>
      </c>
      <c r="AG69">
        <f t="shared" si="66"/>
        <v>0</v>
      </c>
      <c r="AH69">
        <f t="shared" si="91"/>
        <v>0</v>
      </c>
      <c r="AI69">
        <f t="shared" si="92"/>
        <v>0</v>
      </c>
      <c r="AJ69">
        <f t="shared" si="67"/>
        <v>0</v>
      </c>
      <c r="AK69">
        <v>15.09</v>
      </c>
      <c r="AL69">
        <v>15.09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6.77</v>
      </c>
      <c r="BA69">
        <v>1</v>
      </c>
      <c r="BB69">
        <v>1</v>
      </c>
      <c r="BC69">
        <v>6.77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137</v>
      </c>
      <c r="BM69">
        <v>15001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105</v>
      </c>
      <c r="CA69">
        <v>55</v>
      </c>
      <c r="CE69">
        <v>0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68"/>
        <v>2012.33</v>
      </c>
      <c r="CQ69">
        <f t="shared" si="69"/>
        <v>102.15929999999999</v>
      </c>
      <c r="CR69">
        <f t="shared" si="70"/>
        <v>0</v>
      </c>
      <c r="CS69">
        <f t="shared" si="71"/>
        <v>0</v>
      </c>
      <c r="CT69">
        <f t="shared" si="72"/>
        <v>0</v>
      </c>
      <c r="CU69">
        <f t="shared" si="73"/>
        <v>0</v>
      </c>
      <c r="CV69">
        <f t="shared" si="74"/>
        <v>0</v>
      </c>
      <c r="CW69">
        <f t="shared" si="75"/>
        <v>0</v>
      </c>
      <c r="CX69">
        <f t="shared" si="76"/>
        <v>0</v>
      </c>
      <c r="CY69">
        <f t="shared" si="77"/>
        <v>0</v>
      </c>
      <c r="CZ69">
        <f t="shared" si="78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1009</v>
      </c>
      <c r="DV69" t="s">
        <v>129</v>
      </c>
      <c r="DW69" t="s">
        <v>129</v>
      </c>
      <c r="DX69">
        <v>1</v>
      </c>
      <c r="EE69">
        <v>16510513</v>
      </c>
      <c r="EF69">
        <v>2</v>
      </c>
      <c r="EG69" t="s">
        <v>21</v>
      </c>
      <c r="EH69">
        <v>0</v>
      </c>
      <c r="EI69" t="s">
        <v>6</v>
      </c>
      <c r="EJ69">
        <v>1</v>
      </c>
      <c r="EK69">
        <v>15001</v>
      </c>
      <c r="EL69" t="s">
        <v>117</v>
      </c>
      <c r="EM69" t="s">
        <v>118</v>
      </c>
      <c r="EO69" t="s">
        <v>6</v>
      </c>
      <c r="EQ69">
        <v>0</v>
      </c>
      <c r="ER69">
        <v>15.09</v>
      </c>
      <c r="ES69">
        <v>15.09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79"/>
        <v>0</v>
      </c>
      <c r="FS69">
        <v>0</v>
      </c>
      <c r="FT69" t="s">
        <v>25</v>
      </c>
      <c r="FU69" t="s">
        <v>26</v>
      </c>
      <c r="FX69">
        <v>94.5</v>
      </c>
      <c r="FY69">
        <v>46.75</v>
      </c>
      <c r="GA69" t="s">
        <v>6</v>
      </c>
      <c r="GD69">
        <v>1</v>
      </c>
      <c r="GF69">
        <v>1453462043</v>
      </c>
      <c r="GG69">
        <v>1</v>
      </c>
      <c r="GH69">
        <v>1</v>
      </c>
      <c r="GI69">
        <v>4</v>
      </c>
      <c r="GJ69">
        <v>0</v>
      </c>
      <c r="GK69">
        <v>0</v>
      </c>
      <c r="GL69">
        <f t="shared" si="80"/>
        <v>0</v>
      </c>
      <c r="GM69">
        <f t="shared" si="81"/>
        <v>2012.33</v>
      </c>
      <c r="GN69">
        <f t="shared" si="82"/>
        <v>2012.33</v>
      </c>
      <c r="GO69">
        <f t="shared" si="83"/>
        <v>0</v>
      </c>
      <c r="GP69">
        <f t="shared" si="84"/>
        <v>0</v>
      </c>
      <c r="GR69">
        <v>0</v>
      </c>
      <c r="GS69">
        <v>3</v>
      </c>
      <c r="GT69">
        <v>0</v>
      </c>
      <c r="GU69" t="s">
        <v>6</v>
      </c>
      <c r="GV69">
        <f t="shared" si="85"/>
        <v>0</v>
      </c>
      <c r="GW69">
        <v>1</v>
      </c>
      <c r="GX69">
        <f t="shared" si="86"/>
        <v>0</v>
      </c>
      <c r="HA69">
        <v>0</v>
      </c>
      <c r="HB69">
        <v>0</v>
      </c>
      <c r="HC69">
        <f t="shared" si="87"/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167</v>
      </c>
      <c r="D70" s="2"/>
      <c r="E70" s="2" t="s">
        <v>138</v>
      </c>
      <c r="F70" s="2" t="s">
        <v>139</v>
      </c>
      <c r="G70" s="2" t="s">
        <v>140</v>
      </c>
      <c r="H70" s="2" t="s">
        <v>37</v>
      </c>
      <c r="I70" s="2">
        <f>I58*J70</f>
        <v>1.9698E-2</v>
      </c>
      <c r="J70" s="2">
        <v>8.899832828807663E-3</v>
      </c>
      <c r="K70" s="2"/>
      <c r="L70" s="2"/>
      <c r="M70" s="2"/>
      <c r="N70" s="2"/>
      <c r="O70" s="2">
        <f t="shared" si="54"/>
        <v>0</v>
      </c>
      <c r="P70" s="2">
        <f t="shared" si="55"/>
        <v>0</v>
      </c>
      <c r="Q70" s="2">
        <f t="shared" si="56"/>
        <v>0</v>
      </c>
      <c r="R70" s="2">
        <f t="shared" si="57"/>
        <v>0</v>
      </c>
      <c r="S70" s="2">
        <f t="shared" si="58"/>
        <v>0</v>
      </c>
      <c r="T70" s="2">
        <f t="shared" si="59"/>
        <v>0</v>
      </c>
      <c r="U70" s="2">
        <f t="shared" si="60"/>
        <v>0</v>
      </c>
      <c r="V70" s="2">
        <f t="shared" si="61"/>
        <v>0</v>
      </c>
      <c r="W70" s="2">
        <f t="shared" si="62"/>
        <v>0</v>
      </c>
      <c r="X70" s="2">
        <f t="shared" si="63"/>
        <v>0</v>
      </c>
      <c r="Y70" s="2">
        <f t="shared" si="64"/>
        <v>0</v>
      </c>
      <c r="Z70" s="2"/>
      <c r="AA70" s="2">
        <v>16856227</v>
      </c>
      <c r="AB70" s="2">
        <f t="shared" si="65"/>
        <v>0</v>
      </c>
      <c r="AC70" s="2">
        <f t="shared" si="48"/>
        <v>0</v>
      </c>
      <c r="AD70" s="2">
        <f t="shared" si="88"/>
        <v>0</v>
      </c>
      <c r="AE70" s="2">
        <f t="shared" si="89"/>
        <v>0</v>
      </c>
      <c r="AF70" s="2">
        <f t="shared" si="90"/>
        <v>0</v>
      </c>
      <c r="AG70" s="2">
        <f t="shared" si="66"/>
        <v>0</v>
      </c>
      <c r="AH70" s="2">
        <f t="shared" si="91"/>
        <v>0</v>
      </c>
      <c r="AI70" s="2">
        <f t="shared" si="92"/>
        <v>0</v>
      </c>
      <c r="AJ70" s="2">
        <f t="shared" si="67"/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95</v>
      </c>
      <c r="AU70" s="2">
        <v>47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6</v>
      </c>
      <c r="BK70" s="2"/>
      <c r="BL70" s="2"/>
      <c r="BM70" s="2">
        <v>15001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105</v>
      </c>
      <c r="CA70" s="2">
        <v>55</v>
      </c>
      <c r="CB70" s="2"/>
      <c r="CC70" s="2"/>
      <c r="CD70" s="2"/>
      <c r="CE70" s="2">
        <v>0</v>
      </c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68"/>
        <v>0</v>
      </c>
      <c r="CQ70" s="2">
        <f t="shared" si="69"/>
        <v>0</v>
      </c>
      <c r="CR70" s="2">
        <f t="shared" si="70"/>
        <v>0</v>
      </c>
      <c r="CS70" s="2">
        <f t="shared" si="71"/>
        <v>0</v>
      </c>
      <c r="CT70" s="2">
        <f t="shared" si="72"/>
        <v>0</v>
      </c>
      <c r="CU70" s="2">
        <f t="shared" si="73"/>
        <v>0</v>
      </c>
      <c r="CV70" s="2">
        <f t="shared" si="74"/>
        <v>0</v>
      </c>
      <c r="CW70" s="2">
        <f t="shared" si="75"/>
        <v>0</v>
      </c>
      <c r="CX70" s="2">
        <f t="shared" si="76"/>
        <v>0</v>
      </c>
      <c r="CY70" s="2">
        <f t="shared" si="77"/>
        <v>0</v>
      </c>
      <c r="CZ70" s="2">
        <f t="shared" si="78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1009</v>
      </c>
      <c r="DV70" s="2" t="s">
        <v>37</v>
      </c>
      <c r="DW70" s="2" t="s">
        <v>37</v>
      </c>
      <c r="DX70" s="2">
        <v>1000</v>
      </c>
      <c r="DY70" s="2"/>
      <c r="DZ70" s="2"/>
      <c r="EA70" s="2"/>
      <c r="EB70" s="2"/>
      <c r="EC70" s="2"/>
      <c r="ED70" s="2"/>
      <c r="EE70" s="2">
        <v>16510513</v>
      </c>
      <c r="EF70" s="2">
        <v>2</v>
      </c>
      <c r="EG70" s="2" t="s">
        <v>21</v>
      </c>
      <c r="EH70" s="2">
        <v>0</v>
      </c>
      <c r="EI70" s="2" t="s">
        <v>6</v>
      </c>
      <c r="EJ70" s="2">
        <v>1</v>
      </c>
      <c r="EK70" s="2">
        <v>15001</v>
      </c>
      <c r="EL70" s="2" t="s">
        <v>117</v>
      </c>
      <c r="EM70" s="2" t="s">
        <v>118</v>
      </c>
      <c r="EN70" s="2"/>
      <c r="EO70" s="2" t="s">
        <v>6</v>
      </c>
      <c r="EP70" s="2"/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79"/>
        <v>0</v>
      </c>
      <c r="FS70" s="2">
        <v>0</v>
      </c>
      <c r="FT70" s="2" t="s">
        <v>25</v>
      </c>
      <c r="FU70" s="2" t="s">
        <v>26</v>
      </c>
      <c r="FV70" s="2"/>
      <c r="FW70" s="2"/>
      <c r="FX70" s="2">
        <v>94.5</v>
      </c>
      <c r="FY70" s="2">
        <v>46.75</v>
      </c>
      <c r="FZ70" s="2"/>
      <c r="GA70" s="2" t="s">
        <v>6</v>
      </c>
      <c r="GB70" s="2"/>
      <c r="GC70" s="2"/>
      <c r="GD70" s="2">
        <v>1</v>
      </c>
      <c r="GE70" s="2"/>
      <c r="GF70" s="2">
        <v>-1212923053</v>
      </c>
      <c r="GG70" s="2">
        <v>2</v>
      </c>
      <c r="GH70" s="2">
        <v>1</v>
      </c>
      <c r="GI70" s="2">
        <v>-2</v>
      </c>
      <c r="GJ70" s="2">
        <v>0</v>
      </c>
      <c r="GK70" s="2">
        <v>0</v>
      </c>
      <c r="GL70" s="2">
        <f t="shared" si="80"/>
        <v>0</v>
      </c>
      <c r="GM70" s="2">
        <f t="shared" si="81"/>
        <v>0</v>
      </c>
      <c r="GN70" s="2">
        <f t="shared" si="82"/>
        <v>0</v>
      </c>
      <c r="GO70" s="2">
        <f t="shared" si="83"/>
        <v>0</v>
      </c>
      <c r="GP70" s="2">
        <f t="shared" si="84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85"/>
        <v>0</v>
      </c>
      <c r="GW70" s="2">
        <v>1</v>
      </c>
      <c r="GX70" s="2">
        <f t="shared" si="86"/>
        <v>0</v>
      </c>
      <c r="GY70" s="2"/>
      <c r="GZ70" s="2"/>
      <c r="HA70" s="2">
        <v>0</v>
      </c>
      <c r="HB70" s="2">
        <v>0</v>
      </c>
      <c r="HC70" s="2">
        <f t="shared" si="87"/>
        <v>0</v>
      </c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178</v>
      </c>
      <c r="E71" t="s">
        <v>138</v>
      </c>
      <c r="F71" t="s">
        <v>139</v>
      </c>
      <c r="G71" t="s">
        <v>140</v>
      </c>
      <c r="H71" t="s">
        <v>37</v>
      </c>
      <c r="I71">
        <f>I59*J71</f>
        <v>1.9698E-2</v>
      </c>
      <c r="J71">
        <v>8.899832828807663E-3</v>
      </c>
      <c r="O71">
        <f t="shared" si="54"/>
        <v>0</v>
      </c>
      <c r="P71">
        <f t="shared" si="55"/>
        <v>0</v>
      </c>
      <c r="Q71">
        <f t="shared" si="56"/>
        <v>0</v>
      </c>
      <c r="R71">
        <f t="shared" si="57"/>
        <v>0</v>
      </c>
      <c r="S71">
        <f t="shared" si="58"/>
        <v>0</v>
      </c>
      <c r="T71">
        <f t="shared" si="59"/>
        <v>0</v>
      </c>
      <c r="U71">
        <f t="shared" si="60"/>
        <v>0</v>
      </c>
      <c r="V71">
        <f t="shared" si="61"/>
        <v>0</v>
      </c>
      <c r="W71">
        <f t="shared" si="62"/>
        <v>0</v>
      </c>
      <c r="X71">
        <f t="shared" si="63"/>
        <v>0</v>
      </c>
      <c r="Y71">
        <f t="shared" si="64"/>
        <v>0</v>
      </c>
      <c r="AA71">
        <v>16856228</v>
      </c>
      <c r="AB71">
        <f t="shared" si="65"/>
        <v>0</v>
      </c>
      <c r="AC71">
        <f t="shared" si="48"/>
        <v>0</v>
      </c>
      <c r="AD71">
        <f t="shared" si="88"/>
        <v>0</v>
      </c>
      <c r="AE71">
        <f t="shared" si="89"/>
        <v>0</v>
      </c>
      <c r="AF71">
        <f t="shared" si="90"/>
        <v>0</v>
      </c>
      <c r="AG71">
        <f t="shared" si="66"/>
        <v>0</v>
      </c>
      <c r="AH71">
        <f t="shared" si="91"/>
        <v>0</v>
      </c>
      <c r="AI71">
        <f t="shared" si="92"/>
        <v>0</v>
      </c>
      <c r="AJ71">
        <f t="shared" si="67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6.77</v>
      </c>
      <c r="BA71">
        <v>1</v>
      </c>
      <c r="BB71">
        <v>1</v>
      </c>
      <c r="BC71">
        <v>6.77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6</v>
      </c>
      <c r="BM71">
        <v>15001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105</v>
      </c>
      <c r="CA71">
        <v>55</v>
      </c>
      <c r="CE71">
        <v>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68"/>
        <v>0</v>
      </c>
      <c r="CQ71">
        <f t="shared" si="69"/>
        <v>0</v>
      </c>
      <c r="CR71">
        <f t="shared" si="70"/>
        <v>0</v>
      </c>
      <c r="CS71">
        <f t="shared" si="71"/>
        <v>0</v>
      </c>
      <c r="CT71">
        <f t="shared" si="72"/>
        <v>0</v>
      </c>
      <c r="CU71">
        <f t="shared" si="73"/>
        <v>0</v>
      </c>
      <c r="CV71">
        <f t="shared" si="74"/>
        <v>0</v>
      </c>
      <c r="CW71">
        <f t="shared" si="75"/>
        <v>0</v>
      </c>
      <c r="CX71">
        <f t="shared" si="76"/>
        <v>0</v>
      </c>
      <c r="CY71">
        <f t="shared" si="77"/>
        <v>0</v>
      </c>
      <c r="CZ71">
        <f t="shared" si="78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37</v>
      </c>
      <c r="DW71" t="s">
        <v>37</v>
      </c>
      <c r="DX71">
        <v>1000</v>
      </c>
      <c r="EE71">
        <v>16510513</v>
      </c>
      <c r="EF71">
        <v>2</v>
      </c>
      <c r="EG71" t="s">
        <v>21</v>
      </c>
      <c r="EH71">
        <v>0</v>
      </c>
      <c r="EI71" t="s">
        <v>6</v>
      </c>
      <c r="EJ71">
        <v>1</v>
      </c>
      <c r="EK71">
        <v>15001</v>
      </c>
      <c r="EL71" t="s">
        <v>117</v>
      </c>
      <c r="EM71" t="s">
        <v>118</v>
      </c>
      <c r="EO71" t="s">
        <v>6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79"/>
        <v>0</v>
      </c>
      <c r="FS71">
        <v>0</v>
      </c>
      <c r="FT71" t="s">
        <v>25</v>
      </c>
      <c r="FU71" t="s">
        <v>26</v>
      </c>
      <c r="FX71">
        <v>94.5</v>
      </c>
      <c r="FY71">
        <v>46.75</v>
      </c>
      <c r="GA71" t="s">
        <v>6</v>
      </c>
      <c r="GD71">
        <v>1</v>
      </c>
      <c r="GF71">
        <v>-1212923053</v>
      </c>
      <c r="GG71">
        <v>1</v>
      </c>
      <c r="GH71">
        <v>1</v>
      </c>
      <c r="GI71">
        <v>4</v>
      </c>
      <c r="GJ71">
        <v>0</v>
      </c>
      <c r="GK71">
        <v>0</v>
      </c>
      <c r="GL71">
        <f t="shared" si="80"/>
        <v>0</v>
      </c>
      <c r="GM71">
        <f t="shared" si="81"/>
        <v>0</v>
      </c>
      <c r="GN71">
        <f t="shared" si="82"/>
        <v>0</v>
      </c>
      <c r="GO71">
        <f t="shared" si="83"/>
        <v>0</v>
      </c>
      <c r="GP71">
        <f t="shared" si="84"/>
        <v>0</v>
      </c>
      <c r="GR71">
        <v>0</v>
      </c>
      <c r="GS71">
        <v>3</v>
      </c>
      <c r="GT71">
        <v>0</v>
      </c>
      <c r="GU71" t="s">
        <v>6</v>
      </c>
      <c r="GV71">
        <f t="shared" si="85"/>
        <v>0</v>
      </c>
      <c r="GW71">
        <v>1</v>
      </c>
      <c r="GX71">
        <f t="shared" si="86"/>
        <v>0</v>
      </c>
      <c r="HA71">
        <v>0</v>
      </c>
      <c r="HB71">
        <v>0</v>
      </c>
      <c r="HC71">
        <f t="shared" si="87"/>
        <v>0</v>
      </c>
      <c r="IK71">
        <v>0</v>
      </c>
    </row>
    <row r="72" spans="1:255" x14ac:dyDescent="0.2">
      <c r="A72" s="2">
        <v>17</v>
      </c>
      <c r="B72" s="2">
        <v>1</v>
      </c>
      <c r="C72" s="2">
        <f>ROW(SmtRes!A182)</f>
        <v>182</v>
      </c>
      <c r="D72" s="2">
        <f>ROW(EtalonRes!A185)</f>
        <v>185</v>
      </c>
      <c r="E72" s="2" t="s">
        <v>141</v>
      </c>
      <c r="F72" s="2" t="s">
        <v>142</v>
      </c>
      <c r="G72" s="2" t="s">
        <v>143</v>
      </c>
      <c r="H72" s="2" t="s">
        <v>47</v>
      </c>
      <c r="I72" s="2">
        <f>ROUND(442.66/100,9)</f>
        <v>4.4265999999999996</v>
      </c>
      <c r="J72" s="2">
        <v>0</v>
      </c>
      <c r="K72" s="2"/>
      <c r="L72" s="2"/>
      <c r="M72" s="2"/>
      <c r="N72" s="2"/>
      <c r="O72" s="2">
        <f t="shared" si="54"/>
        <v>450.29</v>
      </c>
      <c r="P72" s="2">
        <f t="shared" si="55"/>
        <v>159.36000000000001</v>
      </c>
      <c r="Q72" s="2">
        <f t="shared" si="56"/>
        <v>0</v>
      </c>
      <c r="R72" s="2">
        <f t="shared" si="57"/>
        <v>0</v>
      </c>
      <c r="S72" s="2">
        <f t="shared" si="58"/>
        <v>290.93</v>
      </c>
      <c r="T72" s="2">
        <f t="shared" si="59"/>
        <v>0</v>
      </c>
      <c r="U72" s="2">
        <f t="shared" si="60"/>
        <v>34.106952999999997</v>
      </c>
      <c r="V72" s="2">
        <f t="shared" si="61"/>
        <v>0</v>
      </c>
      <c r="W72" s="2">
        <f t="shared" si="62"/>
        <v>0</v>
      </c>
      <c r="X72" s="2">
        <f t="shared" si="63"/>
        <v>308.39</v>
      </c>
      <c r="Y72" s="2">
        <f t="shared" si="64"/>
        <v>157.1</v>
      </c>
      <c r="Z72" s="2"/>
      <c r="AA72" s="2">
        <v>16856227</v>
      </c>
      <c r="AB72" s="2">
        <f t="shared" si="65"/>
        <v>101.7225</v>
      </c>
      <c r="AC72" s="2">
        <f t="shared" si="48"/>
        <v>36</v>
      </c>
      <c r="AD72" s="2">
        <f>ROUND(((((ET72*1.25))-((EU72*1.25)))+AE72),6)</f>
        <v>0</v>
      </c>
      <c r="AE72" s="2">
        <f>ROUND(((EU72*1.25)),6)</f>
        <v>0</v>
      </c>
      <c r="AF72" s="2">
        <f>ROUND(((EV72*1.15)),6)</f>
        <v>65.722499999999997</v>
      </c>
      <c r="AG72" s="2">
        <f t="shared" si="66"/>
        <v>0</v>
      </c>
      <c r="AH72" s="2">
        <f>((EW72*1.15))</f>
        <v>7.7049999999999992</v>
      </c>
      <c r="AI72" s="2">
        <f>((EX72*1.25))</f>
        <v>0</v>
      </c>
      <c r="AJ72" s="2">
        <f t="shared" si="67"/>
        <v>0</v>
      </c>
      <c r="AK72" s="2">
        <v>93.15</v>
      </c>
      <c r="AL72" s="2">
        <v>36</v>
      </c>
      <c r="AM72" s="2">
        <v>0</v>
      </c>
      <c r="AN72" s="2">
        <v>0</v>
      </c>
      <c r="AO72" s="2">
        <v>57.15</v>
      </c>
      <c r="AP72" s="2">
        <v>0</v>
      </c>
      <c r="AQ72" s="2">
        <v>6.7</v>
      </c>
      <c r="AR72" s="2">
        <v>0</v>
      </c>
      <c r="AS72" s="2">
        <v>0</v>
      </c>
      <c r="AT72" s="2">
        <v>106</v>
      </c>
      <c r="AU72" s="2">
        <v>54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0</v>
      </c>
      <c r="BI72" s="2">
        <v>1</v>
      </c>
      <c r="BJ72" s="2" t="s">
        <v>144</v>
      </c>
      <c r="BK72" s="2"/>
      <c r="BL72" s="2"/>
      <c r="BM72" s="2">
        <v>10001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118</v>
      </c>
      <c r="CA72" s="2">
        <v>63</v>
      </c>
      <c r="CB72" s="2"/>
      <c r="CC72" s="2"/>
      <c r="CD72" s="2"/>
      <c r="CE72" s="2">
        <v>0</v>
      </c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450</v>
      </c>
      <c r="CO72" s="2">
        <v>0</v>
      </c>
      <c r="CP72" s="2">
        <f t="shared" si="68"/>
        <v>450.29</v>
      </c>
      <c r="CQ72" s="2">
        <f t="shared" si="69"/>
        <v>36</v>
      </c>
      <c r="CR72" s="2">
        <f t="shared" si="70"/>
        <v>0</v>
      </c>
      <c r="CS72" s="2">
        <f t="shared" si="71"/>
        <v>0</v>
      </c>
      <c r="CT72" s="2">
        <f t="shared" si="72"/>
        <v>65.722499999999997</v>
      </c>
      <c r="CU72" s="2">
        <f t="shared" si="73"/>
        <v>0</v>
      </c>
      <c r="CV72" s="2">
        <f t="shared" si="74"/>
        <v>7.7049999999999992</v>
      </c>
      <c r="CW72" s="2">
        <f t="shared" si="75"/>
        <v>0</v>
      </c>
      <c r="CX72" s="2">
        <f t="shared" si="76"/>
        <v>0</v>
      </c>
      <c r="CY72" s="2">
        <f t="shared" si="77"/>
        <v>308.38580000000002</v>
      </c>
      <c r="CZ72" s="2">
        <f t="shared" si="78"/>
        <v>157.10220000000001</v>
      </c>
      <c r="DA72" s="2"/>
      <c r="DB72" s="2"/>
      <c r="DC72" s="2" t="s">
        <v>6</v>
      </c>
      <c r="DD72" s="2" t="s">
        <v>6</v>
      </c>
      <c r="DE72" s="2" t="s">
        <v>56</v>
      </c>
      <c r="DF72" s="2" t="s">
        <v>56</v>
      </c>
      <c r="DG72" s="2" t="s">
        <v>57</v>
      </c>
      <c r="DH72" s="2" t="s">
        <v>6</v>
      </c>
      <c r="DI72" s="2" t="s">
        <v>57</v>
      </c>
      <c r="DJ72" s="2" t="s">
        <v>56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1003</v>
      </c>
      <c r="DV72" s="2" t="s">
        <v>47</v>
      </c>
      <c r="DW72" s="2" t="s">
        <v>47</v>
      </c>
      <c r="DX72" s="2">
        <v>100</v>
      </c>
      <c r="DY72" s="2"/>
      <c r="DZ72" s="2"/>
      <c r="EA72" s="2"/>
      <c r="EB72" s="2"/>
      <c r="EC72" s="2"/>
      <c r="ED72" s="2"/>
      <c r="EE72" s="2">
        <v>16510487</v>
      </c>
      <c r="EF72" s="2">
        <v>2</v>
      </c>
      <c r="EG72" s="2" t="s">
        <v>21</v>
      </c>
      <c r="EH72" s="2">
        <v>0</v>
      </c>
      <c r="EI72" s="2" t="s">
        <v>6</v>
      </c>
      <c r="EJ72" s="2">
        <v>1</v>
      </c>
      <c r="EK72" s="2">
        <v>10001</v>
      </c>
      <c r="EL72" s="2" t="s">
        <v>58</v>
      </c>
      <c r="EM72" s="2" t="s">
        <v>59</v>
      </c>
      <c r="EN72" s="2"/>
      <c r="EO72" s="2" t="s">
        <v>60</v>
      </c>
      <c r="EP72" s="2"/>
      <c r="EQ72" s="2">
        <v>0</v>
      </c>
      <c r="ER72" s="2">
        <v>93.15</v>
      </c>
      <c r="ES72" s="2">
        <v>36</v>
      </c>
      <c r="ET72" s="2">
        <v>0</v>
      </c>
      <c r="EU72" s="2">
        <v>0</v>
      </c>
      <c r="EV72" s="2">
        <v>57.15</v>
      </c>
      <c r="EW72" s="2">
        <v>6.7</v>
      </c>
      <c r="EX72" s="2">
        <v>0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79"/>
        <v>0</v>
      </c>
      <c r="FS72" s="2">
        <v>0</v>
      </c>
      <c r="FT72" s="2" t="s">
        <v>25</v>
      </c>
      <c r="FU72" s="2" t="s">
        <v>26</v>
      </c>
      <c r="FV72" s="2"/>
      <c r="FW72" s="2"/>
      <c r="FX72" s="2">
        <v>106.2</v>
      </c>
      <c r="FY72" s="2">
        <v>53.55</v>
      </c>
      <c r="FZ72" s="2"/>
      <c r="GA72" s="2" t="s">
        <v>6</v>
      </c>
      <c r="GB72" s="2"/>
      <c r="GC72" s="2"/>
      <c r="GD72" s="2">
        <v>1</v>
      </c>
      <c r="GE72" s="2"/>
      <c r="GF72" s="2">
        <v>-1862938563</v>
      </c>
      <c r="GG72" s="2">
        <v>2</v>
      </c>
      <c r="GH72" s="2">
        <v>1</v>
      </c>
      <c r="GI72" s="2">
        <v>-2</v>
      </c>
      <c r="GJ72" s="2">
        <v>0</v>
      </c>
      <c r="GK72" s="2">
        <v>0</v>
      </c>
      <c r="GL72" s="2">
        <f t="shared" si="80"/>
        <v>0</v>
      </c>
      <c r="GM72" s="2">
        <f t="shared" si="81"/>
        <v>915.78</v>
      </c>
      <c r="GN72" s="2">
        <f t="shared" si="82"/>
        <v>915.78</v>
      </c>
      <c r="GO72" s="2">
        <f t="shared" si="83"/>
        <v>0</v>
      </c>
      <c r="GP72" s="2">
        <f t="shared" si="84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85"/>
        <v>0</v>
      </c>
      <c r="GW72" s="2">
        <v>1</v>
      </c>
      <c r="GX72" s="2">
        <f t="shared" si="86"/>
        <v>0</v>
      </c>
      <c r="GY72" s="2"/>
      <c r="GZ72" s="2"/>
      <c r="HA72" s="2">
        <v>0</v>
      </c>
      <c r="HB72" s="2">
        <v>0</v>
      </c>
      <c r="HC72" s="2">
        <f t="shared" si="87"/>
        <v>0</v>
      </c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C73">
        <f>ROW(SmtRes!A186)</f>
        <v>186</v>
      </c>
      <c r="D73">
        <f>ROW(EtalonRes!A188)</f>
        <v>188</v>
      </c>
      <c r="E73" t="s">
        <v>141</v>
      </c>
      <c r="F73" t="s">
        <v>142</v>
      </c>
      <c r="G73" t="s">
        <v>143</v>
      </c>
      <c r="H73" t="s">
        <v>47</v>
      </c>
      <c r="I73">
        <f>ROUND(442.66/100,9)</f>
        <v>4.4265999999999996</v>
      </c>
      <c r="J73">
        <v>0</v>
      </c>
      <c r="O73">
        <f t="shared" si="54"/>
        <v>3048.43</v>
      </c>
      <c r="P73">
        <f t="shared" si="55"/>
        <v>1078.8499999999999</v>
      </c>
      <c r="Q73">
        <f t="shared" si="56"/>
        <v>0</v>
      </c>
      <c r="R73">
        <f t="shared" si="57"/>
        <v>0</v>
      </c>
      <c r="S73">
        <f t="shared" si="58"/>
        <v>1969.58</v>
      </c>
      <c r="T73">
        <f t="shared" si="59"/>
        <v>0</v>
      </c>
      <c r="U73">
        <f t="shared" si="60"/>
        <v>34.106952999999997</v>
      </c>
      <c r="V73">
        <f t="shared" si="61"/>
        <v>0</v>
      </c>
      <c r="W73">
        <f t="shared" si="62"/>
        <v>0</v>
      </c>
      <c r="X73">
        <f t="shared" si="63"/>
        <v>2087.75</v>
      </c>
      <c r="Y73">
        <f t="shared" si="64"/>
        <v>1063.57</v>
      </c>
      <c r="AA73">
        <v>16856228</v>
      </c>
      <c r="AB73">
        <f t="shared" si="65"/>
        <v>101.7225</v>
      </c>
      <c r="AC73">
        <f t="shared" si="48"/>
        <v>36</v>
      </c>
      <c r="AD73">
        <f>ROUND(((((ET73*1.25))-((EU73*1.25)))+AE73),6)</f>
        <v>0</v>
      </c>
      <c r="AE73">
        <f>ROUND(((EU73*1.25)),6)</f>
        <v>0</v>
      </c>
      <c r="AF73">
        <f>ROUND(((EV73*1.15)),6)</f>
        <v>65.722499999999997</v>
      </c>
      <c r="AG73">
        <f t="shared" si="66"/>
        <v>0</v>
      </c>
      <c r="AH73">
        <f>((EW73*1.15))</f>
        <v>7.7049999999999992</v>
      </c>
      <c r="AI73">
        <f>((EX73*1.25))</f>
        <v>0</v>
      </c>
      <c r="AJ73">
        <f t="shared" si="67"/>
        <v>0</v>
      </c>
      <c r="AK73">
        <v>93.15</v>
      </c>
      <c r="AL73">
        <v>36</v>
      </c>
      <c r="AM73">
        <v>0</v>
      </c>
      <c r="AN73">
        <v>0</v>
      </c>
      <c r="AO73">
        <v>57.15</v>
      </c>
      <c r="AP73">
        <v>0</v>
      </c>
      <c r="AQ73">
        <v>6.7</v>
      </c>
      <c r="AR73">
        <v>0</v>
      </c>
      <c r="AS73">
        <v>0</v>
      </c>
      <c r="AT73">
        <v>106</v>
      </c>
      <c r="AU73">
        <v>54</v>
      </c>
      <c r="AV73">
        <v>1</v>
      </c>
      <c r="AW73">
        <v>1</v>
      </c>
      <c r="AZ73">
        <v>6.77</v>
      </c>
      <c r="BA73">
        <v>6.77</v>
      </c>
      <c r="BB73">
        <v>6.77</v>
      </c>
      <c r="BC73">
        <v>6.77</v>
      </c>
      <c r="BD73" t="s">
        <v>6</v>
      </c>
      <c r="BE73" t="s">
        <v>6</v>
      </c>
      <c r="BF73" t="s">
        <v>6</v>
      </c>
      <c r="BG73" t="s">
        <v>6</v>
      </c>
      <c r="BH73">
        <v>0</v>
      </c>
      <c r="BI73">
        <v>1</v>
      </c>
      <c r="BJ73" t="s">
        <v>144</v>
      </c>
      <c r="BM73">
        <v>10001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6.77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118</v>
      </c>
      <c r="CA73">
        <v>63</v>
      </c>
      <c r="CE73">
        <v>0</v>
      </c>
      <c r="CF73">
        <v>0</v>
      </c>
      <c r="CG73">
        <v>0</v>
      </c>
      <c r="CM73">
        <v>0</v>
      </c>
      <c r="CN73" t="s">
        <v>450</v>
      </c>
      <c r="CO73">
        <v>0</v>
      </c>
      <c r="CP73">
        <f t="shared" si="68"/>
        <v>3048.43</v>
      </c>
      <c r="CQ73">
        <f t="shared" si="69"/>
        <v>243.71999999999997</v>
      </c>
      <c r="CR73">
        <f t="shared" si="70"/>
        <v>0</v>
      </c>
      <c r="CS73">
        <f t="shared" si="71"/>
        <v>0</v>
      </c>
      <c r="CT73">
        <f t="shared" si="72"/>
        <v>444.94132499999995</v>
      </c>
      <c r="CU73">
        <f t="shared" si="73"/>
        <v>0</v>
      </c>
      <c r="CV73">
        <f t="shared" si="74"/>
        <v>7.7049999999999992</v>
      </c>
      <c r="CW73">
        <f t="shared" si="75"/>
        <v>0</v>
      </c>
      <c r="CX73">
        <f t="shared" si="76"/>
        <v>0</v>
      </c>
      <c r="CY73">
        <f t="shared" si="77"/>
        <v>2087.7547999999997</v>
      </c>
      <c r="CZ73">
        <f t="shared" si="78"/>
        <v>1063.5731999999998</v>
      </c>
      <c r="DC73" t="s">
        <v>6</v>
      </c>
      <c r="DD73" t="s">
        <v>6</v>
      </c>
      <c r="DE73" t="s">
        <v>56</v>
      </c>
      <c r="DF73" t="s">
        <v>56</v>
      </c>
      <c r="DG73" t="s">
        <v>57</v>
      </c>
      <c r="DH73" t="s">
        <v>6</v>
      </c>
      <c r="DI73" t="s">
        <v>57</v>
      </c>
      <c r="DJ73" t="s">
        <v>56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1003</v>
      </c>
      <c r="DV73" t="s">
        <v>47</v>
      </c>
      <c r="DW73" t="s">
        <v>47</v>
      </c>
      <c r="DX73">
        <v>100</v>
      </c>
      <c r="EE73">
        <v>16510487</v>
      </c>
      <c r="EF73">
        <v>2</v>
      </c>
      <c r="EG73" t="s">
        <v>21</v>
      </c>
      <c r="EH73">
        <v>0</v>
      </c>
      <c r="EI73" t="s">
        <v>6</v>
      </c>
      <c r="EJ73">
        <v>1</v>
      </c>
      <c r="EK73">
        <v>10001</v>
      </c>
      <c r="EL73" t="s">
        <v>58</v>
      </c>
      <c r="EM73" t="s">
        <v>59</v>
      </c>
      <c r="EO73" t="s">
        <v>60</v>
      </c>
      <c r="EQ73">
        <v>0</v>
      </c>
      <c r="ER73">
        <v>93.15</v>
      </c>
      <c r="ES73">
        <v>36</v>
      </c>
      <c r="ET73">
        <v>0</v>
      </c>
      <c r="EU73">
        <v>0</v>
      </c>
      <c r="EV73">
        <v>57.15</v>
      </c>
      <c r="EW73">
        <v>6.7</v>
      </c>
      <c r="EX73">
        <v>0</v>
      </c>
      <c r="EY73">
        <v>0</v>
      </c>
      <c r="FQ73">
        <v>0</v>
      </c>
      <c r="FR73">
        <f t="shared" si="79"/>
        <v>0</v>
      </c>
      <c r="FS73">
        <v>0</v>
      </c>
      <c r="FT73" t="s">
        <v>25</v>
      </c>
      <c r="FU73" t="s">
        <v>26</v>
      </c>
      <c r="FX73">
        <v>106.2</v>
      </c>
      <c r="FY73">
        <v>53.55</v>
      </c>
      <c r="GA73" t="s">
        <v>6</v>
      </c>
      <c r="GD73">
        <v>1</v>
      </c>
      <c r="GF73">
        <v>-1862938563</v>
      </c>
      <c r="GG73">
        <v>1</v>
      </c>
      <c r="GH73">
        <v>1</v>
      </c>
      <c r="GI73">
        <v>4</v>
      </c>
      <c r="GJ73">
        <v>0</v>
      </c>
      <c r="GK73">
        <v>0</v>
      </c>
      <c r="GL73">
        <f t="shared" si="80"/>
        <v>0</v>
      </c>
      <c r="GM73">
        <f t="shared" si="81"/>
        <v>6199.75</v>
      </c>
      <c r="GN73">
        <f t="shared" si="82"/>
        <v>6199.75</v>
      </c>
      <c r="GO73">
        <f t="shared" si="83"/>
        <v>0</v>
      </c>
      <c r="GP73">
        <f t="shared" si="84"/>
        <v>0</v>
      </c>
      <c r="GR73">
        <v>0</v>
      </c>
      <c r="GS73">
        <v>3</v>
      </c>
      <c r="GT73">
        <v>0</v>
      </c>
      <c r="GU73" t="s">
        <v>6</v>
      </c>
      <c r="GV73">
        <f t="shared" si="85"/>
        <v>0</v>
      </c>
      <c r="GW73">
        <v>1</v>
      </c>
      <c r="GX73">
        <f t="shared" si="86"/>
        <v>0</v>
      </c>
      <c r="HA73">
        <v>0</v>
      </c>
      <c r="HB73">
        <v>0</v>
      </c>
      <c r="HC73">
        <f t="shared" si="87"/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180</v>
      </c>
      <c r="D74" s="2"/>
      <c r="E74" s="2" t="s">
        <v>145</v>
      </c>
      <c r="F74" s="2" t="s">
        <v>146</v>
      </c>
      <c r="G74" s="2" t="s">
        <v>147</v>
      </c>
      <c r="H74" s="2" t="s">
        <v>148</v>
      </c>
      <c r="I74" s="2">
        <f>I72*J74</f>
        <v>442.66</v>
      </c>
      <c r="J74" s="2">
        <v>100.00000000000001</v>
      </c>
      <c r="K74" s="2"/>
      <c r="L74" s="2"/>
      <c r="M74" s="2"/>
      <c r="N74" s="2"/>
      <c r="O74" s="2">
        <f t="shared" si="54"/>
        <v>0</v>
      </c>
      <c r="P74" s="2">
        <f t="shared" si="55"/>
        <v>0</v>
      </c>
      <c r="Q74" s="2">
        <f t="shared" si="56"/>
        <v>0</v>
      </c>
      <c r="R74" s="2">
        <f t="shared" si="57"/>
        <v>0</v>
      </c>
      <c r="S74" s="2">
        <f t="shared" si="58"/>
        <v>0</v>
      </c>
      <c r="T74" s="2">
        <f t="shared" si="59"/>
        <v>0</v>
      </c>
      <c r="U74" s="2">
        <f t="shared" si="60"/>
        <v>0</v>
      </c>
      <c r="V74" s="2">
        <f t="shared" si="61"/>
        <v>0</v>
      </c>
      <c r="W74" s="2">
        <f t="shared" si="62"/>
        <v>0</v>
      </c>
      <c r="X74" s="2">
        <f t="shared" si="63"/>
        <v>0</v>
      </c>
      <c r="Y74" s="2">
        <f t="shared" si="64"/>
        <v>0</v>
      </c>
      <c r="Z74" s="2"/>
      <c r="AA74" s="2">
        <v>16856227</v>
      </c>
      <c r="AB74" s="2">
        <f t="shared" si="65"/>
        <v>0</v>
      </c>
      <c r="AC74" s="2">
        <f t="shared" si="48"/>
        <v>0</v>
      </c>
      <c r="AD74" s="2">
        <f>ROUND((((ET74)-(EU74))+AE74),6)</f>
        <v>0</v>
      </c>
      <c r="AE74" s="2">
        <f t="shared" ref="AE74:AF77" si="93">ROUND((EU74),6)</f>
        <v>0</v>
      </c>
      <c r="AF74" s="2">
        <f t="shared" si="93"/>
        <v>0</v>
      </c>
      <c r="AG74" s="2">
        <f t="shared" si="66"/>
        <v>0</v>
      </c>
      <c r="AH74" s="2">
        <f t="shared" ref="AH74:AI77" si="94">(EW74)</f>
        <v>0</v>
      </c>
      <c r="AI74" s="2">
        <f t="shared" si="94"/>
        <v>0</v>
      </c>
      <c r="AJ74" s="2">
        <f t="shared" si="67"/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106</v>
      </c>
      <c r="AU74" s="2">
        <v>54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6</v>
      </c>
      <c r="BK74" s="2"/>
      <c r="BL74" s="2"/>
      <c r="BM74" s="2">
        <v>10001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118</v>
      </c>
      <c r="CA74" s="2">
        <v>63</v>
      </c>
      <c r="CB74" s="2"/>
      <c r="CC74" s="2"/>
      <c r="CD74" s="2"/>
      <c r="CE74" s="2">
        <v>0</v>
      </c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68"/>
        <v>0</v>
      </c>
      <c r="CQ74" s="2">
        <f t="shared" si="69"/>
        <v>0</v>
      </c>
      <c r="CR74" s="2">
        <f t="shared" si="70"/>
        <v>0</v>
      </c>
      <c r="CS74" s="2">
        <f t="shared" si="71"/>
        <v>0</v>
      </c>
      <c r="CT74" s="2">
        <f t="shared" si="72"/>
        <v>0</v>
      </c>
      <c r="CU74" s="2">
        <f t="shared" si="73"/>
        <v>0</v>
      </c>
      <c r="CV74" s="2">
        <f t="shared" si="74"/>
        <v>0</v>
      </c>
      <c r="CW74" s="2">
        <f t="shared" si="75"/>
        <v>0</v>
      </c>
      <c r="CX74" s="2">
        <f t="shared" si="76"/>
        <v>0</v>
      </c>
      <c r="CY74" s="2">
        <f t="shared" si="77"/>
        <v>0</v>
      </c>
      <c r="CZ74" s="2">
        <f t="shared" si="78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1013</v>
      </c>
      <c r="DV74" s="2" t="s">
        <v>148</v>
      </c>
      <c r="DW74" s="2" t="s">
        <v>148</v>
      </c>
      <c r="DX74" s="2">
        <v>1</v>
      </c>
      <c r="DY74" s="2"/>
      <c r="DZ74" s="2"/>
      <c r="EA74" s="2"/>
      <c r="EB74" s="2"/>
      <c r="EC74" s="2"/>
      <c r="ED74" s="2"/>
      <c r="EE74" s="2">
        <v>16510487</v>
      </c>
      <c r="EF74" s="2">
        <v>2</v>
      </c>
      <c r="EG74" s="2" t="s">
        <v>21</v>
      </c>
      <c r="EH74" s="2">
        <v>0</v>
      </c>
      <c r="EI74" s="2" t="s">
        <v>6</v>
      </c>
      <c r="EJ74" s="2">
        <v>1</v>
      </c>
      <c r="EK74" s="2">
        <v>10001</v>
      </c>
      <c r="EL74" s="2" t="s">
        <v>58</v>
      </c>
      <c r="EM74" s="2" t="s">
        <v>59</v>
      </c>
      <c r="EN74" s="2"/>
      <c r="EO74" s="2" t="s">
        <v>6</v>
      </c>
      <c r="EP74" s="2"/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79"/>
        <v>0</v>
      </c>
      <c r="FS74" s="2">
        <v>0</v>
      </c>
      <c r="FT74" s="2" t="s">
        <v>25</v>
      </c>
      <c r="FU74" s="2" t="s">
        <v>26</v>
      </c>
      <c r="FV74" s="2"/>
      <c r="FW74" s="2"/>
      <c r="FX74" s="2">
        <v>106.2</v>
      </c>
      <c r="FY74" s="2">
        <v>53.55</v>
      </c>
      <c r="FZ74" s="2"/>
      <c r="GA74" s="2" t="s">
        <v>6</v>
      </c>
      <c r="GB74" s="2"/>
      <c r="GC74" s="2"/>
      <c r="GD74" s="2">
        <v>1</v>
      </c>
      <c r="GE74" s="2"/>
      <c r="GF74" s="2">
        <v>-1710570218</v>
      </c>
      <c r="GG74" s="2">
        <v>2</v>
      </c>
      <c r="GH74" s="2">
        <v>1</v>
      </c>
      <c r="GI74" s="2">
        <v>-2</v>
      </c>
      <c r="GJ74" s="2">
        <v>0</v>
      </c>
      <c r="GK74" s="2">
        <v>0</v>
      </c>
      <c r="GL74" s="2">
        <f t="shared" si="80"/>
        <v>0</v>
      </c>
      <c r="GM74" s="2">
        <f t="shared" si="81"/>
        <v>0</v>
      </c>
      <c r="GN74" s="2">
        <f t="shared" si="82"/>
        <v>0</v>
      </c>
      <c r="GO74" s="2">
        <f t="shared" si="83"/>
        <v>0</v>
      </c>
      <c r="GP74" s="2">
        <f t="shared" si="84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85"/>
        <v>0</v>
      </c>
      <c r="GW74" s="2">
        <v>1</v>
      </c>
      <c r="GX74" s="2">
        <f t="shared" si="86"/>
        <v>0</v>
      </c>
      <c r="GY74" s="2"/>
      <c r="GZ74" s="2"/>
      <c r="HA74" s="2">
        <v>0</v>
      </c>
      <c r="HB74" s="2">
        <v>0</v>
      </c>
      <c r="HC74" s="2">
        <f t="shared" si="87"/>
        <v>0</v>
      </c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184</v>
      </c>
      <c r="E75" t="s">
        <v>145</v>
      </c>
      <c r="F75" t="s">
        <v>146</v>
      </c>
      <c r="G75" t="s">
        <v>147</v>
      </c>
      <c r="H75" t="s">
        <v>148</v>
      </c>
      <c r="I75">
        <f>I73*J75</f>
        <v>442.66</v>
      </c>
      <c r="J75">
        <v>100.00000000000001</v>
      </c>
      <c r="O75">
        <f t="shared" si="54"/>
        <v>0</v>
      </c>
      <c r="P75">
        <f t="shared" si="55"/>
        <v>0</v>
      </c>
      <c r="Q75">
        <f t="shared" si="56"/>
        <v>0</v>
      </c>
      <c r="R75">
        <f t="shared" si="57"/>
        <v>0</v>
      </c>
      <c r="S75">
        <f t="shared" si="58"/>
        <v>0</v>
      </c>
      <c r="T75">
        <f t="shared" si="59"/>
        <v>0</v>
      </c>
      <c r="U75">
        <f t="shared" si="60"/>
        <v>0</v>
      </c>
      <c r="V75">
        <f t="shared" si="61"/>
        <v>0</v>
      </c>
      <c r="W75">
        <f t="shared" si="62"/>
        <v>0</v>
      </c>
      <c r="X75">
        <f t="shared" si="63"/>
        <v>0</v>
      </c>
      <c r="Y75">
        <f t="shared" si="64"/>
        <v>0</v>
      </c>
      <c r="AA75">
        <v>16856228</v>
      </c>
      <c r="AB75">
        <f t="shared" si="65"/>
        <v>0</v>
      </c>
      <c r="AC75">
        <f t="shared" si="48"/>
        <v>0</v>
      </c>
      <c r="AD75">
        <f>ROUND((((ET75)-(EU75))+AE75),6)</f>
        <v>0</v>
      </c>
      <c r="AE75">
        <f t="shared" si="93"/>
        <v>0</v>
      </c>
      <c r="AF75">
        <f t="shared" si="93"/>
        <v>0</v>
      </c>
      <c r="AG75">
        <f t="shared" si="66"/>
        <v>0</v>
      </c>
      <c r="AH75">
        <f t="shared" si="94"/>
        <v>0</v>
      </c>
      <c r="AI75">
        <f t="shared" si="94"/>
        <v>0</v>
      </c>
      <c r="AJ75">
        <f t="shared" si="67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106</v>
      </c>
      <c r="AU75">
        <v>54</v>
      </c>
      <c r="AV75">
        <v>1</v>
      </c>
      <c r="AW75">
        <v>1</v>
      </c>
      <c r="AZ75">
        <v>6.77</v>
      </c>
      <c r="BA75">
        <v>1</v>
      </c>
      <c r="BB75">
        <v>1</v>
      </c>
      <c r="BC75">
        <v>6.77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6</v>
      </c>
      <c r="BM75">
        <v>10001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118</v>
      </c>
      <c r="CA75">
        <v>63</v>
      </c>
      <c r="CE75">
        <v>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68"/>
        <v>0</v>
      </c>
      <c r="CQ75">
        <f t="shared" si="69"/>
        <v>0</v>
      </c>
      <c r="CR75">
        <f t="shared" si="70"/>
        <v>0</v>
      </c>
      <c r="CS75">
        <f t="shared" si="71"/>
        <v>0</v>
      </c>
      <c r="CT75">
        <f t="shared" si="72"/>
        <v>0</v>
      </c>
      <c r="CU75">
        <f t="shared" si="73"/>
        <v>0</v>
      </c>
      <c r="CV75">
        <f t="shared" si="74"/>
        <v>0</v>
      </c>
      <c r="CW75">
        <f t="shared" si="75"/>
        <v>0</v>
      </c>
      <c r="CX75">
        <f t="shared" si="76"/>
        <v>0</v>
      </c>
      <c r="CY75">
        <f t="shared" si="77"/>
        <v>0</v>
      </c>
      <c r="CZ75">
        <f t="shared" si="78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148</v>
      </c>
      <c r="DW75" t="s">
        <v>148</v>
      </c>
      <c r="DX75">
        <v>1</v>
      </c>
      <c r="EE75">
        <v>16510487</v>
      </c>
      <c r="EF75">
        <v>2</v>
      </c>
      <c r="EG75" t="s">
        <v>21</v>
      </c>
      <c r="EH75">
        <v>0</v>
      </c>
      <c r="EI75" t="s">
        <v>6</v>
      </c>
      <c r="EJ75">
        <v>1</v>
      </c>
      <c r="EK75">
        <v>10001</v>
      </c>
      <c r="EL75" t="s">
        <v>58</v>
      </c>
      <c r="EM75" t="s">
        <v>59</v>
      </c>
      <c r="EO75" t="s">
        <v>6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79"/>
        <v>0</v>
      </c>
      <c r="FS75">
        <v>0</v>
      </c>
      <c r="FT75" t="s">
        <v>25</v>
      </c>
      <c r="FU75" t="s">
        <v>26</v>
      </c>
      <c r="FX75">
        <v>106.2</v>
      </c>
      <c r="FY75">
        <v>53.55</v>
      </c>
      <c r="GA75" t="s">
        <v>6</v>
      </c>
      <c r="GD75">
        <v>1</v>
      </c>
      <c r="GF75">
        <v>-1710570218</v>
      </c>
      <c r="GG75">
        <v>1</v>
      </c>
      <c r="GH75">
        <v>1</v>
      </c>
      <c r="GI75">
        <v>4</v>
      </c>
      <c r="GJ75">
        <v>0</v>
      </c>
      <c r="GK75">
        <v>0</v>
      </c>
      <c r="GL75">
        <f t="shared" si="80"/>
        <v>0</v>
      </c>
      <c r="GM75">
        <f t="shared" si="81"/>
        <v>0</v>
      </c>
      <c r="GN75">
        <f t="shared" si="82"/>
        <v>0</v>
      </c>
      <c r="GO75">
        <f t="shared" si="83"/>
        <v>0</v>
      </c>
      <c r="GP75">
        <f t="shared" si="84"/>
        <v>0</v>
      </c>
      <c r="GR75">
        <v>0</v>
      </c>
      <c r="GS75">
        <v>3</v>
      </c>
      <c r="GT75">
        <v>0</v>
      </c>
      <c r="GU75" t="s">
        <v>6</v>
      </c>
      <c r="GV75">
        <f t="shared" si="85"/>
        <v>0</v>
      </c>
      <c r="GW75">
        <v>1</v>
      </c>
      <c r="GX75">
        <f t="shared" si="86"/>
        <v>0</v>
      </c>
      <c r="HA75">
        <v>0</v>
      </c>
      <c r="HB75">
        <v>0</v>
      </c>
      <c r="HC75">
        <f t="shared" si="87"/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181</v>
      </c>
      <c r="D76" s="2"/>
      <c r="E76" s="2" t="s">
        <v>149</v>
      </c>
      <c r="F76" s="2" t="s">
        <v>150</v>
      </c>
      <c r="G76" s="2" t="s">
        <v>151</v>
      </c>
      <c r="H76" s="2" t="s">
        <v>152</v>
      </c>
      <c r="I76" s="2">
        <f>I72*J76</f>
        <v>44.265999999999998</v>
      </c>
      <c r="J76" s="2">
        <v>10</v>
      </c>
      <c r="K76" s="2"/>
      <c r="L76" s="2"/>
      <c r="M76" s="2"/>
      <c r="N76" s="2"/>
      <c r="O76" s="2">
        <f t="shared" si="54"/>
        <v>1960.98</v>
      </c>
      <c r="P76" s="2">
        <f t="shared" si="55"/>
        <v>1960.98</v>
      </c>
      <c r="Q76" s="2">
        <f t="shared" si="56"/>
        <v>0</v>
      </c>
      <c r="R76" s="2">
        <f t="shared" si="57"/>
        <v>0</v>
      </c>
      <c r="S76" s="2">
        <f t="shared" si="58"/>
        <v>0</v>
      </c>
      <c r="T76" s="2">
        <f t="shared" si="59"/>
        <v>0</v>
      </c>
      <c r="U76" s="2">
        <f t="shared" si="60"/>
        <v>0</v>
      </c>
      <c r="V76" s="2">
        <f t="shared" si="61"/>
        <v>0</v>
      </c>
      <c r="W76" s="2">
        <f t="shared" si="62"/>
        <v>0</v>
      </c>
      <c r="X76" s="2">
        <f t="shared" si="63"/>
        <v>0</v>
      </c>
      <c r="Y76" s="2">
        <f t="shared" si="64"/>
        <v>0</v>
      </c>
      <c r="Z76" s="2"/>
      <c r="AA76" s="2">
        <v>16856227</v>
      </c>
      <c r="AB76" s="2">
        <f t="shared" si="65"/>
        <v>44.3</v>
      </c>
      <c r="AC76" s="2">
        <f t="shared" si="48"/>
        <v>44.3</v>
      </c>
      <c r="AD76" s="2">
        <f>ROUND((((ET76)-(EU76))+AE76),6)</f>
        <v>0</v>
      </c>
      <c r="AE76" s="2">
        <f t="shared" si="93"/>
        <v>0</v>
      </c>
      <c r="AF76" s="2">
        <f t="shared" si="93"/>
        <v>0</v>
      </c>
      <c r="AG76" s="2">
        <f t="shared" si="66"/>
        <v>0</v>
      </c>
      <c r="AH76" s="2">
        <f t="shared" si="94"/>
        <v>0</v>
      </c>
      <c r="AI76" s="2">
        <f t="shared" si="94"/>
        <v>0</v>
      </c>
      <c r="AJ76" s="2">
        <f t="shared" si="67"/>
        <v>0</v>
      </c>
      <c r="AK76" s="2">
        <v>44.3</v>
      </c>
      <c r="AL76" s="2">
        <v>44.3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106</v>
      </c>
      <c r="AU76" s="2">
        <v>54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1</v>
      </c>
      <c r="BJ76" s="2" t="s">
        <v>153</v>
      </c>
      <c r="BK76" s="2"/>
      <c r="BL76" s="2"/>
      <c r="BM76" s="2">
        <v>10001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118</v>
      </c>
      <c r="CA76" s="2">
        <v>63</v>
      </c>
      <c r="CB76" s="2"/>
      <c r="CC76" s="2"/>
      <c r="CD76" s="2"/>
      <c r="CE76" s="2">
        <v>0</v>
      </c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68"/>
        <v>1960.98</v>
      </c>
      <c r="CQ76" s="2">
        <f t="shared" si="69"/>
        <v>44.3</v>
      </c>
      <c r="CR76" s="2">
        <f t="shared" si="70"/>
        <v>0</v>
      </c>
      <c r="CS76" s="2">
        <f t="shared" si="71"/>
        <v>0</v>
      </c>
      <c r="CT76" s="2">
        <f t="shared" si="72"/>
        <v>0</v>
      </c>
      <c r="CU76" s="2">
        <f t="shared" si="73"/>
        <v>0</v>
      </c>
      <c r="CV76" s="2">
        <f t="shared" si="74"/>
        <v>0</v>
      </c>
      <c r="CW76" s="2">
        <f t="shared" si="75"/>
        <v>0</v>
      </c>
      <c r="CX76" s="2">
        <f t="shared" si="76"/>
        <v>0</v>
      </c>
      <c r="CY76" s="2">
        <f t="shared" si="77"/>
        <v>0</v>
      </c>
      <c r="CZ76" s="2">
        <f t="shared" si="78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1003</v>
      </c>
      <c r="DV76" s="2" t="s">
        <v>152</v>
      </c>
      <c r="DW76" s="2" t="s">
        <v>152</v>
      </c>
      <c r="DX76" s="2">
        <v>10</v>
      </c>
      <c r="DY76" s="2"/>
      <c r="DZ76" s="2"/>
      <c r="EA76" s="2"/>
      <c r="EB76" s="2"/>
      <c r="EC76" s="2"/>
      <c r="ED76" s="2"/>
      <c r="EE76" s="2">
        <v>16510487</v>
      </c>
      <c r="EF76" s="2">
        <v>2</v>
      </c>
      <c r="EG76" s="2" t="s">
        <v>21</v>
      </c>
      <c r="EH76" s="2">
        <v>0</v>
      </c>
      <c r="EI76" s="2" t="s">
        <v>6</v>
      </c>
      <c r="EJ76" s="2">
        <v>1</v>
      </c>
      <c r="EK76" s="2">
        <v>10001</v>
      </c>
      <c r="EL76" s="2" t="s">
        <v>58</v>
      </c>
      <c r="EM76" s="2" t="s">
        <v>59</v>
      </c>
      <c r="EN76" s="2"/>
      <c r="EO76" s="2" t="s">
        <v>6</v>
      </c>
      <c r="EP76" s="2"/>
      <c r="EQ76" s="2">
        <v>0</v>
      </c>
      <c r="ER76" s="2">
        <v>44.3</v>
      </c>
      <c r="ES76" s="2">
        <v>44.3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79"/>
        <v>0</v>
      </c>
      <c r="FS76" s="2">
        <v>0</v>
      </c>
      <c r="FT76" s="2" t="s">
        <v>25</v>
      </c>
      <c r="FU76" s="2" t="s">
        <v>26</v>
      </c>
      <c r="FV76" s="2"/>
      <c r="FW76" s="2"/>
      <c r="FX76" s="2">
        <v>106.2</v>
      </c>
      <c r="FY76" s="2">
        <v>53.55</v>
      </c>
      <c r="FZ76" s="2"/>
      <c r="GA76" s="2" t="s">
        <v>6</v>
      </c>
      <c r="GB76" s="2"/>
      <c r="GC76" s="2"/>
      <c r="GD76" s="2">
        <v>1</v>
      </c>
      <c r="GE76" s="2"/>
      <c r="GF76" s="2">
        <v>-1575274439</v>
      </c>
      <c r="GG76" s="2">
        <v>2</v>
      </c>
      <c r="GH76" s="2">
        <v>1</v>
      </c>
      <c r="GI76" s="2">
        <v>-2</v>
      </c>
      <c r="GJ76" s="2">
        <v>0</v>
      </c>
      <c r="GK76" s="2">
        <v>0</v>
      </c>
      <c r="GL76" s="2">
        <f t="shared" si="80"/>
        <v>0</v>
      </c>
      <c r="GM76" s="2">
        <f t="shared" si="81"/>
        <v>1960.98</v>
      </c>
      <c r="GN76" s="2">
        <f t="shared" si="82"/>
        <v>1960.98</v>
      </c>
      <c r="GO76" s="2">
        <f t="shared" si="83"/>
        <v>0</v>
      </c>
      <c r="GP76" s="2">
        <f t="shared" si="84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85"/>
        <v>0</v>
      </c>
      <c r="GW76" s="2">
        <v>1</v>
      </c>
      <c r="GX76" s="2">
        <f t="shared" si="86"/>
        <v>0</v>
      </c>
      <c r="GY76" s="2"/>
      <c r="GZ76" s="2"/>
      <c r="HA76" s="2">
        <v>0</v>
      </c>
      <c r="HB76" s="2">
        <v>0</v>
      </c>
      <c r="HC76" s="2">
        <f t="shared" si="87"/>
        <v>0</v>
      </c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185</v>
      </c>
      <c r="E77" t="s">
        <v>149</v>
      </c>
      <c r="F77" t="s">
        <v>150</v>
      </c>
      <c r="G77" t="s">
        <v>151</v>
      </c>
      <c r="H77" t="s">
        <v>152</v>
      </c>
      <c r="I77">
        <f>I73*J77</f>
        <v>44.265999999999998</v>
      </c>
      <c r="J77">
        <v>10</v>
      </c>
      <c r="O77">
        <f t="shared" si="54"/>
        <v>13275.86</v>
      </c>
      <c r="P77">
        <f t="shared" si="55"/>
        <v>13275.86</v>
      </c>
      <c r="Q77">
        <f t="shared" si="56"/>
        <v>0</v>
      </c>
      <c r="R77">
        <f t="shared" si="57"/>
        <v>0</v>
      </c>
      <c r="S77">
        <f t="shared" si="58"/>
        <v>0</v>
      </c>
      <c r="T77">
        <f t="shared" si="59"/>
        <v>0</v>
      </c>
      <c r="U77">
        <f t="shared" si="60"/>
        <v>0</v>
      </c>
      <c r="V77">
        <f t="shared" si="61"/>
        <v>0</v>
      </c>
      <c r="W77">
        <f t="shared" si="62"/>
        <v>0</v>
      </c>
      <c r="X77">
        <f t="shared" si="63"/>
        <v>0</v>
      </c>
      <c r="Y77">
        <f t="shared" si="64"/>
        <v>0</v>
      </c>
      <c r="AA77">
        <v>16856228</v>
      </c>
      <c r="AB77">
        <f t="shared" si="65"/>
        <v>44.3</v>
      </c>
      <c r="AC77">
        <f t="shared" si="48"/>
        <v>44.3</v>
      </c>
      <c r="AD77">
        <f>ROUND((((ET77)-(EU77))+AE77),6)</f>
        <v>0</v>
      </c>
      <c r="AE77">
        <f t="shared" si="93"/>
        <v>0</v>
      </c>
      <c r="AF77">
        <f t="shared" si="93"/>
        <v>0</v>
      </c>
      <c r="AG77">
        <f t="shared" si="66"/>
        <v>0</v>
      </c>
      <c r="AH77">
        <f t="shared" si="94"/>
        <v>0</v>
      </c>
      <c r="AI77">
        <f t="shared" si="94"/>
        <v>0</v>
      </c>
      <c r="AJ77">
        <f t="shared" si="67"/>
        <v>0</v>
      </c>
      <c r="AK77">
        <v>44.3</v>
      </c>
      <c r="AL77">
        <v>44.3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106</v>
      </c>
      <c r="AU77">
        <v>54</v>
      </c>
      <c r="AV77">
        <v>1</v>
      </c>
      <c r="AW77">
        <v>1</v>
      </c>
      <c r="AZ77">
        <v>6.77</v>
      </c>
      <c r="BA77">
        <v>1</v>
      </c>
      <c r="BB77">
        <v>1</v>
      </c>
      <c r="BC77">
        <v>6.77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153</v>
      </c>
      <c r="BM77">
        <v>10001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118</v>
      </c>
      <c r="CA77">
        <v>63</v>
      </c>
      <c r="CE77">
        <v>0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68"/>
        <v>13275.86</v>
      </c>
      <c r="CQ77">
        <f t="shared" si="69"/>
        <v>299.91099999999994</v>
      </c>
      <c r="CR77">
        <f t="shared" si="70"/>
        <v>0</v>
      </c>
      <c r="CS77">
        <f t="shared" si="71"/>
        <v>0</v>
      </c>
      <c r="CT77">
        <f t="shared" si="72"/>
        <v>0</v>
      </c>
      <c r="CU77">
        <f t="shared" si="73"/>
        <v>0</v>
      </c>
      <c r="CV77">
        <f t="shared" si="74"/>
        <v>0</v>
      </c>
      <c r="CW77">
        <f t="shared" si="75"/>
        <v>0</v>
      </c>
      <c r="CX77">
        <f t="shared" si="76"/>
        <v>0</v>
      </c>
      <c r="CY77">
        <f t="shared" si="77"/>
        <v>0</v>
      </c>
      <c r="CZ77">
        <f t="shared" si="78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1003</v>
      </c>
      <c r="DV77" t="s">
        <v>152</v>
      </c>
      <c r="DW77" t="s">
        <v>152</v>
      </c>
      <c r="DX77">
        <v>10</v>
      </c>
      <c r="EE77">
        <v>16510487</v>
      </c>
      <c r="EF77">
        <v>2</v>
      </c>
      <c r="EG77" t="s">
        <v>21</v>
      </c>
      <c r="EH77">
        <v>0</v>
      </c>
      <c r="EI77" t="s">
        <v>6</v>
      </c>
      <c r="EJ77">
        <v>1</v>
      </c>
      <c r="EK77">
        <v>10001</v>
      </c>
      <c r="EL77" t="s">
        <v>58</v>
      </c>
      <c r="EM77" t="s">
        <v>59</v>
      </c>
      <c r="EO77" t="s">
        <v>6</v>
      </c>
      <c r="EQ77">
        <v>0</v>
      </c>
      <c r="ER77">
        <v>44.3</v>
      </c>
      <c r="ES77">
        <v>44.3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79"/>
        <v>0</v>
      </c>
      <c r="FS77">
        <v>0</v>
      </c>
      <c r="FT77" t="s">
        <v>25</v>
      </c>
      <c r="FU77" t="s">
        <v>26</v>
      </c>
      <c r="FX77">
        <v>106.2</v>
      </c>
      <c r="FY77">
        <v>53.55</v>
      </c>
      <c r="GA77" t="s">
        <v>6</v>
      </c>
      <c r="GD77">
        <v>1</v>
      </c>
      <c r="GF77">
        <v>-1575274439</v>
      </c>
      <c r="GG77">
        <v>1</v>
      </c>
      <c r="GH77">
        <v>1</v>
      </c>
      <c r="GI77">
        <v>4</v>
      </c>
      <c r="GJ77">
        <v>0</v>
      </c>
      <c r="GK77">
        <v>0</v>
      </c>
      <c r="GL77">
        <f t="shared" si="80"/>
        <v>0</v>
      </c>
      <c r="GM77">
        <f t="shared" si="81"/>
        <v>13275.86</v>
      </c>
      <c r="GN77">
        <f t="shared" si="82"/>
        <v>13275.86</v>
      </c>
      <c r="GO77">
        <f t="shared" si="83"/>
        <v>0</v>
      </c>
      <c r="GP77">
        <f t="shared" si="84"/>
        <v>0</v>
      </c>
      <c r="GR77">
        <v>0</v>
      </c>
      <c r="GS77">
        <v>3</v>
      </c>
      <c r="GT77">
        <v>0</v>
      </c>
      <c r="GU77" t="s">
        <v>6</v>
      </c>
      <c r="GV77">
        <f t="shared" si="85"/>
        <v>0</v>
      </c>
      <c r="GW77">
        <v>1</v>
      </c>
      <c r="GX77">
        <f t="shared" si="86"/>
        <v>0</v>
      </c>
      <c r="HA77">
        <v>0</v>
      </c>
      <c r="HB77">
        <v>0</v>
      </c>
      <c r="HC77">
        <f t="shared" si="87"/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ROW(SmtRes!A204)</f>
        <v>204</v>
      </c>
      <c r="D78" s="2">
        <f>ROW(EtalonRes!A207)</f>
        <v>207</v>
      </c>
      <c r="E78" s="2" t="s">
        <v>154</v>
      </c>
      <c r="F78" s="2" t="s">
        <v>155</v>
      </c>
      <c r="G78" s="2" t="s">
        <v>156</v>
      </c>
      <c r="H78" s="2" t="s">
        <v>37</v>
      </c>
      <c r="I78" s="2">
        <v>0.62</v>
      </c>
      <c r="J78" s="2">
        <v>0</v>
      </c>
      <c r="K78" s="2"/>
      <c r="L78" s="2"/>
      <c r="M78" s="2"/>
      <c r="N78" s="2"/>
      <c r="O78" s="2">
        <f t="shared" si="54"/>
        <v>242.63</v>
      </c>
      <c r="P78" s="2">
        <f t="shared" si="55"/>
        <v>0</v>
      </c>
      <c r="Q78" s="2">
        <f t="shared" si="56"/>
        <v>54.6</v>
      </c>
      <c r="R78" s="2">
        <f t="shared" si="57"/>
        <v>1.66</v>
      </c>
      <c r="S78" s="2">
        <f t="shared" si="58"/>
        <v>188.03</v>
      </c>
      <c r="T78" s="2">
        <f t="shared" si="59"/>
        <v>0</v>
      </c>
      <c r="U78" s="2">
        <f t="shared" si="60"/>
        <v>22.042859999999997</v>
      </c>
      <c r="V78" s="2">
        <f t="shared" si="61"/>
        <v>0.13453999999999999</v>
      </c>
      <c r="W78" s="2">
        <f t="shared" si="62"/>
        <v>0</v>
      </c>
      <c r="X78" s="2">
        <f t="shared" si="63"/>
        <v>153.65</v>
      </c>
      <c r="Y78" s="2">
        <f t="shared" si="64"/>
        <v>136.58000000000001</v>
      </c>
      <c r="Z78" s="2"/>
      <c r="AA78" s="2">
        <v>16856227</v>
      </c>
      <c r="AB78" s="2">
        <f t="shared" si="65"/>
        <v>391.32799999999997</v>
      </c>
      <c r="AC78" s="2">
        <f>ROUND(((ES78*0)),6)</f>
        <v>0</v>
      </c>
      <c r="AD78" s="2">
        <f>ROUND(((((ET78*0.7))-((EU78*0.7)))+AE78),6)</f>
        <v>88.06</v>
      </c>
      <c r="AE78" s="2">
        <f>ROUND(((EU78*0.7)),6)</f>
        <v>2.6739999999999999</v>
      </c>
      <c r="AF78" s="2">
        <f>ROUND(((EV78*0.7)),6)</f>
        <v>303.26799999999997</v>
      </c>
      <c r="AG78" s="2">
        <f t="shared" si="66"/>
        <v>0</v>
      </c>
      <c r="AH78" s="2">
        <f>((EW78*0.7))</f>
        <v>35.552999999999997</v>
      </c>
      <c r="AI78" s="2">
        <f>((EX78*0.7))</f>
        <v>0.217</v>
      </c>
      <c r="AJ78" s="2">
        <f t="shared" si="67"/>
        <v>0</v>
      </c>
      <c r="AK78" s="2">
        <v>641</v>
      </c>
      <c r="AL78" s="2">
        <v>81.96</v>
      </c>
      <c r="AM78" s="2">
        <v>125.8</v>
      </c>
      <c r="AN78" s="2">
        <v>3.82</v>
      </c>
      <c r="AO78" s="2">
        <v>433.24</v>
      </c>
      <c r="AP78" s="2">
        <v>0</v>
      </c>
      <c r="AQ78" s="2">
        <v>50.79</v>
      </c>
      <c r="AR78" s="2">
        <v>0.31</v>
      </c>
      <c r="AS78" s="2">
        <v>0</v>
      </c>
      <c r="AT78" s="2">
        <v>81</v>
      </c>
      <c r="AU78" s="2">
        <v>72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0</v>
      </c>
      <c r="BI78" s="2">
        <v>1</v>
      </c>
      <c r="BJ78" s="2" t="s">
        <v>157</v>
      </c>
      <c r="BK78" s="2"/>
      <c r="BL78" s="2"/>
      <c r="BM78" s="2">
        <v>9001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90</v>
      </c>
      <c r="CA78" s="2">
        <v>85</v>
      </c>
      <c r="CB78" s="2"/>
      <c r="CC78" s="2"/>
      <c r="CD78" s="2"/>
      <c r="CE78" s="2">
        <v>0</v>
      </c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39</v>
      </c>
      <c r="CO78" s="2">
        <v>0</v>
      </c>
      <c r="CP78" s="2">
        <f t="shared" si="68"/>
        <v>242.63</v>
      </c>
      <c r="CQ78" s="2">
        <f t="shared" si="69"/>
        <v>0</v>
      </c>
      <c r="CR78" s="2">
        <f t="shared" si="70"/>
        <v>88.06</v>
      </c>
      <c r="CS78" s="2">
        <f t="shared" si="71"/>
        <v>2.6739999999999999</v>
      </c>
      <c r="CT78" s="2">
        <f t="shared" si="72"/>
        <v>303.26799999999997</v>
      </c>
      <c r="CU78" s="2">
        <f t="shared" si="73"/>
        <v>0</v>
      </c>
      <c r="CV78" s="2">
        <f t="shared" si="74"/>
        <v>35.552999999999997</v>
      </c>
      <c r="CW78" s="2">
        <f t="shared" si="75"/>
        <v>0.217</v>
      </c>
      <c r="CX78" s="2">
        <f t="shared" si="76"/>
        <v>0</v>
      </c>
      <c r="CY78" s="2">
        <f t="shared" si="77"/>
        <v>153.6489</v>
      </c>
      <c r="CZ78" s="2">
        <f t="shared" si="78"/>
        <v>136.57679999999999</v>
      </c>
      <c r="DA78" s="2"/>
      <c r="DB78" s="2"/>
      <c r="DC78" s="2" t="s">
        <v>6</v>
      </c>
      <c r="DD78" s="2" t="s">
        <v>19</v>
      </c>
      <c r="DE78" s="2" t="s">
        <v>40</v>
      </c>
      <c r="DF78" s="2" t="s">
        <v>40</v>
      </c>
      <c r="DG78" s="2" t="s">
        <v>40</v>
      </c>
      <c r="DH78" s="2" t="s">
        <v>6</v>
      </c>
      <c r="DI78" s="2" t="s">
        <v>40</v>
      </c>
      <c r="DJ78" s="2" t="s">
        <v>40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37</v>
      </c>
      <c r="DW78" s="2" t="s">
        <v>37</v>
      </c>
      <c r="DX78" s="2">
        <v>1000</v>
      </c>
      <c r="DY78" s="2"/>
      <c r="DZ78" s="2"/>
      <c r="EA78" s="2"/>
      <c r="EB78" s="2"/>
      <c r="EC78" s="2"/>
      <c r="ED78" s="2"/>
      <c r="EE78" s="2">
        <v>16510486</v>
      </c>
      <c r="EF78" s="2">
        <v>2</v>
      </c>
      <c r="EG78" s="2" t="s">
        <v>21</v>
      </c>
      <c r="EH78" s="2">
        <v>0</v>
      </c>
      <c r="EI78" s="2" t="s">
        <v>6</v>
      </c>
      <c r="EJ78" s="2">
        <v>1</v>
      </c>
      <c r="EK78" s="2">
        <v>9001</v>
      </c>
      <c r="EL78" s="2" t="s">
        <v>41</v>
      </c>
      <c r="EM78" s="2" t="s">
        <v>42</v>
      </c>
      <c r="EN78" s="2"/>
      <c r="EO78" s="2" t="s">
        <v>43</v>
      </c>
      <c r="EP78" s="2"/>
      <c r="EQ78" s="2">
        <v>0</v>
      </c>
      <c r="ER78" s="2">
        <v>641</v>
      </c>
      <c r="ES78" s="2">
        <v>81.96</v>
      </c>
      <c r="ET78" s="2">
        <v>125.8</v>
      </c>
      <c r="EU78" s="2">
        <v>3.82</v>
      </c>
      <c r="EV78" s="2">
        <v>433.24</v>
      </c>
      <c r="EW78" s="2">
        <v>50.79</v>
      </c>
      <c r="EX78" s="2">
        <v>0.31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79"/>
        <v>0</v>
      </c>
      <c r="FS78" s="2">
        <v>0</v>
      </c>
      <c r="FT78" s="2" t="s">
        <v>25</v>
      </c>
      <c r="FU78" s="2" t="s">
        <v>26</v>
      </c>
      <c r="FV78" s="2"/>
      <c r="FW78" s="2"/>
      <c r="FX78" s="2">
        <v>81</v>
      </c>
      <c r="FY78" s="2">
        <v>72.25</v>
      </c>
      <c r="FZ78" s="2"/>
      <c r="GA78" s="2" t="s">
        <v>6</v>
      </c>
      <c r="GB78" s="2"/>
      <c r="GC78" s="2"/>
      <c r="GD78" s="2">
        <v>1</v>
      </c>
      <c r="GE78" s="2"/>
      <c r="GF78" s="2">
        <v>590566923</v>
      </c>
      <c r="GG78" s="2">
        <v>2</v>
      </c>
      <c r="GH78" s="2">
        <v>1</v>
      </c>
      <c r="GI78" s="2">
        <v>-2</v>
      </c>
      <c r="GJ78" s="2">
        <v>0</v>
      </c>
      <c r="GK78" s="2">
        <v>0</v>
      </c>
      <c r="GL78" s="2">
        <f t="shared" si="80"/>
        <v>0</v>
      </c>
      <c r="GM78" s="2">
        <f t="shared" si="81"/>
        <v>532.86</v>
      </c>
      <c r="GN78" s="2">
        <f t="shared" si="82"/>
        <v>532.86</v>
      </c>
      <c r="GO78" s="2">
        <f t="shared" si="83"/>
        <v>0</v>
      </c>
      <c r="GP78" s="2">
        <f t="shared" si="84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85"/>
        <v>0</v>
      </c>
      <c r="GW78" s="2">
        <v>1</v>
      </c>
      <c r="GX78" s="2">
        <f t="shared" si="86"/>
        <v>0</v>
      </c>
      <c r="GY78" s="2"/>
      <c r="GZ78" s="2"/>
      <c r="HA78" s="2">
        <v>0</v>
      </c>
      <c r="HB78" s="2">
        <v>0</v>
      </c>
      <c r="HC78" s="2">
        <f t="shared" si="87"/>
        <v>0</v>
      </c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ROW(SmtRes!A222)</f>
        <v>222</v>
      </c>
      <c r="D79">
        <f>ROW(EtalonRes!A226)</f>
        <v>226</v>
      </c>
      <c r="E79" t="s">
        <v>154</v>
      </c>
      <c r="F79" t="s">
        <v>155</v>
      </c>
      <c r="G79" t="s">
        <v>156</v>
      </c>
      <c r="H79" t="s">
        <v>37</v>
      </c>
      <c r="I79">
        <v>0.62</v>
      </c>
      <c r="J79">
        <v>0</v>
      </c>
      <c r="O79">
        <f t="shared" si="54"/>
        <v>1642.56</v>
      </c>
      <c r="P79">
        <f t="shared" si="55"/>
        <v>0</v>
      </c>
      <c r="Q79">
        <f t="shared" si="56"/>
        <v>369.62</v>
      </c>
      <c r="R79">
        <f t="shared" si="57"/>
        <v>11.22</v>
      </c>
      <c r="S79">
        <f t="shared" si="58"/>
        <v>1272.94</v>
      </c>
      <c r="T79">
        <f t="shared" si="59"/>
        <v>0</v>
      </c>
      <c r="U79">
        <f t="shared" si="60"/>
        <v>22.042859999999997</v>
      </c>
      <c r="V79">
        <f t="shared" si="61"/>
        <v>0.13453999999999999</v>
      </c>
      <c r="W79">
        <f t="shared" si="62"/>
        <v>0</v>
      </c>
      <c r="X79">
        <f t="shared" si="63"/>
        <v>1040.17</v>
      </c>
      <c r="Y79">
        <f t="shared" si="64"/>
        <v>924.6</v>
      </c>
      <c r="AA79">
        <v>16856228</v>
      </c>
      <c r="AB79">
        <f t="shared" si="65"/>
        <v>391.32799999999997</v>
      </c>
      <c r="AC79">
        <f>ROUND(((ES79*0)),6)</f>
        <v>0</v>
      </c>
      <c r="AD79">
        <f>ROUND(((((ET79*0.7))-((EU79*0.7)))+AE79),6)</f>
        <v>88.06</v>
      </c>
      <c r="AE79">
        <f>ROUND(((EU79*0.7)),6)</f>
        <v>2.6739999999999999</v>
      </c>
      <c r="AF79">
        <f>ROUND(((EV79*0.7)),6)</f>
        <v>303.26799999999997</v>
      </c>
      <c r="AG79">
        <f t="shared" si="66"/>
        <v>0</v>
      </c>
      <c r="AH79">
        <f>((EW79*0.7))</f>
        <v>35.552999999999997</v>
      </c>
      <c r="AI79">
        <f>((EX79*0.7))</f>
        <v>0.217</v>
      </c>
      <c r="AJ79">
        <f t="shared" si="67"/>
        <v>0</v>
      </c>
      <c r="AK79">
        <v>641</v>
      </c>
      <c r="AL79">
        <v>81.96</v>
      </c>
      <c r="AM79">
        <v>125.8</v>
      </c>
      <c r="AN79">
        <v>3.82</v>
      </c>
      <c r="AO79">
        <v>433.24</v>
      </c>
      <c r="AP79">
        <v>0</v>
      </c>
      <c r="AQ79">
        <v>50.79</v>
      </c>
      <c r="AR79">
        <v>0.31</v>
      </c>
      <c r="AS79">
        <v>0</v>
      </c>
      <c r="AT79">
        <v>81</v>
      </c>
      <c r="AU79">
        <v>72</v>
      </c>
      <c r="AV79">
        <v>1</v>
      </c>
      <c r="AW79">
        <v>1</v>
      </c>
      <c r="AZ79">
        <v>6.77</v>
      </c>
      <c r="BA79">
        <v>6.77</v>
      </c>
      <c r="BB79">
        <v>6.77</v>
      </c>
      <c r="BC79">
        <v>6.77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157</v>
      </c>
      <c r="BM79">
        <v>9001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6.77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90</v>
      </c>
      <c r="CA79">
        <v>85</v>
      </c>
      <c r="CE79">
        <v>0</v>
      </c>
      <c r="CF79">
        <v>0</v>
      </c>
      <c r="CG79">
        <v>0</v>
      </c>
      <c r="CM79">
        <v>0</v>
      </c>
      <c r="CN79" t="s">
        <v>39</v>
      </c>
      <c r="CO79">
        <v>0</v>
      </c>
      <c r="CP79">
        <f t="shared" si="68"/>
        <v>1642.56</v>
      </c>
      <c r="CQ79">
        <f t="shared" si="69"/>
        <v>0</v>
      </c>
      <c r="CR79">
        <f t="shared" si="70"/>
        <v>596.1662</v>
      </c>
      <c r="CS79">
        <f t="shared" si="71"/>
        <v>18.102979999999999</v>
      </c>
      <c r="CT79">
        <f t="shared" si="72"/>
        <v>2053.1243599999998</v>
      </c>
      <c r="CU79">
        <f t="shared" si="73"/>
        <v>0</v>
      </c>
      <c r="CV79">
        <f t="shared" si="74"/>
        <v>35.552999999999997</v>
      </c>
      <c r="CW79">
        <f t="shared" si="75"/>
        <v>0.217</v>
      </c>
      <c r="CX79">
        <f t="shared" si="76"/>
        <v>0</v>
      </c>
      <c r="CY79">
        <f t="shared" si="77"/>
        <v>1040.1696000000002</v>
      </c>
      <c r="CZ79">
        <f t="shared" si="78"/>
        <v>924.59520000000009</v>
      </c>
      <c r="DC79" t="s">
        <v>6</v>
      </c>
      <c r="DD79" t="s">
        <v>19</v>
      </c>
      <c r="DE79" t="s">
        <v>40</v>
      </c>
      <c r="DF79" t="s">
        <v>40</v>
      </c>
      <c r="DG79" t="s">
        <v>40</v>
      </c>
      <c r="DH79" t="s">
        <v>6</v>
      </c>
      <c r="DI79" t="s">
        <v>40</v>
      </c>
      <c r="DJ79" t="s">
        <v>40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37</v>
      </c>
      <c r="DW79" t="s">
        <v>37</v>
      </c>
      <c r="DX79">
        <v>1000</v>
      </c>
      <c r="EE79">
        <v>16510486</v>
      </c>
      <c r="EF79">
        <v>2</v>
      </c>
      <c r="EG79" t="s">
        <v>21</v>
      </c>
      <c r="EH79">
        <v>0</v>
      </c>
      <c r="EI79" t="s">
        <v>6</v>
      </c>
      <c r="EJ79">
        <v>1</v>
      </c>
      <c r="EK79">
        <v>9001</v>
      </c>
      <c r="EL79" t="s">
        <v>41</v>
      </c>
      <c r="EM79" t="s">
        <v>42</v>
      </c>
      <c r="EO79" t="s">
        <v>43</v>
      </c>
      <c r="EQ79">
        <v>0</v>
      </c>
      <c r="ER79">
        <v>641</v>
      </c>
      <c r="ES79">
        <v>81.96</v>
      </c>
      <c r="ET79">
        <v>125.8</v>
      </c>
      <c r="EU79">
        <v>3.82</v>
      </c>
      <c r="EV79">
        <v>433.24</v>
      </c>
      <c r="EW79">
        <v>50.79</v>
      </c>
      <c r="EX79">
        <v>0.31</v>
      </c>
      <c r="EY79">
        <v>0</v>
      </c>
      <c r="FQ79">
        <v>0</v>
      </c>
      <c r="FR79">
        <f t="shared" si="79"/>
        <v>0</v>
      </c>
      <c r="FS79">
        <v>0</v>
      </c>
      <c r="FT79" t="s">
        <v>25</v>
      </c>
      <c r="FU79" t="s">
        <v>26</v>
      </c>
      <c r="FX79">
        <v>81</v>
      </c>
      <c r="FY79">
        <v>72.25</v>
      </c>
      <c r="GA79" t="s">
        <v>6</v>
      </c>
      <c r="GD79">
        <v>1</v>
      </c>
      <c r="GF79">
        <v>590566923</v>
      </c>
      <c r="GG79">
        <v>1</v>
      </c>
      <c r="GH79">
        <v>1</v>
      </c>
      <c r="GI79">
        <v>4</v>
      </c>
      <c r="GJ79">
        <v>0</v>
      </c>
      <c r="GK79">
        <v>0</v>
      </c>
      <c r="GL79">
        <f t="shared" si="80"/>
        <v>0</v>
      </c>
      <c r="GM79">
        <f t="shared" si="81"/>
        <v>3607.33</v>
      </c>
      <c r="GN79">
        <f t="shared" si="82"/>
        <v>3607.33</v>
      </c>
      <c r="GO79">
        <f t="shared" si="83"/>
        <v>0</v>
      </c>
      <c r="GP79">
        <f t="shared" si="84"/>
        <v>0</v>
      </c>
      <c r="GR79">
        <v>0</v>
      </c>
      <c r="GS79">
        <v>3</v>
      </c>
      <c r="GT79">
        <v>0</v>
      </c>
      <c r="GU79" t="s">
        <v>6</v>
      </c>
      <c r="GV79">
        <f t="shared" si="85"/>
        <v>0</v>
      </c>
      <c r="GW79">
        <v>1</v>
      </c>
      <c r="GX79">
        <f t="shared" si="86"/>
        <v>0</v>
      </c>
      <c r="HA79">
        <v>0</v>
      </c>
      <c r="HB79">
        <v>0</v>
      </c>
      <c r="HC79">
        <f t="shared" si="87"/>
        <v>0</v>
      </c>
      <c r="IK79">
        <v>0</v>
      </c>
    </row>
    <row r="80" spans="1:255" x14ac:dyDescent="0.2">
      <c r="A80" s="2">
        <v>17</v>
      </c>
      <c r="B80" s="2">
        <v>1</v>
      </c>
      <c r="C80" s="2">
        <f>ROW(SmtRes!A242)</f>
        <v>242</v>
      </c>
      <c r="D80" s="2">
        <f>ROW(EtalonRes!A245)</f>
        <v>245</v>
      </c>
      <c r="E80" s="2" t="s">
        <v>158</v>
      </c>
      <c r="F80" s="2" t="s">
        <v>155</v>
      </c>
      <c r="G80" s="2" t="s">
        <v>159</v>
      </c>
      <c r="H80" s="2" t="s">
        <v>37</v>
      </c>
      <c r="I80" s="2">
        <v>0.62</v>
      </c>
      <c r="J80" s="2">
        <v>0</v>
      </c>
      <c r="K80" s="2"/>
      <c r="L80" s="2"/>
      <c r="M80" s="2"/>
      <c r="N80" s="2"/>
      <c r="O80" s="2">
        <f t="shared" si="54"/>
        <v>457.22</v>
      </c>
      <c r="P80" s="2">
        <f t="shared" si="55"/>
        <v>50.82</v>
      </c>
      <c r="Q80" s="2">
        <f t="shared" si="56"/>
        <v>97.5</v>
      </c>
      <c r="R80" s="2">
        <f t="shared" si="57"/>
        <v>2.96</v>
      </c>
      <c r="S80" s="2">
        <f t="shared" si="58"/>
        <v>308.89999999999998</v>
      </c>
      <c r="T80" s="2">
        <f t="shared" si="59"/>
        <v>0</v>
      </c>
      <c r="U80" s="2">
        <f t="shared" si="60"/>
        <v>36.213269999999994</v>
      </c>
      <c r="V80" s="2">
        <f t="shared" si="61"/>
        <v>0.24024999999999999</v>
      </c>
      <c r="W80" s="2">
        <f t="shared" si="62"/>
        <v>0</v>
      </c>
      <c r="X80" s="2">
        <f t="shared" si="63"/>
        <v>252.61</v>
      </c>
      <c r="Y80" s="2">
        <f t="shared" si="64"/>
        <v>224.54</v>
      </c>
      <c r="Z80" s="2"/>
      <c r="AA80" s="2">
        <v>16856227</v>
      </c>
      <c r="AB80" s="2">
        <f t="shared" si="65"/>
        <v>737.43600000000004</v>
      </c>
      <c r="AC80" s="2">
        <f t="shared" ref="AC80:AC87" si="95">ROUND((ES80),6)</f>
        <v>81.96</v>
      </c>
      <c r="AD80" s="2">
        <f>ROUND(((((ET80*1.25))-((EU80*1.25)))+AE80),6)</f>
        <v>157.25</v>
      </c>
      <c r="AE80" s="2">
        <f>ROUND(((EU80*1.25)),6)</f>
        <v>4.7750000000000004</v>
      </c>
      <c r="AF80" s="2">
        <f>ROUND(((EV80*1.15)),6)</f>
        <v>498.226</v>
      </c>
      <c r="AG80" s="2">
        <f t="shared" si="66"/>
        <v>0</v>
      </c>
      <c r="AH80" s="2">
        <f>((EW80*1.15))</f>
        <v>58.408499999999997</v>
      </c>
      <c r="AI80" s="2">
        <f>((EX80*1.25))</f>
        <v>0.38750000000000001</v>
      </c>
      <c r="AJ80" s="2">
        <f t="shared" si="67"/>
        <v>0</v>
      </c>
      <c r="AK80" s="2">
        <v>641</v>
      </c>
      <c r="AL80" s="2">
        <v>81.96</v>
      </c>
      <c r="AM80" s="2">
        <v>125.8</v>
      </c>
      <c r="AN80" s="2">
        <v>3.82</v>
      </c>
      <c r="AO80" s="2">
        <v>433.24</v>
      </c>
      <c r="AP80" s="2">
        <v>0</v>
      </c>
      <c r="AQ80" s="2">
        <v>50.79</v>
      </c>
      <c r="AR80" s="2">
        <v>0.31</v>
      </c>
      <c r="AS80" s="2">
        <v>0</v>
      </c>
      <c r="AT80" s="2">
        <v>81</v>
      </c>
      <c r="AU80" s="2">
        <v>72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0</v>
      </c>
      <c r="BI80" s="2">
        <v>1</v>
      </c>
      <c r="BJ80" s="2" t="s">
        <v>157</v>
      </c>
      <c r="BK80" s="2"/>
      <c r="BL80" s="2"/>
      <c r="BM80" s="2">
        <v>9001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90</v>
      </c>
      <c r="CA80" s="2">
        <v>85</v>
      </c>
      <c r="CB80" s="2"/>
      <c r="CC80" s="2"/>
      <c r="CD80" s="2"/>
      <c r="CE80" s="2">
        <v>0</v>
      </c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450</v>
      </c>
      <c r="CO80" s="2">
        <v>0</v>
      </c>
      <c r="CP80" s="2">
        <f t="shared" si="68"/>
        <v>457.21999999999997</v>
      </c>
      <c r="CQ80" s="2">
        <f t="shared" si="69"/>
        <v>81.96</v>
      </c>
      <c r="CR80" s="2">
        <f t="shared" si="70"/>
        <v>157.25</v>
      </c>
      <c r="CS80" s="2">
        <f t="shared" si="71"/>
        <v>4.7750000000000004</v>
      </c>
      <c r="CT80" s="2">
        <f t="shared" si="72"/>
        <v>498.226</v>
      </c>
      <c r="CU80" s="2">
        <f t="shared" si="73"/>
        <v>0</v>
      </c>
      <c r="CV80" s="2">
        <f t="shared" si="74"/>
        <v>58.408499999999997</v>
      </c>
      <c r="CW80" s="2">
        <f t="shared" si="75"/>
        <v>0.38750000000000001</v>
      </c>
      <c r="CX80" s="2">
        <f t="shared" si="76"/>
        <v>0</v>
      </c>
      <c r="CY80" s="2">
        <f t="shared" si="77"/>
        <v>252.60659999999996</v>
      </c>
      <c r="CZ80" s="2">
        <f t="shared" si="78"/>
        <v>224.53919999999999</v>
      </c>
      <c r="DA80" s="2"/>
      <c r="DB80" s="2"/>
      <c r="DC80" s="2" t="s">
        <v>6</v>
      </c>
      <c r="DD80" s="2" t="s">
        <v>6</v>
      </c>
      <c r="DE80" s="2" t="s">
        <v>56</v>
      </c>
      <c r="DF80" s="2" t="s">
        <v>56</v>
      </c>
      <c r="DG80" s="2" t="s">
        <v>57</v>
      </c>
      <c r="DH80" s="2" t="s">
        <v>6</v>
      </c>
      <c r="DI80" s="2" t="s">
        <v>57</v>
      </c>
      <c r="DJ80" s="2" t="s">
        <v>56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1009</v>
      </c>
      <c r="DV80" s="2" t="s">
        <v>37</v>
      </c>
      <c r="DW80" s="2" t="s">
        <v>37</v>
      </c>
      <c r="DX80" s="2">
        <v>1000</v>
      </c>
      <c r="DY80" s="2"/>
      <c r="DZ80" s="2"/>
      <c r="EA80" s="2"/>
      <c r="EB80" s="2"/>
      <c r="EC80" s="2"/>
      <c r="ED80" s="2"/>
      <c r="EE80" s="2">
        <v>16510486</v>
      </c>
      <c r="EF80" s="2">
        <v>2</v>
      </c>
      <c r="EG80" s="2" t="s">
        <v>21</v>
      </c>
      <c r="EH80" s="2">
        <v>0</v>
      </c>
      <c r="EI80" s="2" t="s">
        <v>6</v>
      </c>
      <c r="EJ80" s="2">
        <v>1</v>
      </c>
      <c r="EK80" s="2">
        <v>9001</v>
      </c>
      <c r="EL80" s="2" t="s">
        <v>41</v>
      </c>
      <c r="EM80" s="2" t="s">
        <v>42</v>
      </c>
      <c r="EN80" s="2"/>
      <c r="EO80" s="2" t="s">
        <v>60</v>
      </c>
      <c r="EP80" s="2"/>
      <c r="EQ80" s="2">
        <v>0</v>
      </c>
      <c r="ER80" s="2">
        <v>641</v>
      </c>
      <c r="ES80" s="2">
        <v>81.96</v>
      </c>
      <c r="ET80" s="2">
        <v>125.8</v>
      </c>
      <c r="EU80" s="2">
        <v>3.82</v>
      </c>
      <c r="EV80" s="2">
        <v>433.24</v>
      </c>
      <c r="EW80" s="2">
        <v>50.79</v>
      </c>
      <c r="EX80" s="2">
        <v>0.31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79"/>
        <v>0</v>
      </c>
      <c r="FS80" s="2">
        <v>0</v>
      </c>
      <c r="FT80" s="2" t="s">
        <v>25</v>
      </c>
      <c r="FU80" s="2" t="s">
        <v>26</v>
      </c>
      <c r="FV80" s="2"/>
      <c r="FW80" s="2"/>
      <c r="FX80" s="2">
        <v>81</v>
      </c>
      <c r="FY80" s="2">
        <v>72.25</v>
      </c>
      <c r="FZ80" s="2"/>
      <c r="GA80" s="2" t="s">
        <v>6</v>
      </c>
      <c r="GB80" s="2"/>
      <c r="GC80" s="2"/>
      <c r="GD80" s="2">
        <v>1</v>
      </c>
      <c r="GE80" s="2"/>
      <c r="GF80" s="2">
        <v>1489324113</v>
      </c>
      <c r="GG80" s="2">
        <v>2</v>
      </c>
      <c r="GH80" s="2">
        <v>1</v>
      </c>
      <c r="GI80" s="2">
        <v>-2</v>
      </c>
      <c r="GJ80" s="2">
        <v>0</v>
      </c>
      <c r="GK80" s="2">
        <v>0</v>
      </c>
      <c r="GL80" s="2">
        <f t="shared" si="80"/>
        <v>0</v>
      </c>
      <c r="GM80" s="2">
        <f t="shared" si="81"/>
        <v>934.37</v>
      </c>
      <c r="GN80" s="2">
        <f t="shared" si="82"/>
        <v>934.37</v>
      </c>
      <c r="GO80" s="2">
        <f t="shared" si="83"/>
        <v>0</v>
      </c>
      <c r="GP80" s="2">
        <f t="shared" si="84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85"/>
        <v>0</v>
      </c>
      <c r="GW80" s="2">
        <v>1</v>
      </c>
      <c r="GX80" s="2">
        <f t="shared" si="86"/>
        <v>0</v>
      </c>
      <c r="GY80" s="2"/>
      <c r="GZ80" s="2"/>
      <c r="HA80" s="2">
        <v>0</v>
      </c>
      <c r="HB80" s="2">
        <v>0</v>
      </c>
      <c r="HC80" s="2">
        <f t="shared" si="87"/>
        <v>0</v>
      </c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C81">
        <f>ROW(SmtRes!A262)</f>
        <v>262</v>
      </c>
      <c r="D81">
        <f>ROW(EtalonRes!A264)</f>
        <v>264</v>
      </c>
      <c r="E81" t="s">
        <v>158</v>
      </c>
      <c r="F81" t="s">
        <v>155</v>
      </c>
      <c r="G81" t="s">
        <v>159</v>
      </c>
      <c r="H81" t="s">
        <v>37</v>
      </c>
      <c r="I81">
        <v>0.62</v>
      </c>
      <c r="J81">
        <v>0</v>
      </c>
      <c r="O81">
        <f t="shared" si="54"/>
        <v>3095.31</v>
      </c>
      <c r="P81">
        <f t="shared" si="55"/>
        <v>344.02</v>
      </c>
      <c r="Q81">
        <f t="shared" si="56"/>
        <v>660.04</v>
      </c>
      <c r="R81">
        <f t="shared" si="57"/>
        <v>20.04</v>
      </c>
      <c r="S81">
        <f t="shared" si="58"/>
        <v>2091.25</v>
      </c>
      <c r="T81">
        <f t="shared" si="59"/>
        <v>0</v>
      </c>
      <c r="U81">
        <f t="shared" si="60"/>
        <v>36.213269999999994</v>
      </c>
      <c r="V81">
        <f t="shared" si="61"/>
        <v>0.24024999999999999</v>
      </c>
      <c r="W81">
        <f t="shared" si="62"/>
        <v>0</v>
      </c>
      <c r="X81">
        <f t="shared" si="63"/>
        <v>1710.14</v>
      </c>
      <c r="Y81">
        <f t="shared" si="64"/>
        <v>1520.13</v>
      </c>
      <c r="AA81">
        <v>16856228</v>
      </c>
      <c r="AB81">
        <f t="shared" si="65"/>
        <v>737.43600000000004</v>
      </c>
      <c r="AC81">
        <f t="shared" si="95"/>
        <v>81.96</v>
      </c>
      <c r="AD81">
        <f>ROUND(((((ET81*1.25))-((EU81*1.25)))+AE81),6)</f>
        <v>157.25</v>
      </c>
      <c r="AE81">
        <f>ROUND(((EU81*1.25)),6)</f>
        <v>4.7750000000000004</v>
      </c>
      <c r="AF81">
        <f>ROUND(((EV81*1.15)),6)</f>
        <v>498.226</v>
      </c>
      <c r="AG81">
        <f t="shared" si="66"/>
        <v>0</v>
      </c>
      <c r="AH81">
        <f>((EW81*1.15))</f>
        <v>58.408499999999997</v>
      </c>
      <c r="AI81">
        <f>((EX81*1.25))</f>
        <v>0.38750000000000001</v>
      </c>
      <c r="AJ81">
        <f t="shared" si="67"/>
        <v>0</v>
      </c>
      <c r="AK81">
        <v>641</v>
      </c>
      <c r="AL81">
        <v>81.96</v>
      </c>
      <c r="AM81">
        <v>125.8</v>
      </c>
      <c r="AN81">
        <v>3.82</v>
      </c>
      <c r="AO81">
        <v>433.24</v>
      </c>
      <c r="AP81">
        <v>0</v>
      </c>
      <c r="AQ81">
        <v>50.79</v>
      </c>
      <c r="AR81">
        <v>0.31</v>
      </c>
      <c r="AS81">
        <v>0</v>
      </c>
      <c r="AT81">
        <v>81</v>
      </c>
      <c r="AU81">
        <v>72</v>
      </c>
      <c r="AV81">
        <v>1</v>
      </c>
      <c r="AW81">
        <v>1</v>
      </c>
      <c r="AZ81">
        <v>6.77</v>
      </c>
      <c r="BA81">
        <v>6.77</v>
      </c>
      <c r="BB81">
        <v>6.77</v>
      </c>
      <c r="BC81">
        <v>6.77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157</v>
      </c>
      <c r="BM81">
        <v>9001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6.77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90</v>
      </c>
      <c r="CA81">
        <v>85</v>
      </c>
      <c r="CE81">
        <v>0</v>
      </c>
      <c r="CF81">
        <v>0</v>
      </c>
      <c r="CG81">
        <v>0</v>
      </c>
      <c r="CM81">
        <v>0</v>
      </c>
      <c r="CN81" t="s">
        <v>450</v>
      </c>
      <c r="CO81">
        <v>0</v>
      </c>
      <c r="CP81">
        <f t="shared" si="68"/>
        <v>3095.31</v>
      </c>
      <c r="CQ81">
        <f t="shared" si="69"/>
        <v>554.86919999999998</v>
      </c>
      <c r="CR81">
        <f t="shared" si="70"/>
        <v>1064.5825</v>
      </c>
      <c r="CS81">
        <f t="shared" si="71"/>
        <v>32.326749999999997</v>
      </c>
      <c r="CT81">
        <f t="shared" si="72"/>
        <v>3372.9900199999997</v>
      </c>
      <c r="CU81">
        <f t="shared" si="73"/>
        <v>0</v>
      </c>
      <c r="CV81">
        <f t="shared" si="74"/>
        <v>58.408499999999997</v>
      </c>
      <c r="CW81">
        <f t="shared" si="75"/>
        <v>0.38750000000000001</v>
      </c>
      <c r="CX81">
        <f t="shared" si="76"/>
        <v>0</v>
      </c>
      <c r="CY81">
        <f t="shared" si="77"/>
        <v>1710.1449</v>
      </c>
      <c r="CZ81">
        <f t="shared" si="78"/>
        <v>1520.1288</v>
      </c>
      <c r="DC81" t="s">
        <v>6</v>
      </c>
      <c r="DD81" t="s">
        <v>6</v>
      </c>
      <c r="DE81" t="s">
        <v>56</v>
      </c>
      <c r="DF81" t="s">
        <v>56</v>
      </c>
      <c r="DG81" t="s">
        <v>57</v>
      </c>
      <c r="DH81" t="s">
        <v>6</v>
      </c>
      <c r="DI81" t="s">
        <v>57</v>
      </c>
      <c r="DJ81" t="s">
        <v>56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1009</v>
      </c>
      <c r="DV81" t="s">
        <v>37</v>
      </c>
      <c r="DW81" t="s">
        <v>37</v>
      </c>
      <c r="DX81">
        <v>1000</v>
      </c>
      <c r="EE81">
        <v>16510486</v>
      </c>
      <c r="EF81">
        <v>2</v>
      </c>
      <c r="EG81" t="s">
        <v>21</v>
      </c>
      <c r="EH81">
        <v>0</v>
      </c>
      <c r="EI81" t="s">
        <v>6</v>
      </c>
      <c r="EJ81">
        <v>1</v>
      </c>
      <c r="EK81">
        <v>9001</v>
      </c>
      <c r="EL81" t="s">
        <v>41</v>
      </c>
      <c r="EM81" t="s">
        <v>42</v>
      </c>
      <c r="EO81" t="s">
        <v>60</v>
      </c>
      <c r="EQ81">
        <v>0</v>
      </c>
      <c r="ER81">
        <v>641</v>
      </c>
      <c r="ES81">
        <v>81.96</v>
      </c>
      <c r="ET81">
        <v>125.8</v>
      </c>
      <c r="EU81">
        <v>3.82</v>
      </c>
      <c r="EV81">
        <v>433.24</v>
      </c>
      <c r="EW81">
        <v>50.79</v>
      </c>
      <c r="EX81">
        <v>0.31</v>
      </c>
      <c r="EY81">
        <v>0</v>
      </c>
      <c r="FQ81">
        <v>0</v>
      </c>
      <c r="FR81">
        <f t="shared" si="79"/>
        <v>0</v>
      </c>
      <c r="FS81">
        <v>0</v>
      </c>
      <c r="FT81" t="s">
        <v>25</v>
      </c>
      <c r="FU81" t="s">
        <v>26</v>
      </c>
      <c r="FX81">
        <v>81</v>
      </c>
      <c r="FY81">
        <v>72.25</v>
      </c>
      <c r="GA81" t="s">
        <v>6</v>
      </c>
      <c r="GD81">
        <v>1</v>
      </c>
      <c r="GF81">
        <v>1489324113</v>
      </c>
      <c r="GG81">
        <v>1</v>
      </c>
      <c r="GH81">
        <v>1</v>
      </c>
      <c r="GI81">
        <v>4</v>
      </c>
      <c r="GJ81">
        <v>0</v>
      </c>
      <c r="GK81">
        <v>0</v>
      </c>
      <c r="GL81">
        <f t="shared" si="80"/>
        <v>0</v>
      </c>
      <c r="GM81">
        <f t="shared" si="81"/>
        <v>6325.58</v>
      </c>
      <c r="GN81">
        <f t="shared" si="82"/>
        <v>6325.58</v>
      </c>
      <c r="GO81">
        <f t="shared" si="83"/>
        <v>0</v>
      </c>
      <c r="GP81">
        <f t="shared" si="84"/>
        <v>0</v>
      </c>
      <c r="GR81">
        <v>0</v>
      </c>
      <c r="GS81">
        <v>3</v>
      </c>
      <c r="GT81">
        <v>0</v>
      </c>
      <c r="GU81" t="s">
        <v>6</v>
      </c>
      <c r="GV81">
        <f t="shared" si="85"/>
        <v>0</v>
      </c>
      <c r="GW81">
        <v>1</v>
      </c>
      <c r="GX81">
        <f t="shared" si="86"/>
        <v>0</v>
      </c>
      <c r="HA81">
        <v>0</v>
      </c>
      <c r="HB81">
        <v>0</v>
      </c>
      <c r="HC81">
        <f t="shared" si="87"/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236</v>
      </c>
      <c r="D82" s="2"/>
      <c r="E82" s="2" t="s">
        <v>160</v>
      </c>
      <c r="F82" s="2" t="s">
        <v>161</v>
      </c>
      <c r="G82" s="2" t="s">
        <v>162</v>
      </c>
      <c r="H82" s="2" t="s">
        <v>37</v>
      </c>
      <c r="I82" s="2">
        <f>I80*J82</f>
        <v>0.62</v>
      </c>
      <c r="J82" s="2">
        <v>1</v>
      </c>
      <c r="K82" s="2"/>
      <c r="L82" s="2"/>
      <c r="M82" s="2"/>
      <c r="N82" s="2"/>
      <c r="O82" s="2">
        <f t="shared" si="54"/>
        <v>0</v>
      </c>
      <c r="P82" s="2">
        <f t="shared" si="55"/>
        <v>0</v>
      </c>
      <c r="Q82" s="2">
        <f t="shared" si="56"/>
        <v>0</v>
      </c>
      <c r="R82" s="2">
        <f t="shared" si="57"/>
        <v>0</v>
      </c>
      <c r="S82" s="2">
        <f t="shared" si="58"/>
        <v>0</v>
      </c>
      <c r="T82" s="2">
        <f t="shared" si="59"/>
        <v>0</v>
      </c>
      <c r="U82" s="2">
        <f t="shared" si="60"/>
        <v>0</v>
      </c>
      <c r="V82" s="2">
        <f t="shared" si="61"/>
        <v>0</v>
      </c>
      <c r="W82" s="2">
        <f t="shared" si="62"/>
        <v>0</v>
      </c>
      <c r="X82" s="2">
        <f t="shared" si="63"/>
        <v>0</v>
      </c>
      <c r="Y82" s="2">
        <f t="shared" si="64"/>
        <v>0</v>
      </c>
      <c r="Z82" s="2"/>
      <c r="AA82" s="2">
        <v>16856227</v>
      </c>
      <c r="AB82" s="2">
        <f t="shared" si="65"/>
        <v>0</v>
      </c>
      <c r="AC82" s="2">
        <f t="shared" si="95"/>
        <v>0</v>
      </c>
      <c r="AD82" s="2">
        <f t="shared" ref="AD82:AD87" si="96">ROUND((((ET82)-(EU82))+AE82),6)</f>
        <v>0</v>
      </c>
      <c r="AE82" s="2">
        <f t="shared" ref="AE82:AF87" si="97">ROUND((EU82),6)</f>
        <v>0</v>
      </c>
      <c r="AF82" s="2">
        <f t="shared" si="97"/>
        <v>0</v>
      </c>
      <c r="AG82" s="2">
        <f t="shared" si="66"/>
        <v>0</v>
      </c>
      <c r="AH82" s="2">
        <f t="shared" ref="AH82:AI87" si="98">(EW82)</f>
        <v>0</v>
      </c>
      <c r="AI82" s="2">
        <f t="shared" si="98"/>
        <v>0</v>
      </c>
      <c r="AJ82" s="2">
        <f t="shared" si="67"/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81</v>
      </c>
      <c r="AU82" s="2">
        <v>72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6</v>
      </c>
      <c r="BK82" s="2"/>
      <c r="BL82" s="2"/>
      <c r="BM82" s="2">
        <v>9001</v>
      </c>
      <c r="BN82" s="2">
        <v>0</v>
      </c>
      <c r="BO82" s="2" t="s">
        <v>6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90</v>
      </c>
      <c r="CA82" s="2">
        <v>85</v>
      </c>
      <c r="CB82" s="2"/>
      <c r="CC82" s="2"/>
      <c r="CD82" s="2"/>
      <c r="CE82" s="2">
        <v>0</v>
      </c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68"/>
        <v>0</v>
      </c>
      <c r="CQ82" s="2">
        <f t="shared" si="69"/>
        <v>0</v>
      </c>
      <c r="CR82" s="2">
        <f t="shared" si="70"/>
        <v>0</v>
      </c>
      <c r="CS82" s="2">
        <f t="shared" si="71"/>
        <v>0</v>
      </c>
      <c r="CT82" s="2">
        <f t="shared" si="72"/>
        <v>0</v>
      </c>
      <c r="CU82" s="2">
        <f t="shared" si="73"/>
        <v>0</v>
      </c>
      <c r="CV82" s="2">
        <f t="shared" si="74"/>
        <v>0</v>
      </c>
      <c r="CW82" s="2">
        <f t="shared" si="75"/>
        <v>0</v>
      </c>
      <c r="CX82" s="2">
        <f t="shared" si="76"/>
        <v>0</v>
      </c>
      <c r="CY82" s="2">
        <f t="shared" si="77"/>
        <v>0</v>
      </c>
      <c r="CZ82" s="2">
        <f t="shared" si="78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1009</v>
      </c>
      <c r="DV82" s="2" t="s">
        <v>37</v>
      </c>
      <c r="DW82" s="2" t="s">
        <v>37</v>
      </c>
      <c r="DX82" s="2">
        <v>1000</v>
      </c>
      <c r="DY82" s="2"/>
      <c r="DZ82" s="2"/>
      <c r="EA82" s="2"/>
      <c r="EB82" s="2"/>
      <c r="EC82" s="2"/>
      <c r="ED82" s="2"/>
      <c r="EE82" s="2">
        <v>16510486</v>
      </c>
      <c r="EF82" s="2">
        <v>2</v>
      </c>
      <c r="EG82" s="2" t="s">
        <v>21</v>
      </c>
      <c r="EH82" s="2">
        <v>0</v>
      </c>
      <c r="EI82" s="2" t="s">
        <v>6</v>
      </c>
      <c r="EJ82" s="2">
        <v>1</v>
      </c>
      <c r="EK82" s="2">
        <v>9001</v>
      </c>
      <c r="EL82" s="2" t="s">
        <v>41</v>
      </c>
      <c r="EM82" s="2" t="s">
        <v>42</v>
      </c>
      <c r="EN82" s="2"/>
      <c r="EO82" s="2" t="s">
        <v>6</v>
      </c>
      <c r="EP82" s="2"/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79"/>
        <v>0</v>
      </c>
      <c r="FS82" s="2">
        <v>0</v>
      </c>
      <c r="FT82" s="2" t="s">
        <v>25</v>
      </c>
      <c r="FU82" s="2" t="s">
        <v>26</v>
      </c>
      <c r="FV82" s="2"/>
      <c r="FW82" s="2"/>
      <c r="FX82" s="2">
        <v>81</v>
      </c>
      <c r="FY82" s="2">
        <v>72.25</v>
      </c>
      <c r="FZ82" s="2"/>
      <c r="GA82" s="2" t="s">
        <v>6</v>
      </c>
      <c r="GB82" s="2"/>
      <c r="GC82" s="2"/>
      <c r="GD82" s="2">
        <v>1</v>
      </c>
      <c r="GE82" s="2"/>
      <c r="GF82" s="2">
        <v>748648226</v>
      </c>
      <c r="GG82" s="2">
        <v>2</v>
      </c>
      <c r="GH82" s="2">
        <v>1</v>
      </c>
      <c r="GI82" s="2">
        <v>-2</v>
      </c>
      <c r="GJ82" s="2">
        <v>0</v>
      </c>
      <c r="GK82" s="2">
        <v>0</v>
      </c>
      <c r="GL82" s="2">
        <f t="shared" si="80"/>
        <v>0</v>
      </c>
      <c r="GM82" s="2">
        <f t="shared" si="81"/>
        <v>0</v>
      </c>
      <c r="GN82" s="2">
        <f t="shared" si="82"/>
        <v>0</v>
      </c>
      <c r="GO82" s="2">
        <f t="shared" si="83"/>
        <v>0</v>
      </c>
      <c r="GP82" s="2">
        <f t="shared" si="84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85"/>
        <v>0</v>
      </c>
      <c r="GW82" s="2">
        <v>1</v>
      </c>
      <c r="GX82" s="2">
        <f t="shared" si="86"/>
        <v>0</v>
      </c>
      <c r="GY82" s="2"/>
      <c r="GZ82" s="2"/>
      <c r="HA82" s="2">
        <v>0</v>
      </c>
      <c r="HB82" s="2">
        <v>0</v>
      </c>
      <c r="HC82" s="2">
        <f t="shared" si="87"/>
        <v>0</v>
      </c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256</v>
      </c>
      <c r="E83" t="s">
        <v>160</v>
      </c>
      <c r="F83" t="s">
        <v>161</v>
      </c>
      <c r="G83" t="s">
        <v>162</v>
      </c>
      <c r="H83" t="s">
        <v>37</v>
      </c>
      <c r="I83">
        <f>I81*J83</f>
        <v>0.62</v>
      </c>
      <c r="J83">
        <v>1</v>
      </c>
      <c r="O83">
        <f t="shared" si="54"/>
        <v>0</v>
      </c>
      <c r="P83">
        <f t="shared" si="55"/>
        <v>0</v>
      </c>
      <c r="Q83">
        <f t="shared" si="56"/>
        <v>0</v>
      </c>
      <c r="R83">
        <f t="shared" si="57"/>
        <v>0</v>
      </c>
      <c r="S83">
        <f t="shared" si="58"/>
        <v>0</v>
      </c>
      <c r="T83">
        <f t="shared" si="59"/>
        <v>0</v>
      </c>
      <c r="U83">
        <f t="shared" si="60"/>
        <v>0</v>
      </c>
      <c r="V83">
        <f t="shared" si="61"/>
        <v>0</v>
      </c>
      <c r="W83">
        <f t="shared" si="62"/>
        <v>0</v>
      </c>
      <c r="X83">
        <f t="shared" si="63"/>
        <v>0</v>
      </c>
      <c r="Y83">
        <f t="shared" si="64"/>
        <v>0</v>
      </c>
      <c r="AA83">
        <v>16856228</v>
      </c>
      <c r="AB83">
        <f t="shared" si="65"/>
        <v>0</v>
      </c>
      <c r="AC83">
        <f t="shared" si="95"/>
        <v>0</v>
      </c>
      <c r="AD83">
        <f t="shared" si="96"/>
        <v>0</v>
      </c>
      <c r="AE83">
        <f t="shared" si="97"/>
        <v>0</v>
      </c>
      <c r="AF83">
        <f t="shared" si="97"/>
        <v>0</v>
      </c>
      <c r="AG83">
        <f t="shared" si="66"/>
        <v>0</v>
      </c>
      <c r="AH83">
        <f t="shared" si="98"/>
        <v>0</v>
      </c>
      <c r="AI83">
        <f t="shared" si="98"/>
        <v>0</v>
      </c>
      <c r="AJ83">
        <f t="shared" si="67"/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81</v>
      </c>
      <c r="AU83">
        <v>72</v>
      </c>
      <c r="AV83">
        <v>1</v>
      </c>
      <c r="AW83">
        <v>1</v>
      </c>
      <c r="AZ83">
        <v>6.77</v>
      </c>
      <c r="BA83">
        <v>1</v>
      </c>
      <c r="BB83">
        <v>1</v>
      </c>
      <c r="BC83">
        <v>6.77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6</v>
      </c>
      <c r="BM83">
        <v>9001</v>
      </c>
      <c r="BN83">
        <v>0</v>
      </c>
      <c r="BO83" t="s">
        <v>6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90</v>
      </c>
      <c r="CA83">
        <v>85</v>
      </c>
      <c r="CE83">
        <v>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68"/>
        <v>0</v>
      </c>
      <c r="CQ83">
        <f t="shared" si="69"/>
        <v>0</v>
      </c>
      <c r="CR83">
        <f t="shared" si="70"/>
        <v>0</v>
      </c>
      <c r="CS83">
        <f t="shared" si="71"/>
        <v>0</v>
      </c>
      <c r="CT83">
        <f t="shared" si="72"/>
        <v>0</v>
      </c>
      <c r="CU83">
        <f t="shared" si="73"/>
        <v>0</v>
      </c>
      <c r="CV83">
        <f t="shared" si="74"/>
        <v>0</v>
      </c>
      <c r="CW83">
        <f t="shared" si="75"/>
        <v>0</v>
      </c>
      <c r="CX83">
        <f t="shared" si="76"/>
        <v>0</v>
      </c>
      <c r="CY83">
        <f t="shared" si="77"/>
        <v>0</v>
      </c>
      <c r="CZ83">
        <f t="shared" si="78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1009</v>
      </c>
      <c r="DV83" t="s">
        <v>37</v>
      </c>
      <c r="DW83" t="s">
        <v>37</v>
      </c>
      <c r="DX83">
        <v>1000</v>
      </c>
      <c r="EE83">
        <v>16510486</v>
      </c>
      <c r="EF83">
        <v>2</v>
      </c>
      <c r="EG83" t="s">
        <v>21</v>
      </c>
      <c r="EH83">
        <v>0</v>
      </c>
      <c r="EI83" t="s">
        <v>6</v>
      </c>
      <c r="EJ83">
        <v>1</v>
      </c>
      <c r="EK83">
        <v>9001</v>
      </c>
      <c r="EL83" t="s">
        <v>41</v>
      </c>
      <c r="EM83" t="s">
        <v>42</v>
      </c>
      <c r="EO83" t="s">
        <v>6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79"/>
        <v>0</v>
      </c>
      <c r="FS83">
        <v>0</v>
      </c>
      <c r="FT83" t="s">
        <v>25</v>
      </c>
      <c r="FU83" t="s">
        <v>26</v>
      </c>
      <c r="FX83">
        <v>81</v>
      </c>
      <c r="FY83">
        <v>72.25</v>
      </c>
      <c r="GA83" t="s">
        <v>6</v>
      </c>
      <c r="GD83">
        <v>1</v>
      </c>
      <c r="GF83">
        <v>748648226</v>
      </c>
      <c r="GG83">
        <v>1</v>
      </c>
      <c r="GH83">
        <v>1</v>
      </c>
      <c r="GI83">
        <v>4</v>
      </c>
      <c r="GJ83">
        <v>0</v>
      </c>
      <c r="GK83">
        <v>0</v>
      </c>
      <c r="GL83">
        <f t="shared" si="80"/>
        <v>0</v>
      </c>
      <c r="GM83">
        <f t="shared" si="81"/>
        <v>0</v>
      </c>
      <c r="GN83">
        <f t="shared" si="82"/>
        <v>0</v>
      </c>
      <c r="GO83">
        <f t="shared" si="83"/>
        <v>0</v>
      </c>
      <c r="GP83">
        <f t="shared" si="84"/>
        <v>0</v>
      </c>
      <c r="GR83">
        <v>0</v>
      </c>
      <c r="GS83">
        <v>3</v>
      </c>
      <c r="GT83">
        <v>0</v>
      </c>
      <c r="GU83" t="s">
        <v>6</v>
      </c>
      <c r="GV83">
        <f t="shared" si="85"/>
        <v>0</v>
      </c>
      <c r="GW83">
        <v>1</v>
      </c>
      <c r="GX83">
        <f t="shared" si="86"/>
        <v>0</v>
      </c>
      <c r="HA83">
        <v>0</v>
      </c>
      <c r="HB83">
        <v>0</v>
      </c>
      <c r="HC83">
        <f t="shared" si="87"/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240</v>
      </c>
      <c r="D84" s="2"/>
      <c r="E84" s="2" t="s">
        <v>163</v>
      </c>
      <c r="F84" s="2" t="s">
        <v>164</v>
      </c>
      <c r="G84" s="2" t="s">
        <v>165</v>
      </c>
      <c r="H84" s="2" t="s">
        <v>166</v>
      </c>
      <c r="I84" s="2">
        <f>I80*J84</f>
        <v>14</v>
      </c>
      <c r="J84" s="2">
        <v>22.580645161290324</v>
      </c>
      <c r="K84" s="2"/>
      <c r="L84" s="2"/>
      <c r="M84" s="2"/>
      <c r="N84" s="2"/>
      <c r="O84" s="2">
        <f t="shared" si="54"/>
        <v>24883.32</v>
      </c>
      <c r="P84" s="2">
        <f t="shared" si="55"/>
        <v>24883.32</v>
      </c>
      <c r="Q84" s="2">
        <f t="shared" si="56"/>
        <v>0</v>
      </c>
      <c r="R84" s="2">
        <f t="shared" si="57"/>
        <v>0</v>
      </c>
      <c r="S84" s="2">
        <f t="shared" si="58"/>
        <v>0</v>
      </c>
      <c r="T84" s="2">
        <f t="shared" si="59"/>
        <v>0</v>
      </c>
      <c r="U84" s="2">
        <f t="shared" si="60"/>
        <v>0</v>
      </c>
      <c r="V84" s="2">
        <f t="shared" si="61"/>
        <v>0</v>
      </c>
      <c r="W84" s="2">
        <f t="shared" si="62"/>
        <v>0</v>
      </c>
      <c r="X84" s="2">
        <f t="shared" si="63"/>
        <v>0</v>
      </c>
      <c r="Y84" s="2">
        <f t="shared" si="64"/>
        <v>0</v>
      </c>
      <c r="Z84" s="2"/>
      <c r="AA84" s="2">
        <v>16856227</v>
      </c>
      <c r="AB84" s="2">
        <f t="shared" si="65"/>
        <v>1777.38</v>
      </c>
      <c r="AC84" s="2">
        <f t="shared" si="95"/>
        <v>1777.38</v>
      </c>
      <c r="AD84" s="2">
        <f t="shared" si="96"/>
        <v>0</v>
      </c>
      <c r="AE84" s="2">
        <f t="shared" si="97"/>
        <v>0</v>
      </c>
      <c r="AF84" s="2">
        <f t="shared" si="97"/>
        <v>0</v>
      </c>
      <c r="AG84" s="2">
        <f t="shared" si="66"/>
        <v>0</v>
      </c>
      <c r="AH84" s="2">
        <f t="shared" si="98"/>
        <v>0</v>
      </c>
      <c r="AI84" s="2">
        <f t="shared" si="98"/>
        <v>0</v>
      </c>
      <c r="AJ84" s="2">
        <f t="shared" si="67"/>
        <v>0</v>
      </c>
      <c r="AK84" s="2">
        <v>1777.38</v>
      </c>
      <c r="AL84" s="2">
        <v>1777.38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81</v>
      </c>
      <c r="AU84" s="2">
        <v>72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3</v>
      </c>
      <c r="BI84" s="2">
        <v>1</v>
      </c>
      <c r="BJ84" s="2" t="s">
        <v>167</v>
      </c>
      <c r="BK84" s="2"/>
      <c r="BL84" s="2"/>
      <c r="BM84" s="2">
        <v>9001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90</v>
      </c>
      <c r="CA84" s="2">
        <v>85</v>
      </c>
      <c r="CB84" s="2"/>
      <c r="CC84" s="2"/>
      <c r="CD84" s="2"/>
      <c r="CE84" s="2">
        <v>0</v>
      </c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6</v>
      </c>
      <c r="CO84" s="2">
        <v>0</v>
      </c>
      <c r="CP84" s="2">
        <f t="shared" si="68"/>
        <v>24883.32</v>
      </c>
      <c r="CQ84" s="2">
        <f t="shared" si="69"/>
        <v>1777.38</v>
      </c>
      <c r="CR84" s="2">
        <f t="shared" si="70"/>
        <v>0</v>
      </c>
      <c r="CS84" s="2">
        <f t="shared" si="71"/>
        <v>0</v>
      </c>
      <c r="CT84" s="2">
        <f t="shared" si="72"/>
        <v>0</v>
      </c>
      <c r="CU84" s="2">
        <f t="shared" si="73"/>
        <v>0</v>
      </c>
      <c r="CV84" s="2">
        <f t="shared" si="74"/>
        <v>0</v>
      </c>
      <c r="CW84" s="2">
        <f t="shared" si="75"/>
        <v>0</v>
      </c>
      <c r="CX84" s="2">
        <f t="shared" si="76"/>
        <v>0</v>
      </c>
      <c r="CY84" s="2">
        <f t="shared" si="77"/>
        <v>0</v>
      </c>
      <c r="CZ84" s="2">
        <f t="shared" si="78"/>
        <v>0</v>
      </c>
      <c r="DA84" s="2"/>
      <c r="DB84" s="2"/>
      <c r="DC84" s="2" t="s">
        <v>6</v>
      </c>
      <c r="DD84" s="2" t="s">
        <v>6</v>
      </c>
      <c r="DE84" s="2" t="s">
        <v>6</v>
      </c>
      <c r="DF84" s="2" t="s">
        <v>6</v>
      </c>
      <c r="DG84" s="2" t="s">
        <v>6</v>
      </c>
      <c r="DH84" s="2" t="s">
        <v>6</v>
      </c>
      <c r="DI84" s="2" t="s">
        <v>6</v>
      </c>
      <c r="DJ84" s="2" t="s">
        <v>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1010</v>
      </c>
      <c r="DV84" s="2" t="s">
        <v>166</v>
      </c>
      <c r="DW84" s="2" t="s">
        <v>166</v>
      </c>
      <c r="DX84" s="2">
        <v>1</v>
      </c>
      <c r="DY84" s="2"/>
      <c r="DZ84" s="2"/>
      <c r="EA84" s="2"/>
      <c r="EB84" s="2"/>
      <c r="EC84" s="2"/>
      <c r="ED84" s="2"/>
      <c r="EE84" s="2">
        <v>16510486</v>
      </c>
      <c r="EF84" s="2">
        <v>2</v>
      </c>
      <c r="EG84" s="2" t="s">
        <v>21</v>
      </c>
      <c r="EH84" s="2">
        <v>0</v>
      </c>
      <c r="EI84" s="2" t="s">
        <v>6</v>
      </c>
      <c r="EJ84" s="2">
        <v>1</v>
      </c>
      <c r="EK84" s="2">
        <v>9001</v>
      </c>
      <c r="EL84" s="2" t="s">
        <v>41</v>
      </c>
      <c r="EM84" s="2" t="s">
        <v>42</v>
      </c>
      <c r="EN84" s="2"/>
      <c r="EO84" s="2" t="s">
        <v>6</v>
      </c>
      <c r="EP84" s="2"/>
      <c r="EQ84" s="2">
        <v>0</v>
      </c>
      <c r="ER84" s="2">
        <v>1777.38</v>
      </c>
      <c r="ES84" s="2">
        <v>1777.38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79"/>
        <v>0</v>
      </c>
      <c r="FS84" s="2">
        <v>0</v>
      </c>
      <c r="FT84" s="2" t="s">
        <v>25</v>
      </c>
      <c r="FU84" s="2" t="s">
        <v>26</v>
      </c>
      <c r="FV84" s="2"/>
      <c r="FW84" s="2"/>
      <c r="FX84" s="2">
        <v>81</v>
      </c>
      <c r="FY84" s="2">
        <v>72.25</v>
      </c>
      <c r="FZ84" s="2"/>
      <c r="GA84" s="2" t="s">
        <v>6</v>
      </c>
      <c r="GB84" s="2"/>
      <c r="GC84" s="2"/>
      <c r="GD84" s="2">
        <v>1</v>
      </c>
      <c r="GE84" s="2"/>
      <c r="GF84" s="2">
        <v>-2146585498</v>
      </c>
      <c r="GG84" s="2">
        <v>2</v>
      </c>
      <c r="GH84" s="2">
        <v>1</v>
      </c>
      <c r="GI84" s="2">
        <v>-2</v>
      </c>
      <c r="GJ84" s="2">
        <v>0</v>
      </c>
      <c r="GK84" s="2">
        <v>0</v>
      </c>
      <c r="GL84" s="2">
        <f t="shared" si="80"/>
        <v>0</v>
      </c>
      <c r="GM84" s="2">
        <f t="shared" si="81"/>
        <v>24883.32</v>
      </c>
      <c r="GN84" s="2">
        <f t="shared" si="82"/>
        <v>24883.32</v>
      </c>
      <c r="GO84" s="2">
        <f t="shared" si="83"/>
        <v>0</v>
      </c>
      <c r="GP84" s="2">
        <f t="shared" si="84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85"/>
        <v>0</v>
      </c>
      <c r="GW84" s="2">
        <v>1</v>
      </c>
      <c r="GX84" s="2">
        <f t="shared" si="86"/>
        <v>0</v>
      </c>
      <c r="GY84" s="2"/>
      <c r="GZ84" s="2"/>
      <c r="HA84" s="2">
        <v>0</v>
      </c>
      <c r="HB84" s="2">
        <v>0</v>
      </c>
      <c r="HC84" s="2">
        <f t="shared" si="87"/>
        <v>0</v>
      </c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260</v>
      </c>
      <c r="E85" t="s">
        <v>163</v>
      </c>
      <c r="F85" t="s">
        <v>164</v>
      </c>
      <c r="G85" t="s">
        <v>165</v>
      </c>
      <c r="H85" t="s">
        <v>166</v>
      </c>
      <c r="I85">
        <f>I81*J85</f>
        <v>14</v>
      </c>
      <c r="J85">
        <v>22.580645161290324</v>
      </c>
      <c r="O85">
        <f t="shared" si="54"/>
        <v>168460.08</v>
      </c>
      <c r="P85">
        <f t="shared" si="55"/>
        <v>168460.08</v>
      </c>
      <c r="Q85">
        <f t="shared" si="56"/>
        <v>0</v>
      </c>
      <c r="R85">
        <f t="shared" si="57"/>
        <v>0</v>
      </c>
      <c r="S85">
        <f t="shared" si="58"/>
        <v>0</v>
      </c>
      <c r="T85">
        <f t="shared" si="59"/>
        <v>0</v>
      </c>
      <c r="U85">
        <f t="shared" si="60"/>
        <v>0</v>
      </c>
      <c r="V85">
        <f t="shared" si="61"/>
        <v>0</v>
      </c>
      <c r="W85">
        <f t="shared" si="62"/>
        <v>0</v>
      </c>
      <c r="X85">
        <f t="shared" si="63"/>
        <v>0</v>
      </c>
      <c r="Y85">
        <f t="shared" si="64"/>
        <v>0</v>
      </c>
      <c r="AA85">
        <v>16856228</v>
      </c>
      <c r="AB85">
        <f t="shared" si="65"/>
        <v>1777.38</v>
      </c>
      <c r="AC85">
        <f t="shared" si="95"/>
        <v>1777.38</v>
      </c>
      <c r="AD85">
        <f t="shared" si="96"/>
        <v>0</v>
      </c>
      <c r="AE85">
        <f t="shared" si="97"/>
        <v>0</v>
      </c>
      <c r="AF85">
        <f t="shared" si="97"/>
        <v>0</v>
      </c>
      <c r="AG85">
        <f t="shared" si="66"/>
        <v>0</v>
      </c>
      <c r="AH85">
        <f t="shared" si="98"/>
        <v>0</v>
      </c>
      <c r="AI85">
        <f t="shared" si="98"/>
        <v>0</v>
      </c>
      <c r="AJ85">
        <f t="shared" si="67"/>
        <v>0</v>
      </c>
      <c r="AK85">
        <v>1777.38</v>
      </c>
      <c r="AL85">
        <v>1777.38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81</v>
      </c>
      <c r="AU85">
        <v>72</v>
      </c>
      <c r="AV85">
        <v>1</v>
      </c>
      <c r="AW85">
        <v>1</v>
      </c>
      <c r="AZ85">
        <v>6.77</v>
      </c>
      <c r="BA85">
        <v>1</v>
      </c>
      <c r="BB85">
        <v>1</v>
      </c>
      <c r="BC85">
        <v>6.77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167</v>
      </c>
      <c r="BM85">
        <v>9001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90</v>
      </c>
      <c r="CA85">
        <v>85</v>
      </c>
      <c r="CE85">
        <v>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68"/>
        <v>168460.08</v>
      </c>
      <c r="CQ85">
        <f t="shared" si="69"/>
        <v>12032.8626</v>
      </c>
      <c r="CR85">
        <f t="shared" si="70"/>
        <v>0</v>
      </c>
      <c r="CS85">
        <f t="shared" si="71"/>
        <v>0</v>
      </c>
      <c r="CT85">
        <f t="shared" si="72"/>
        <v>0</v>
      </c>
      <c r="CU85">
        <f t="shared" si="73"/>
        <v>0</v>
      </c>
      <c r="CV85">
        <f t="shared" si="74"/>
        <v>0</v>
      </c>
      <c r="CW85">
        <f t="shared" si="75"/>
        <v>0</v>
      </c>
      <c r="CX85">
        <f t="shared" si="76"/>
        <v>0</v>
      </c>
      <c r="CY85">
        <f t="shared" si="77"/>
        <v>0</v>
      </c>
      <c r="CZ85">
        <f t="shared" si="78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1010</v>
      </c>
      <c r="DV85" t="s">
        <v>166</v>
      </c>
      <c r="DW85" t="s">
        <v>166</v>
      </c>
      <c r="DX85">
        <v>1</v>
      </c>
      <c r="EE85">
        <v>16510486</v>
      </c>
      <c r="EF85">
        <v>2</v>
      </c>
      <c r="EG85" t="s">
        <v>21</v>
      </c>
      <c r="EH85">
        <v>0</v>
      </c>
      <c r="EI85" t="s">
        <v>6</v>
      </c>
      <c r="EJ85">
        <v>1</v>
      </c>
      <c r="EK85">
        <v>9001</v>
      </c>
      <c r="EL85" t="s">
        <v>41</v>
      </c>
      <c r="EM85" t="s">
        <v>42</v>
      </c>
      <c r="EO85" t="s">
        <v>6</v>
      </c>
      <c r="EQ85">
        <v>0</v>
      </c>
      <c r="ER85">
        <v>1777.38</v>
      </c>
      <c r="ES85">
        <v>1777.38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79"/>
        <v>0</v>
      </c>
      <c r="FS85">
        <v>0</v>
      </c>
      <c r="FT85" t="s">
        <v>25</v>
      </c>
      <c r="FU85" t="s">
        <v>26</v>
      </c>
      <c r="FX85">
        <v>81</v>
      </c>
      <c r="FY85">
        <v>72.25</v>
      </c>
      <c r="GA85" t="s">
        <v>6</v>
      </c>
      <c r="GD85">
        <v>1</v>
      </c>
      <c r="GF85">
        <v>-2146585498</v>
      </c>
      <c r="GG85">
        <v>1</v>
      </c>
      <c r="GH85">
        <v>1</v>
      </c>
      <c r="GI85">
        <v>4</v>
      </c>
      <c r="GJ85">
        <v>0</v>
      </c>
      <c r="GK85">
        <v>0</v>
      </c>
      <c r="GL85">
        <f t="shared" si="80"/>
        <v>0</v>
      </c>
      <c r="GM85">
        <f t="shared" si="81"/>
        <v>168460.08</v>
      </c>
      <c r="GN85">
        <f t="shared" si="82"/>
        <v>168460.08</v>
      </c>
      <c r="GO85">
        <f t="shared" si="83"/>
        <v>0</v>
      </c>
      <c r="GP85">
        <f t="shared" si="84"/>
        <v>0</v>
      </c>
      <c r="GR85">
        <v>0</v>
      </c>
      <c r="GS85">
        <v>3</v>
      </c>
      <c r="GT85">
        <v>0</v>
      </c>
      <c r="GU85" t="s">
        <v>6</v>
      </c>
      <c r="GV85">
        <f t="shared" si="85"/>
        <v>0</v>
      </c>
      <c r="GW85">
        <v>1</v>
      </c>
      <c r="GX85">
        <f t="shared" si="86"/>
        <v>0</v>
      </c>
      <c r="HA85">
        <v>0</v>
      </c>
      <c r="HB85">
        <v>0</v>
      </c>
      <c r="HC85">
        <f t="shared" si="87"/>
        <v>0</v>
      </c>
      <c r="IK85">
        <v>0</v>
      </c>
    </row>
    <row r="86" spans="1:255" x14ac:dyDescent="0.2">
      <c r="A86" s="2">
        <v>17</v>
      </c>
      <c r="B86" s="2">
        <v>1</v>
      </c>
      <c r="C86" s="2">
        <f>ROW(SmtRes!A264)</f>
        <v>264</v>
      </c>
      <c r="D86" s="2">
        <f>ROW(EtalonRes!A266)</f>
        <v>266</v>
      </c>
      <c r="E86" s="2" t="s">
        <v>168</v>
      </c>
      <c r="F86" s="2" t="s">
        <v>169</v>
      </c>
      <c r="G86" s="2" t="s">
        <v>170</v>
      </c>
      <c r="H86" s="2" t="s">
        <v>37</v>
      </c>
      <c r="I86" s="2">
        <v>22.61</v>
      </c>
      <c r="J86" s="2">
        <v>0</v>
      </c>
      <c r="K86" s="2"/>
      <c r="L86" s="2"/>
      <c r="M86" s="2"/>
      <c r="N86" s="2"/>
      <c r="O86" s="2">
        <f t="shared" si="54"/>
        <v>538.34</v>
      </c>
      <c r="P86" s="2">
        <f t="shared" si="55"/>
        <v>370.8</v>
      </c>
      <c r="Q86" s="2">
        <f t="shared" si="56"/>
        <v>0</v>
      </c>
      <c r="R86" s="2">
        <f t="shared" si="57"/>
        <v>0</v>
      </c>
      <c r="S86" s="2">
        <f t="shared" si="58"/>
        <v>167.54</v>
      </c>
      <c r="T86" s="2">
        <f t="shared" si="59"/>
        <v>0</v>
      </c>
      <c r="U86" s="2">
        <f t="shared" si="60"/>
        <v>23.2883</v>
      </c>
      <c r="V86" s="2">
        <f t="shared" si="61"/>
        <v>0</v>
      </c>
      <c r="W86" s="2">
        <f t="shared" si="62"/>
        <v>0</v>
      </c>
      <c r="X86" s="2">
        <f t="shared" si="63"/>
        <v>130.68</v>
      </c>
      <c r="Y86" s="2">
        <f t="shared" si="64"/>
        <v>83.77</v>
      </c>
      <c r="Z86" s="2"/>
      <c r="AA86" s="2">
        <v>16856227</v>
      </c>
      <c r="AB86" s="2">
        <f t="shared" si="65"/>
        <v>23.81</v>
      </c>
      <c r="AC86" s="2">
        <f t="shared" si="95"/>
        <v>16.399999999999999</v>
      </c>
      <c r="AD86" s="2">
        <f t="shared" si="96"/>
        <v>0</v>
      </c>
      <c r="AE86" s="2">
        <f t="shared" si="97"/>
        <v>0</v>
      </c>
      <c r="AF86" s="2">
        <f t="shared" si="97"/>
        <v>7.41</v>
      </c>
      <c r="AG86" s="2">
        <f t="shared" si="66"/>
        <v>0</v>
      </c>
      <c r="AH86" s="2">
        <f t="shared" si="98"/>
        <v>1.03</v>
      </c>
      <c r="AI86" s="2">
        <f t="shared" si="98"/>
        <v>0</v>
      </c>
      <c r="AJ86" s="2">
        <f t="shared" si="67"/>
        <v>0</v>
      </c>
      <c r="AK86" s="2">
        <v>23.81</v>
      </c>
      <c r="AL86" s="2">
        <v>16.399999999999999</v>
      </c>
      <c r="AM86" s="2">
        <v>0</v>
      </c>
      <c r="AN86" s="2">
        <v>0</v>
      </c>
      <c r="AO86" s="2">
        <v>7.41</v>
      </c>
      <c r="AP86" s="2">
        <v>0</v>
      </c>
      <c r="AQ86" s="2">
        <v>1.03</v>
      </c>
      <c r="AR86" s="2">
        <v>0</v>
      </c>
      <c r="AS86" s="2">
        <v>0</v>
      </c>
      <c r="AT86" s="2">
        <v>78</v>
      </c>
      <c r="AU86" s="2">
        <v>50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0</v>
      </c>
      <c r="BI86" s="2">
        <v>1</v>
      </c>
      <c r="BJ86" s="2" t="s">
        <v>171</v>
      </c>
      <c r="BK86" s="2"/>
      <c r="BL86" s="2"/>
      <c r="BM86" s="2">
        <v>69001</v>
      </c>
      <c r="BN86" s="2">
        <v>0</v>
      </c>
      <c r="BO86" s="2" t="s">
        <v>6</v>
      </c>
      <c r="BP86" s="2">
        <v>0</v>
      </c>
      <c r="BQ86" s="2">
        <v>6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78</v>
      </c>
      <c r="CA86" s="2">
        <v>50</v>
      </c>
      <c r="CB86" s="2"/>
      <c r="CC86" s="2"/>
      <c r="CD86" s="2"/>
      <c r="CE86" s="2">
        <v>0</v>
      </c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68"/>
        <v>538.34</v>
      </c>
      <c r="CQ86" s="2">
        <f t="shared" si="69"/>
        <v>16.399999999999999</v>
      </c>
      <c r="CR86" s="2">
        <f t="shared" si="70"/>
        <v>0</v>
      </c>
      <c r="CS86" s="2">
        <f t="shared" si="71"/>
        <v>0</v>
      </c>
      <c r="CT86" s="2">
        <f t="shared" si="72"/>
        <v>7.41</v>
      </c>
      <c r="CU86" s="2">
        <f t="shared" si="73"/>
        <v>0</v>
      </c>
      <c r="CV86" s="2">
        <f t="shared" si="74"/>
        <v>1.03</v>
      </c>
      <c r="CW86" s="2">
        <f t="shared" si="75"/>
        <v>0</v>
      </c>
      <c r="CX86" s="2">
        <f t="shared" si="76"/>
        <v>0</v>
      </c>
      <c r="CY86" s="2">
        <f t="shared" si="77"/>
        <v>130.68119999999999</v>
      </c>
      <c r="CZ86" s="2">
        <f t="shared" si="78"/>
        <v>83.77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1009</v>
      </c>
      <c r="DV86" s="2" t="s">
        <v>37</v>
      </c>
      <c r="DW86" s="2" t="s">
        <v>37</v>
      </c>
      <c r="DX86" s="2">
        <v>1000</v>
      </c>
      <c r="DY86" s="2"/>
      <c r="DZ86" s="2"/>
      <c r="EA86" s="2"/>
      <c r="EB86" s="2"/>
      <c r="EC86" s="2"/>
      <c r="ED86" s="2"/>
      <c r="EE86" s="2">
        <v>16510614</v>
      </c>
      <c r="EF86" s="2">
        <v>6</v>
      </c>
      <c r="EG86" s="2" t="s">
        <v>49</v>
      </c>
      <c r="EH86" s="2">
        <v>0</v>
      </c>
      <c r="EI86" s="2" t="s">
        <v>6</v>
      </c>
      <c r="EJ86" s="2">
        <v>1</v>
      </c>
      <c r="EK86" s="2">
        <v>69001</v>
      </c>
      <c r="EL86" s="2" t="s">
        <v>172</v>
      </c>
      <c r="EM86" s="2" t="s">
        <v>173</v>
      </c>
      <c r="EN86" s="2"/>
      <c r="EO86" s="2" t="s">
        <v>6</v>
      </c>
      <c r="EP86" s="2"/>
      <c r="EQ86" s="2">
        <v>0</v>
      </c>
      <c r="ER86" s="2">
        <v>23.81</v>
      </c>
      <c r="ES86" s="2">
        <v>16.399999999999999</v>
      </c>
      <c r="ET86" s="2">
        <v>0</v>
      </c>
      <c r="EU86" s="2">
        <v>0</v>
      </c>
      <c r="EV86" s="2">
        <v>7.41</v>
      </c>
      <c r="EW86" s="2">
        <v>1.03</v>
      </c>
      <c r="EX86" s="2">
        <v>0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79"/>
        <v>0</v>
      </c>
      <c r="FS86" s="2">
        <v>0</v>
      </c>
      <c r="FT86" s="2"/>
      <c r="FU86" s="2"/>
      <c r="FV86" s="2"/>
      <c r="FW86" s="2"/>
      <c r="FX86" s="2">
        <v>78</v>
      </c>
      <c r="FY86" s="2">
        <v>50</v>
      </c>
      <c r="FZ86" s="2"/>
      <c r="GA86" s="2" t="s">
        <v>6</v>
      </c>
      <c r="GB86" s="2"/>
      <c r="GC86" s="2"/>
      <c r="GD86" s="2">
        <v>1</v>
      </c>
      <c r="GE86" s="2"/>
      <c r="GF86" s="2">
        <v>-38060493</v>
      </c>
      <c r="GG86" s="2">
        <v>2</v>
      </c>
      <c r="GH86" s="2">
        <v>1</v>
      </c>
      <c r="GI86" s="2">
        <v>-2</v>
      </c>
      <c r="GJ86" s="2">
        <v>0</v>
      </c>
      <c r="GK86" s="2">
        <v>0</v>
      </c>
      <c r="GL86" s="2">
        <f t="shared" si="80"/>
        <v>0</v>
      </c>
      <c r="GM86" s="2">
        <f t="shared" si="81"/>
        <v>752.79</v>
      </c>
      <c r="GN86" s="2">
        <f t="shared" si="82"/>
        <v>752.79</v>
      </c>
      <c r="GO86" s="2">
        <f t="shared" si="83"/>
        <v>0</v>
      </c>
      <c r="GP86" s="2">
        <f t="shared" si="84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85"/>
        <v>0</v>
      </c>
      <c r="GW86" s="2">
        <v>1</v>
      </c>
      <c r="GX86" s="2">
        <f t="shared" si="86"/>
        <v>0</v>
      </c>
      <c r="GY86" s="2"/>
      <c r="GZ86" s="2"/>
      <c r="HA86" s="2">
        <v>0</v>
      </c>
      <c r="HB86" s="2">
        <v>0</v>
      </c>
      <c r="HC86" s="2">
        <f t="shared" si="87"/>
        <v>0</v>
      </c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17</v>
      </c>
      <c r="B87">
        <v>1</v>
      </c>
      <c r="C87">
        <f>ROW(SmtRes!A266)</f>
        <v>266</v>
      </c>
      <c r="D87">
        <f>ROW(EtalonRes!A268)</f>
        <v>268</v>
      </c>
      <c r="E87" t="s">
        <v>168</v>
      </c>
      <c r="F87" t="s">
        <v>169</v>
      </c>
      <c r="G87" t="s">
        <v>170</v>
      </c>
      <c r="H87" t="s">
        <v>37</v>
      </c>
      <c r="I87">
        <v>22.61</v>
      </c>
      <c r="J87">
        <v>0</v>
      </c>
      <c r="O87">
        <f t="shared" si="54"/>
        <v>3644.59</v>
      </c>
      <c r="P87">
        <f t="shared" si="55"/>
        <v>2510.34</v>
      </c>
      <c r="Q87">
        <f t="shared" si="56"/>
        <v>0</v>
      </c>
      <c r="R87">
        <f t="shared" si="57"/>
        <v>0</v>
      </c>
      <c r="S87">
        <f t="shared" si="58"/>
        <v>1134.25</v>
      </c>
      <c r="T87">
        <f t="shared" si="59"/>
        <v>0</v>
      </c>
      <c r="U87">
        <f t="shared" si="60"/>
        <v>23.2883</v>
      </c>
      <c r="V87">
        <f t="shared" si="61"/>
        <v>0</v>
      </c>
      <c r="W87">
        <f t="shared" si="62"/>
        <v>0</v>
      </c>
      <c r="X87">
        <f t="shared" si="63"/>
        <v>884.72</v>
      </c>
      <c r="Y87">
        <f t="shared" si="64"/>
        <v>567.13</v>
      </c>
      <c r="AA87">
        <v>16856228</v>
      </c>
      <c r="AB87">
        <f t="shared" si="65"/>
        <v>23.81</v>
      </c>
      <c r="AC87">
        <f t="shared" si="95"/>
        <v>16.399999999999999</v>
      </c>
      <c r="AD87">
        <f t="shared" si="96"/>
        <v>0</v>
      </c>
      <c r="AE87">
        <f t="shared" si="97"/>
        <v>0</v>
      </c>
      <c r="AF87">
        <f t="shared" si="97"/>
        <v>7.41</v>
      </c>
      <c r="AG87">
        <f t="shared" si="66"/>
        <v>0</v>
      </c>
      <c r="AH87">
        <f t="shared" si="98"/>
        <v>1.03</v>
      </c>
      <c r="AI87">
        <f t="shared" si="98"/>
        <v>0</v>
      </c>
      <c r="AJ87">
        <f t="shared" si="67"/>
        <v>0</v>
      </c>
      <c r="AK87">
        <v>23.81</v>
      </c>
      <c r="AL87">
        <v>16.399999999999999</v>
      </c>
      <c r="AM87">
        <v>0</v>
      </c>
      <c r="AN87">
        <v>0</v>
      </c>
      <c r="AO87">
        <v>7.41</v>
      </c>
      <c r="AP87">
        <v>0</v>
      </c>
      <c r="AQ87">
        <v>1.03</v>
      </c>
      <c r="AR87">
        <v>0</v>
      </c>
      <c r="AS87">
        <v>0</v>
      </c>
      <c r="AT87">
        <v>78</v>
      </c>
      <c r="AU87">
        <v>50</v>
      </c>
      <c r="AV87">
        <v>1</v>
      </c>
      <c r="AW87">
        <v>1</v>
      </c>
      <c r="AZ87">
        <v>6.77</v>
      </c>
      <c r="BA87">
        <v>6.77</v>
      </c>
      <c r="BB87">
        <v>6.77</v>
      </c>
      <c r="BC87">
        <v>6.77</v>
      </c>
      <c r="BD87" t="s">
        <v>6</v>
      </c>
      <c r="BE87" t="s">
        <v>6</v>
      </c>
      <c r="BF87" t="s">
        <v>6</v>
      </c>
      <c r="BG87" t="s">
        <v>6</v>
      </c>
      <c r="BH87">
        <v>0</v>
      </c>
      <c r="BI87">
        <v>1</v>
      </c>
      <c r="BJ87" t="s">
        <v>171</v>
      </c>
      <c r="BM87">
        <v>69001</v>
      </c>
      <c r="BN87">
        <v>0</v>
      </c>
      <c r="BO87" t="s">
        <v>6</v>
      </c>
      <c r="BP87">
        <v>0</v>
      </c>
      <c r="BQ87">
        <v>6</v>
      </c>
      <c r="BR87">
        <v>0</v>
      </c>
      <c r="BS87">
        <v>6.77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78</v>
      </c>
      <c r="CA87">
        <v>50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68"/>
        <v>3644.59</v>
      </c>
      <c r="CQ87">
        <f t="shared" si="69"/>
        <v>111.02799999999998</v>
      </c>
      <c r="CR87">
        <f t="shared" si="70"/>
        <v>0</v>
      </c>
      <c r="CS87">
        <f t="shared" si="71"/>
        <v>0</v>
      </c>
      <c r="CT87">
        <f t="shared" si="72"/>
        <v>50.165700000000001</v>
      </c>
      <c r="CU87">
        <f t="shared" si="73"/>
        <v>0</v>
      </c>
      <c r="CV87">
        <f t="shared" si="74"/>
        <v>1.03</v>
      </c>
      <c r="CW87">
        <f t="shared" si="75"/>
        <v>0</v>
      </c>
      <c r="CX87">
        <f t="shared" si="76"/>
        <v>0</v>
      </c>
      <c r="CY87">
        <f t="shared" si="77"/>
        <v>884.71500000000003</v>
      </c>
      <c r="CZ87">
        <f t="shared" si="78"/>
        <v>567.125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37</v>
      </c>
      <c r="DW87" t="s">
        <v>37</v>
      </c>
      <c r="DX87">
        <v>1000</v>
      </c>
      <c r="EE87">
        <v>16510614</v>
      </c>
      <c r="EF87">
        <v>6</v>
      </c>
      <c r="EG87" t="s">
        <v>49</v>
      </c>
      <c r="EH87">
        <v>0</v>
      </c>
      <c r="EI87" t="s">
        <v>6</v>
      </c>
      <c r="EJ87">
        <v>1</v>
      </c>
      <c r="EK87">
        <v>69001</v>
      </c>
      <c r="EL87" t="s">
        <v>172</v>
      </c>
      <c r="EM87" t="s">
        <v>173</v>
      </c>
      <c r="EO87" t="s">
        <v>6</v>
      </c>
      <c r="EQ87">
        <v>0</v>
      </c>
      <c r="ER87">
        <v>23.81</v>
      </c>
      <c r="ES87">
        <v>16.399999999999999</v>
      </c>
      <c r="ET87">
        <v>0</v>
      </c>
      <c r="EU87">
        <v>0</v>
      </c>
      <c r="EV87">
        <v>7.41</v>
      </c>
      <c r="EW87">
        <v>1.03</v>
      </c>
      <c r="EX87">
        <v>0</v>
      </c>
      <c r="EY87">
        <v>0</v>
      </c>
      <c r="FQ87">
        <v>0</v>
      </c>
      <c r="FR87">
        <f t="shared" si="79"/>
        <v>0</v>
      </c>
      <c r="FS87">
        <v>0</v>
      </c>
      <c r="FX87">
        <v>78</v>
      </c>
      <c r="FY87">
        <v>50</v>
      </c>
      <c r="GA87" t="s">
        <v>6</v>
      </c>
      <c r="GD87">
        <v>1</v>
      </c>
      <c r="GF87">
        <v>-38060493</v>
      </c>
      <c r="GG87">
        <v>1</v>
      </c>
      <c r="GH87">
        <v>1</v>
      </c>
      <c r="GI87">
        <v>4</v>
      </c>
      <c r="GJ87">
        <v>0</v>
      </c>
      <c r="GK87">
        <v>0</v>
      </c>
      <c r="GL87">
        <f t="shared" si="80"/>
        <v>0</v>
      </c>
      <c r="GM87">
        <f t="shared" si="81"/>
        <v>5096.4399999999996</v>
      </c>
      <c r="GN87">
        <f t="shared" si="82"/>
        <v>5096.4399999999996</v>
      </c>
      <c r="GO87">
        <f t="shared" si="83"/>
        <v>0</v>
      </c>
      <c r="GP87">
        <f t="shared" si="84"/>
        <v>0</v>
      </c>
      <c r="GR87">
        <v>0</v>
      </c>
      <c r="GS87">
        <v>3</v>
      </c>
      <c r="GT87">
        <v>0</v>
      </c>
      <c r="GU87" t="s">
        <v>6</v>
      </c>
      <c r="GV87">
        <f t="shared" si="85"/>
        <v>0</v>
      </c>
      <c r="GW87">
        <v>1</v>
      </c>
      <c r="GX87">
        <f t="shared" si="86"/>
        <v>0</v>
      </c>
      <c r="HA87">
        <v>0</v>
      </c>
      <c r="HB87">
        <v>0</v>
      </c>
      <c r="HC87">
        <f t="shared" si="87"/>
        <v>0</v>
      </c>
      <c r="IK87">
        <v>0</v>
      </c>
    </row>
    <row r="88" spans="1:255" x14ac:dyDescent="0.2">
      <c r="A88" s="2">
        <v>17</v>
      </c>
      <c r="B88" s="2">
        <v>1</v>
      </c>
      <c r="C88" s="2"/>
      <c r="D88" s="2"/>
      <c r="E88" s="2" t="s">
        <v>174</v>
      </c>
      <c r="F88" s="2" t="s">
        <v>175</v>
      </c>
      <c r="G88" s="2" t="s">
        <v>176</v>
      </c>
      <c r="H88" s="2" t="s">
        <v>177</v>
      </c>
      <c r="I88" s="2">
        <v>22.61</v>
      </c>
      <c r="J88" s="2">
        <v>0</v>
      </c>
      <c r="K88" s="2"/>
      <c r="L88" s="2"/>
      <c r="M88" s="2"/>
      <c r="N88" s="2"/>
      <c r="O88" s="2">
        <f>0</f>
        <v>0</v>
      </c>
      <c r="P88" s="2">
        <f>0</f>
        <v>0</v>
      </c>
      <c r="Q88" s="2">
        <f>0</f>
        <v>0</v>
      </c>
      <c r="R88" s="2">
        <f>0</f>
        <v>0</v>
      </c>
      <c r="S88" s="2">
        <f>0</f>
        <v>0</v>
      </c>
      <c r="T88" s="2">
        <f>0</f>
        <v>0</v>
      </c>
      <c r="U88" s="2">
        <f>0</f>
        <v>0</v>
      </c>
      <c r="V88" s="2">
        <f>0</f>
        <v>0</v>
      </c>
      <c r="W88" s="2">
        <f>0</f>
        <v>0</v>
      </c>
      <c r="X88" s="2">
        <f>0</f>
        <v>0</v>
      </c>
      <c r="Y88" s="2">
        <f>0</f>
        <v>0</v>
      </c>
      <c r="Z88" s="2"/>
      <c r="AA88" s="2">
        <v>16856227</v>
      </c>
      <c r="AB88" s="2">
        <f>ROUND((AK88),6)</f>
        <v>42.98</v>
      </c>
      <c r="AC88" s="2">
        <f>0</f>
        <v>0</v>
      </c>
      <c r="AD88" s="2">
        <f>0</f>
        <v>0</v>
      </c>
      <c r="AE88" s="2">
        <f>0</f>
        <v>0</v>
      </c>
      <c r="AF88" s="2">
        <f>0</f>
        <v>0</v>
      </c>
      <c r="AG88" s="2">
        <f>0</f>
        <v>0</v>
      </c>
      <c r="AH88" s="2">
        <f>0</f>
        <v>0</v>
      </c>
      <c r="AI88" s="2">
        <f>0</f>
        <v>0</v>
      </c>
      <c r="AJ88" s="2">
        <f>0</f>
        <v>0</v>
      </c>
      <c r="AK88" s="2">
        <v>42.98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0</v>
      </c>
      <c r="BI88" s="2">
        <v>1</v>
      </c>
      <c r="BJ88" s="2" t="s">
        <v>178</v>
      </c>
      <c r="BK88" s="2"/>
      <c r="BL88" s="2"/>
      <c r="BM88" s="2">
        <v>700004</v>
      </c>
      <c r="BN88" s="2">
        <v>0</v>
      </c>
      <c r="BO88" s="2" t="s">
        <v>6</v>
      </c>
      <c r="BP88" s="2">
        <v>0</v>
      </c>
      <c r="BQ88" s="2">
        <v>19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0</v>
      </c>
      <c r="CA88" s="2">
        <v>0</v>
      </c>
      <c r="CB88" s="2"/>
      <c r="CC88" s="2"/>
      <c r="CD88" s="2"/>
      <c r="CE88" s="2">
        <v>0</v>
      </c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>AB88*AZ88</f>
        <v>42.98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1013</v>
      </c>
      <c r="DV88" s="2" t="s">
        <v>177</v>
      </c>
      <c r="DW88" s="2" t="s">
        <v>177</v>
      </c>
      <c r="DX88" s="2">
        <v>1</v>
      </c>
      <c r="DY88" s="2"/>
      <c r="DZ88" s="2"/>
      <c r="EA88" s="2"/>
      <c r="EB88" s="2"/>
      <c r="EC88" s="2"/>
      <c r="ED88" s="2"/>
      <c r="EE88" s="2">
        <v>16510675</v>
      </c>
      <c r="EF88" s="2">
        <v>19</v>
      </c>
      <c r="EG88" s="2" t="s">
        <v>179</v>
      </c>
      <c r="EH88" s="2">
        <v>0</v>
      </c>
      <c r="EI88" s="2" t="s">
        <v>6</v>
      </c>
      <c r="EJ88" s="2">
        <v>1</v>
      </c>
      <c r="EK88" s="2">
        <v>700004</v>
      </c>
      <c r="EL88" s="2" t="s">
        <v>180</v>
      </c>
      <c r="EM88" s="2" t="s">
        <v>181</v>
      </c>
      <c r="EN88" s="2"/>
      <c r="EO88" s="2" t="s">
        <v>6</v>
      </c>
      <c r="EP88" s="2"/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79"/>
        <v>0</v>
      </c>
      <c r="FS88" s="2">
        <v>0</v>
      </c>
      <c r="FT88" s="2"/>
      <c r="FU88" s="2"/>
      <c r="FV88" s="2"/>
      <c r="FW88" s="2"/>
      <c r="FX88" s="2">
        <v>0</v>
      </c>
      <c r="FY88" s="2">
        <v>0</v>
      </c>
      <c r="FZ88" s="2"/>
      <c r="GA88" s="2" t="s">
        <v>6</v>
      </c>
      <c r="GB88" s="2"/>
      <c r="GC88" s="2"/>
      <c r="GD88" s="2">
        <v>1</v>
      </c>
      <c r="GE88" s="2"/>
      <c r="GF88" s="2">
        <v>811861299</v>
      </c>
      <c r="GG88" s="2">
        <v>2</v>
      </c>
      <c r="GH88" s="2">
        <v>1</v>
      </c>
      <c r="GI88" s="2">
        <v>-2</v>
      </c>
      <c r="GJ88" s="2">
        <v>2</v>
      </c>
      <c r="GK88" s="2">
        <v>0</v>
      </c>
      <c r="GL88" s="2">
        <f t="shared" si="80"/>
        <v>0</v>
      </c>
      <c r="GM88" s="2">
        <f>ROUND(CP88*I88,2)</f>
        <v>971.78</v>
      </c>
      <c r="GN88" s="2">
        <f>IF(OR(BI88=0,BI88=1),ROUND(CP88*I88,2),0)</f>
        <v>971.78</v>
      </c>
      <c r="GO88" s="2">
        <f>IF(BI88=2,ROUND(CP88*I88,2),0)</f>
        <v>0</v>
      </c>
      <c r="GP88" s="2">
        <f>IF(BI88=4,ROUND(CP88*I88,2)+GX88,0)</f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>0</f>
        <v>0</v>
      </c>
      <c r="GW88" s="2">
        <v>1</v>
      </c>
      <c r="GX88" s="2">
        <f>0</f>
        <v>0</v>
      </c>
      <c r="GY88" s="2"/>
      <c r="GZ88" s="2"/>
      <c r="HA88" s="2">
        <v>0</v>
      </c>
      <c r="HB88" s="2">
        <v>0</v>
      </c>
      <c r="HC88" s="2">
        <v>0</v>
      </c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E89" t="s">
        <v>174</v>
      </c>
      <c r="F89" t="s">
        <v>175</v>
      </c>
      <c r="G89" t="s">
        <v>176</v>
      </c>
      <c r="H89" t="s">
        <v>177</v>
      </c>
      <c r="I89">
        <v>22.61</v>
      </c>
      <c r="J89">
        <v>0</v>
      </c>
      <c r="O89">
        <f>0</f>
        <v>0</v>
      </c>
      <c r="P89">
        <f>0</f>
        <v>0</v>
      </c>
      <c r="Q89">
        <f>0</f>
        <v>0</v>
      </c>
      <c r="R89">
        <f>0</f>
        <v>0</v>
      </c>
      <c r="S89">
        <f>0</f>
        <v>0</v>
      </c>
      <c r="T89">
        <f>0</f>
        <v>0</v>
      </c>
      <c r="U89">
        <f>0</f>
        <v>0</v>
      </c>
      <c r="V89">
        <f>0</f>
        <v>0</v>
      </c>
      <c r="W89">
        <f>0</f>
        <v>0</v>
      </c>
      <c r="X89">
        <f>0</f>
        <v>0</v>
      </c>
      <c r="Y89">
        <f>0</f>
        <v>0</v>
      </c>
      <c r="AA89">
        <v>16856228</v>
      </c>
      <c r="AB89">
        <f>ROUND((AK89),6)</f>
        <v>42.98</v>
      </c>
      <c r="AC89">
        <f>0</f>
        <v>0</v>
      </c>
      <c r="AD89">
        <f>0</f>
        <v>0</v>
      </c>
      <c r="AE89">
        <f>0</f>
        <v>0</v>
      </c>
      <c r="AF89">
        <f>0</f>
        <v>0</v>
      </c>
      <c r="AG89">
        <f>0</f>
        <v>0</v>
      </c>
      <c r="AH89">
        <f>0</f>
        <v>0</v>
      </c>
      <c r="AI89">
        <f>0</f>
        <v>0</v>
      </c>
      <c r="AJ89">
        <f>0</f>
        <v>0</v>
      </c>
      <c r="AK89">
        <v>42.98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1</v>
      </c>
      <c r="AW89">
        <v>1</v>
      </c>
      <c r="AZ89">
        <v>6.77</v>
      </c>
      <c r="BA89">
        <v>1</v>
      </c>
      <c r="BB89">
        <v>1</v>
      </c>
      <c r="BC89">
        <v>1</v>
      </c>
      <c r="BD89" t="s">
        <v>6</v>
      </c>
      <c r="BE89" t="s">
        <v>6</v>
      </c>
      <c r="BF89" t="s">
        <v>6</v>
      </c>
      <c r="BG89" t="s">
        <v>6</v>
      </c>
      <c r="BH89">
        <v>0</v>
      </c>
      <c r="BI89">
        <v>1</v>
      </c>
      <c r="BJ89" t="s">
        <v>178</v>
      </c>
      <c r="BM89">
        <v>700004</v>
      </c>
      <c r="BN89">
        <v>0</v>
      </c>
      <c r="BO89" t="s">
        <v>6</v>
      </c>
      <c r="BP89">
        <v>0</v>
      </c>
      <c r="BQ89">
        <v>19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0</v>
      </c>
      <c r="CA89">
        <v>0</v>
      </c>
      <c r="CE89">
        <v>0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>AB89*AZ89</f>
        <v>290.97459999999995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1013</v>
      </c>
      <c r="DV89" t="s">
        <v>177</v>
      </c>
      <c r="DW89" t="s">
        <v>177</v>
      </c>
      <c r="DX89">
        <v>1</v>
      </c>
      <c r="EE89">
        <v>16510675</v>
      </c>
      <c r="EF89">
        <v>19</v>
      </c>
      <c r="EG89" t="s">
        <v>179</v>
      </c>
      <c r="EH89">
        <v>0</v>
      </c>
      <c r="EI89" t="s">
        <v>6</v>
      </c>
      <c r="EJ89">
        <v>1</v>
      </c>
      <c r="EK89">
        <v>700004</v>
      </c>
      <c r="EL89" t="s">
        <v>180</v>
      </c>
      <c r="EM89" t="s">
        <v>181</v>
      </c>
      <c r="EO89" t="s">
        <v>6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FQ89">
        <v>0</v>
      </c>
      <c r="FR89">
        <f t="shared" si="79"/>
        <v>0</v>
      </c>
      <c r="FS89">
        <v>0</v>
      </c>
      <c r="FX89">
        <v>0</v>
      </c>
      <c r="FY89">
        <v>0</v>
      </c>
      <c r="GA89" t="s">
        <v>6</v>
      </c>
      <c r="GD89">
        <v>1</v>
      </c>
      <c r="GF89">
        <v>811861299</v>
      </c>
      <c r="GG89">
        <v>1</v>
      </c>
      <c r="GH89">
        <v>1</v>
      </c>
      <c r="GI89">
        <v>4</v>
      </c>
      <c r="GJ89">
        <v>2</v>
      </c>
      <c r="GK89">
        <v>0</v>
      </c>
      <c r="GL89">
        <f t="shared" si="80"/>
        <v>0</v>
      </c>
      <c r="GM89">
        <f>ROUND(CP89*I89,2)</f>
        <v>6578.94</v>
      </c>
      <c r="GN89">
        <f>IF(OR(BI89=0,BI89=1),ROUND(CP89*I89,2),0)</f>
        <v>6578.94</v>
      </c>
      <c r="GO89">
        <f>IF(BI89=2,ROUND(CP89*I89,2),0)</f>
        <v>0</v>
      </c>
      <c r="GP89">
        <f>IF(BI89=4,ROUND(CP89*I89,2)+GX89,0)</f>
        <v>0</v>
      </c>
      <c r="GR89">
        <v>0</v>
      </c>
      <c r="GS89">
        <v>3</v>
      </c>
      <c r="GT89">
        <v>0</v>
      </c>
      <c r="GU89" t="s">
        <v>6</v>
      </c>
      <c r="GV89">
        <f>0</f>
        <v>0</v>
      </c>
      <c r="GW89">
        <v>1</v>
      </c>
      <c r="GX89">
        <f>0</f>
        <v>0</v>
      </c>
      <c r="HA89">
        <v>0</v>
      </c>
      <c r="HB89">
        <v>0</v>
      </c>
      <c r="HC89">
        <v>0</v>
      </c>
      <c r="IK89">
        <v>0</v>
      </c>
    </row>
    <row r="90" spans="1:255" x14ac:dyDescent="0.2">
      <c r="A90" s="2">
        <v>17</v>
      </c>
      <c r="B90" s="2">
        <v>1</v>
      </c>
      <c r="C90" s="2"/>
      <c r="D90" s="2"/>
      <c r="E90" s="2" t="s">
        <v>182</v>
      </c>
      <c r="F90" s="2" t="s">
        <v>183</v>
      </c>
      <c r="G90" s="2" t="s">
        <v>184</v>
      </c>
      <c r="H90" s="2" t="s">
        <v>177</v>
      </c>
      <c r="I90" s="2">
        <v>22.61</v>
      </c>
      <c r="J90" s="2">
        <v>0</v>
      </c>
      <c r="K90" s="2"/>
      <c r="L90" s="2"/>
      <c r="M90" s="2"/>
      <c r="N90" s="2"/>
      <c r="O90" s="2">
        <f>0</f>
        <v>0</v>
      </c>
      <c r="P90" s="2">
        <f>0</f>
        <v>0</v>
      </c>
      <c r="Q90" s="2">
        <f>0</f>
        <v>0</v>
      </c>
      <c r="R90" s="2">
        <f>0</f>
        <v>0</v>
      </c>
      <c r="S90" s="2">
        <f>0</f>
        <v>0</v>
      </c>
      <c r="T90" s="2">
        <f>0</f>
        <v>0</v>
      </c>
      <c r="U90" s="2">
        <f>0</f>
        <v>0</v>
      </c>
      <c r="V90" s="2">
        <f>0</f>
        <v>0</v>
      </c>
      <c r="W90" s="2">
        <f>0</f>
        <v>0</v>
      </c>
      <c r="X90" s="2">
        <f>0</f>
        <v>0</v>
      </c>
      <c r="Y90" s="2">
        <f>0</f>
        <v>0</v>
      </c>
      <c r="Z90" s="2"/>
      <c r="AA90" s="2">
        <v>16856227</v>
      </c>
      <c r="AB90" s="2">
        <f>ROUND((AK90),6)</f>
        <v>19.54</v>
      </c>
      <c r="AC90" s="2">
        <f>0</f>
        <v>0</v>
      </c>
      <c r="AD90" s="2">
        <f>0</f>
        <v>0</v>
      </c>
      <c r="AE90" s="2">
        <f>0</f>
        <v>0</v>
      </c>
      <c r="AF90" s="2">
        <f>0</f>
        <v>0</v>
      </c>
      <c r="AG90" s="2">
        <f>0</f>
        <v>0</v>
      </c>
      <c r="AH90" s="2">
        <f>0</f>
        <v>0</v>
      </c>
      <c r="AI90" s="2">
        <f>0</f>
        <v>0</v>
      </c>
      <c r="AJ90" s="2">
        <f>0</f>
        <v>0</v>
      </c>
      <c r="AK90" s="2">
        <v>19.54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0</v>
      </c>
      <c r="BI90" s="2">
        <v>1</v>
      </c>
      <c r="BJ90" s="2" t="s">
        <v>185</v>
      </c>
      <c r="BK90" s="2"/>
      <c r="BL90" s="2"/>
      <c r="BM90" s="2">
        <v>700005</v>
      </c>
      <c r="BN90" s="2">
        <v>0</v>
      </c>
      <c r="BO90" s="2" t="s">
        <v>6</v>
      </c>
      <c r="BP90" s="2">
        <v>0</v>
      </c>
      <c r="BQ90" s="2">
        <v>10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0</v>
      </c>
      <c r="CA90" s="2">
        <v>0</v>
      </c>
      <c r="CB90" s="2"/>
      <c r="CC90" s="2"/>
      <c r="CD90" s="2"/>
      <c r="CE90" s="2">
        <v>0</v>
      </c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>AB90*AZ90</f>
        <v>19.54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1013</v>
      </c>
      <c r="DV90" s="2" t="s">
        <v>177</v>
      </c>
      <c r="DW90" s="2" t="s">
        <v>177</v>
      </c>
      <c r="DX90" s="2">
        <v>1</v>
      </c>
      <c r="DY90" s="2"/>
      <c r="DZ90" s="2"/>
      <c r="EA90" s="2"/>
      <c r="EB90" s="2"/>
      <c r="EC90" s="2"/>
      <c r="ED90" s="2"/>
      <c r="EE90" s="2">
        <v>16510679</v>
      </c>
      <c r="EF90" s="2">
        <v>10</v>
      </c>
      <c r="EG90" s="2" t="s">
        <v>186</v>
      </c>
      <c r="EH90" s="2">
        <v>0</v>
      </c>
      <c r="EI90" s="2" t="s">
        <v>6</v>
      </c>
      <c r="EJ90" s="2">
        <v>1</v>
      </c>
      <c r="EK90" s="2">
        <v>700005</v>
      </c>
      <c r="EL90" s="2" t="s">
        <v>187</v>
      </c>
      <c r="EM90" s="2" t="s">
        <v>188</v>
      </c>
      <c r="EN90" s="2"/>
      <c r="EO90" s="2" t="s">
        <v>6</v>
      </c>
      <c r="EP90" s="2"/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79"/>
        <v>0</v>
      </c>
      <c r="FS90" s="2">
        <v>0</v>
      </c>
      <c r="FT90" s="2"/>
      <c r="FU90" s="2"/>
      <c r="FV90" s="2"/>
      <c r="FW90" s="2"/>
      <c r="FX90" s="2">
        <v>0</v>
      </c>
      <c r="FY90" s="2">
        <v>0</v>
      </c>
      <c r="FZ90" s="2"/>
      <c r="GA90" s="2" t="s">
        <v>6</v>
      </c>
      <c r="GB90" s="2"/>
      <c r="GC90" s="2"/>
      <c r="GD90" s="2">
        <v>1</v>
      </c>
      <c r="GE90" s="2"/>
      <c r="GF90" s="2">
        <v>-587392605</v>
      </c>
      <c r="GG90" s="2">
        <v>2</v>
      </c>
      <c r="GH90" s="2">
        <v>1</v>
      </c>
      <c r="GI90" s="2">
        <v>-2</v>
      </c>
      <c r="GJ90" s="2">
        <v>2</v>
      </c>
      <c r="GK90" s="2">
        <v>0</v>
      </c>
      <c r="GL90" s="2">
        <f t="shared" si="80"/>
        <v>0</v>
      </c>
      <c r="GM90" s="2">
        <f>ROUND(CP90*I90,2)</f>
        <v>441.8</v>
      </c>
      <c r="GN90" s="2">
        <f>IF(OR(BI90=0,BI90=1),ROUND(CP90*I90,2),0)</f>
        <v>441.8</v>
      </c>
      <c r="GO90" s="2">
        <f>IF(BI90=2,ROUND(CP90*I90,2),0)</f>
        <v>0</v>
      </c>
      <c r="GP90" s="2">
        <f>IF(BI90=4,ROUND(CP90*I90,2)+GX90,0)</f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>0</f>
        <v>0</v>
      </c>
      <c r="GW90" s="2">
        <v>1</v>
      </c>
      <c r="GX90" s="2">
        <f>0</f>
        <v>0</v>
      </c>
      <c r="GY90" s="2"/>
      <c r="GZ90" s="2"/>
      <c r="HA90" s="2">
        <v>0</v>
      </c>
      <c r="HB90" s="2">
        <v>0</v>
      </c>
      <c r="HC90" s="2">
        <v>0</v>
      </c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E91" t="s">
        <v>182</v>
      </c>
      <c r="F91" t="s">
        <v>183</v>
      </c>
      <c r="G91" t="s">
        <v>184</v>
      </c>
      <c r="H91" t="s">
        <v>177</v>
      </c>
      <c r="I91">
        <v>22.61</v>
      </c>
      <c r="J91">
        <v>0</v>
      </c>
      <c r="O91">
        <f>0</f>
        <v>0</v>
      </c>
      <c r="P91">
        <f>0</f>
        <v>0</v>
      </c>
      <c r="Q91">
        <f>0</f>
        <v>0</v>
      </c>
      <c r="R91">
        <f>0</f>
        <v>0</v>
      </c>
      <c r="S91">
        <f>0</f>
        <v>0</v>
      </c>
      <c r="T91">
        <f>0</f>
        <v>0</v>
      </c>
      <c r="U91">
        <f>0</f>
        <v>0</v>
      </c>
      <c r="V91">
        <f>0</f>
        <v>0</v>
      </c>
      <c r="W91">
        <f>0</f>
        <v>0</v>
      </c>
      <c r="X91">
        <f>0</f>
        <v>0</v>
      </c>
      <c r="Y91">
        <f>0</f>
        <v>0</v>
      </c>
      <c r="AA91">
        <v>16856228</v>
      </c>
      <c r="AB91">
        <f>ROUND((AK91),6)</f>
        <v>19.54</v>
      </c>
      <c r="AC91">
        <f>0</f>
        <v>0</v>
      </c>
      <c r="AD91">
        <f>0</f>
        <v>0</v>
      </c>
      <c r="AE91">
        <f>0</f>
        <v>0</v>
      </c>
      <c r="AF91">
        <f>0</f>
        <v>0</v>
      </c>
      <c r="AG91">
        <f>0</f>
        <v>0</v>
      </c>
      <c r="AH91">
        <f>0</f>
        <v>0</v>
      </c>
      <c r="AI91">
        <f>0</f>
        <v>0</v>
      </c>
      <c r="AJ91">
        <f>0</f>
        <v>0</v>
      </c>
      <c r="AK91">
        <v>19.54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1</v>
      </c>
      <c r="AW91">
        <v>1</v>
      </c>
      <c r="AZ91">
        <v>6.77</v>
      </c>
      <c r="BA91">
        <v>1</v>
      </c>
      <c r="BB91">
        <v>1</v>
      </c>
      <c r="BC91">
        <v>1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185</v>
      </c>
      <c r="BM91">
        <v>700005</v>
      </c>
      <c r="BN91">
        <v>0</v>
      </c>
      <c r="BO91" t="s">
        <v>6</v>
      </c>
      <c r="BP91">
        <v>0</v>
      </c>
      <c r="BQ91">
        <v>10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0</v>
      </c>
      <c r="CA91">
        <v>0</v>
      </c>
      <c r="CE91">
        <v>0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>AB91*AZ91</f>
        <v>132.28579999999999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1013</v>
      </c>
      <c r="DV91" t="s">
        <v>177</v>
      </c>
      <c r="DW91" t="s">
        <v>177</v>
      </c>
      <c r="DX91">
        <v>1</v>
      </c>
      <c r="EE91">
        <v>16510679</v>
      </c>
      <c r="EF91">
        <v>10</v>
      </c>
      <c r="EG91" t="s">
        <v>186</v>
      </c>
      <c r="EH91">
        <v>0</v>
      </c>
      <c r="EI91" t="s">
        <v>6</v>
      </c>
      <c r="EJ91">
        <v>1</v>
      </c>
      <c r="EK91">
        <v>700005</v>
      </c>
      <c r="EL91" t="s">
        <v>187</v>
      </c>
      <c r="EM91" t="s">
        <v>188</v>
      </c>
      <c r="EO91" t="s">
        <v>6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FQ91">
        <v>0</v>
      </c>
      <c r="FR91">
        <f t="shared" si="79"/>
        <v>0</v>
      </c>
      <c r="FS91">
        <v>0</v>
      </c>
      <c r="FX91">
        <v>0</v>
      </c>
      <c r="FY91">
        <v>0</v>
      </c>
      <c r="GA91" t="s">
        <v>6</v>
      </c>
      <c r="GD91">
        <v>1</v>
      </c>
      <c r="GF91">
        <v>-587392605</v>
      </c>
      <c r="GG91">
        <v>1</v>
      </c>
      <c r="GH91">
        <v>1</v>
      </c>
      <c r="GI91">
        <v>4</v>
      </c>
      <c r="GJ91">
        <v>2</v>
      </c>
      <c r="GK91">
        <v>0</v>
      </c>
      <c r="GL91">
        <f t="shared" si="80"/>
        <v>0</v>
      </c>
      <c r="GM91">
        <f>ROUND(CP91*I91,2)</f>
        <v>2990.98</v>
      </c>
      <c r="GN91">
        <f>IF(OR(BI91=0,BI91=1),ROUND(CP91*I91,2),0)</f>
        <v>2990.98</v>
      </c>
      <c r="GO91">
        <f>IF(BI91=2,ROUND(CP91*I91,2),0)</f>
        <v>0</v>
      </c>
      <c r="GP91">
        <f>IF(BI91=4,ROUND(CP91*I91,2)+GX91,0)</f>
        <v>0</v>
      </c>
      <c r="GR91">
        <v>0</v>
      </c>
      <c r="GS91">
        <v>3</v>
      </c>
      <c r="GT91">
        <v>0</v>
      </c>
      <c r="GU91" t="s">
        <v>6</v>
      </c>
      <c r="GV91">
        <f>0</f>
        <v>0</v>
      </c>
      <c r="GW91">
        <v>1</v>
      </c>
      <c r="GX91">
        <f>0</f>
        <v>0</v>
      </c>
      <c r="HA91">
        <v>0</v>
      </c>
      <c r="HB91">
        <v>0</v>
      </c>
      <c r="HC91">
        <v>0</v>
      </c>
      <c r="IK91">
        <v>0</v>
      </c>
    </row>
    <row r="93" spans="1:255" x14ac:dyDescent="0.2">
      <c r="A93" s="3">
        <v>51</v>
      </c>
      <c r="B93" s="3">
        <f>B20</f>
        <v>1</v>
      </c>
      <c r="C93" s="3">
        <f>A20</f>
        <v>3</v>
      </c>
      <c r="D93" s="3">
        <f>ROW(A20)</f>
        <v>20</v>
      </c>
      <c r="E93" s="3"/>
      <c r="F93" s="3" t="str">
        <f>IF(F20&lt;&gt;"",F20,"")</f>
        <v>Новая локальная смета</v>
      </c>
      <c r="G93" s="3" t="str">
        <f>IF(G20&lt;&gt;"",G20,"")</f>
        <v>Новая локальная смета</v>
      </c>
      <c r="H93" s="3">
        <v>0</v>
      </c>
      <c r="I93" s="3"/>
      <c r="J93" s="3"/>
      <c r="K93" s="3"/>
      <c r="L93" s="3"/>
      <c r="M93" s="3"/>
      <c r="N93" s="3"/>
      <c r="O93" s="3">
        <f t="shared" ref="O93:T93" si="99">ROUND(AB93,2)</f>
        <v>125127.83</v>
      </c>
      <c r="P93" s="3">
        <f t="shared" si="99"/>
        <v>102513.61</v>
      </c>
      <c r="Q93" s="3">
        <f t="shared" si="99"/>
        <v>3654.3</v>
      </c>
      <c r="R93" s="3">
        <f t="shared" si="99"/>
        <v>662.75</v>
      </c>
      <c r="S93" s="3">
        <f t="shared" si="99"/>
        <v>18959.919999999998</v>
      </c>
      <c r="T93" s="3">
        <f t="shared" si="99"/>
        <v>0</v>
      </c>
      <c r="U93" s="3">
        <f>AH93</f>
        <v>2164.1171003000004</v>
      </c>
      <c r="V93" s="3">
        <f>AI93</f>
        <v>50.686992070000002</v>
      </c>
      <c r="W93" s="3">
        <f>ROUND(AJ93,2)</f>
        <v>0</v>
      </c>
      <c r="X93" s="3">
        <f>ROUND(AK93,2)</f>
        <v>18608.759999999998</v>
      </c>
      <c r="Y93" s="3">
        <f>ROUND(AL93,2)</f>
        <v>10857.43</v>
      </c>
      <c r="Z93" s="3"/>
      <c r="AA93" s="3"/>
      <c r="AB93" s="3">
        <f>ROUND(SUMIF(AA24:AA91,"=16856227",O24:O91),2)</f>
        <v>125127.83</v>
      </c>
      <c r="AC93" s="3">
        <f>ROUND(SUMIF(AA24:AA91,"=16856227",P24:P91),2)</f>
        <v>102513.61</v>
      </c>
      <c r="AD93" s="3">
        <f>ROUND(SUMIF(AA24:AA91,"=16856227",Q24:Q91),2)</f>
        <v>3654.3</v>
      </c>
      <c r="AE93" s="3">
        <f>ROUND(SUMIF(AA24:AA91,"=16856227",R24:R91),2)</f>
        <v>662.75</v>
      </c>
      <c r="AF93" s="3">
        <f>ROUND(SUMIF(AA24:AA91,"=16856227",S24:S91),2)</f>
        <v>18959.919999999998</v>
      </c>
      <c r="AG93" s="3">
        <f>ROUND(SUMIF(AA24:AA91,"=16856227",T24:T91),2)</f>
        <v>0</v>
      </c>
      <c r="AH93" s="3">
        <f>SUMIF(AA24:AA91,"=16856227",U24:U91)</f>
        <v>2164.1171003000004</v>
      </c>
      <c r="AI93" s="3">
        <f>SUMIF(AA24:AA91,"=16856227",V24:V91)</f>
        <v>50.686992070000002</v>
      </c>
      <c r="AJ93" s="3">
        <f>ROUND(SUMIF(AA24:AA91,"=16856227",W24:W91),2)</f>
        <v>0</v>
      </c>
      <c r="AK93" s="3">
        <f>ROUND(SUMIF(AA24:AA91,"=16856227",X24:X91),2)</f>
        <v>18608.759999999998</v>
      </c>
      <c r="AL93" s="3">
        <f>ROUND(SUMIF(AA24:AA91,"=16856227",Y24:Y91),2)</f>
        <v>10857.43</v>
      </c>
      <c r="AM93" s="3"/>
      <c r="AN93" s="3"/>
      <c r="AO93" s="3">
        <f t="shared" ref="AO93:BC93" si="100">ROUND(BX93,2)</f>
        <v>0</v>
      </c>
      <c r="AP93" s="3">
        <f t="shared" si="100"/>
        <v>0</v>
      </c>
      <c r="AQ93" s="3">
        <f t="shared" si="100"/>
        <v>0</v>
      </c>
      <c r="AR93" s="3">
        <f t="shared" si="100"/>
        <v>156007.6</v>
      </c>
      <c r="AS93" s="3">
        <f t="shared" si="100"/>
        <v>156007.6</v>
      </c>
      <c r="AT93" s="3">
        <f t="shared" si="100"/>
        <v>0</v>
      </c>
      <c r="AU93" s="3">
        <f t="shared" si="100"/>
        <v>0</v>
      </c>
      <c r="AV93" s="3">
        <f t="shared" si="100"/>
        <v>102513.61</v>
      </c>
      <c r="AW93" s="3">
        <f t="shared" si="100"/>
        <v>102513.61</v>
      </c>
      <c r="AX93" s="3">
        <f t="shared" si="100"/>
        <v>0</v>
      </c>
      <c r="AY93" s="3">
        <f t="shared" si="100"/>
        <v>102513.61</v>
      </c>
      <c r="AZ93" s="3">
        <f t="shared" si="100"/>
        <v>0</v>
      </c>
      <c r="BA93" s="3">
        <f t="shared" si="100"/>
        <v>0</v>
      </c>
      <c r="BB93" s="3">
        <f t="shared" si="100"/>
        <v>0</v>
      </c>
      <c r="BC93" s="3">
        <f t="shared" si="100"/>
        <v>0</v>
      </c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>
        <f>ROUND(SUMIF(AA24:AA91,"=16856227",FQ24:FQ91),2)</f>
        <v>0</v>
      </c>
      <c r="BY93" s="3">
        <f>ROUND(SUMIF(AA24:AA91,"=16856227",FR24:FR91),2)</f>
        <v>0</v>
      </c>
      <c r="BZ93" s="3">
        <f>ROUND(SUMIF(AA24:AA91,"=16856227",GL24:GL91),2)</f>
        <v>0</v>
      </c>
      <c r="CA93" s="3">
        <f>ROUND(SUMIF(AA24:AA91,"=16856227",GM24:GM91),2)</f>
        <v>156007.6</v>
      </c>
      <c r="CB93" s="3">
        <f>ROUND(SUMIF(AA24:AA91,"=16856227",GN24:GN91),2)</f>
        <v>156007.6</v>
      </c>
      <c r="CC93" s="3">
        <f>ROUND(SUMIF(AA24:AA91,"=16856227",GO24:GO91),2)</f>
        <v>0</v>
      </c>
      <c r="CD93" s="3">
        <f>ROUND(SUMIF(AA24:AA91,"=16856227",GP24:GP91),2)</f>
        <v>0</v>
      </c>
      <c r="CE93" s="3">
        <f>AC93-BX93</f>
        <v>102513.61</v>
      </c>
      <c r="CF93" s="3">
        <f>AC93-BY93</f>
        <v>102513.61</v>
      </c>
      <c r="CG93" s="3">
        <f>BX93-BZ93</f>
        <v>0</v>
      </c>
      <c r="CH93" s="3">
        <f>AC93-BX93-BY93+BZ93</f>
        <v>102513.61</v>
      </c>
      <c r="CI93" s="3">
        <f>BY93-BZ93</f>
        <v>0</v>
      </c>
      <c r="CJ93" s="3">
        <f>ROUND(SUMIF(AA24:AA91,"=16856227",GX24:GX91),2)</f>
        <v>0</v>
      </c>
      <c r="CK93" s="3">
        <f>ROUND(SUMIF(AA24:AA91,"=16856227",GY24:GY91),2)</f>
        <v>0</v>
      </c>
      <c r="CL93" s="3">
        <f>ROUND(SUMIF(AA24:AA91,"=16856227",GZ24:GZ91),2)</f>
        <v>0</v>
      </c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4">
        <f t="shared" ref="DG93:DL93" si="101">ROUND(DT93,2)</f>
        <v>5068698.79</v>
      </c>
      <c r="DH93" s="4">
        <f t="shared" si="101"/>
        <v>4915600.4800000004</v>
      </c>
      <c r="DI93" s="4">
        <f t="shared" si="101"/>
        <v>24739.59</v>
      </c>
      <c r="DJ93" s="4">
        <f t="shared" si="101"/>
        <v>4486.71</v>
      </c>
      <c r="DK93" s="4">
        <f t="shared" si="101"/>
        <v>128358.72</v>
      </c>
      <c r="DL93" s="4">
        <f t="shared" si="101"/>
        <v>0</v>
      </c>
      <c r="DM93" s="4">
        <f>DZ93</f>
        <v>2164.1171003000004</v>
      </c>
      <c r="DN93" s="4">
        <f>EA93</f>
        <v>50.686992070000002</v>
      </c>
      <c r="DO93" s="4">
        <f>ROUND(EB93,2)</f>
        <v>0</v>
      </c>
      <c r="DP93" s="4">
        <f>ROUND(EC93,2)</f>
        <v>125981.19</v>
      </c>
      <c r="DQ93" s="4">
        <f>ROUND(ED93,2)</f>
        <v>73504.63</v>
      </c>
      <c r="DR93" s="4"/>
      <c r="DS93" s="4"/>
      <c r="DT93" s="4">
        <f>ROUND(SUMIF(AA24:AA91,"=16856228",O24:O91),2)</f>
        <v>5068698.79</v>
      </c>
      <c r="DU93" s="4">
        <f>ROUND(SUMIF(AA24:AA91,"=16856228",P24:P91),2)</f>
        <v>4915600.4800000004</v>
      </c>
      <c r="DV93" s="4">
        <f>ROUND(SUMIF(AA24:AA91,"=16856228",Q24:Q91),2)</f>
        <v>24739.59</v>
      </c>
      <c r="DW93" s="4">
        <f>ROUND(SUMIF(AA24:AA91,"=16856228",R24:R91),2)</f>
        <v>4486.71</v>
      </c>
      <c r="DX93" s="4">
        <f>ROUND(SUMIF(AA24:AA91,"=16856228",S24:S91),2)</f>
        <v>128358.72</v>
      </c>
      <c r="DY93" s="4">
        <f>ROUND(SUMIF(AA24:AA91,"=16856228",T24:T91),2)</f>
        <v>0</v>
      </c>
      <c r="DZ93" s="4">
        <f>SUMIF(AA24:AA91,"=16856228",U24:U91)</f>
        <v>2164.1171003000004</v>
      </c>
      <c r="EA93" s="4">
        <f>SUMIF(AA24:AA91,"=16856228",V24:V91)</f>
        <v>50.686992070000002</v>
      </c>
      <c r="EB93" s="4">
        <f>ROUND(SUMIF(AA24:AA91,"=16856228",W24:W91),2)</f>
        <v>0</v>
      </c>
      <c r="EC93" s="4">
        <f>ROUND(SUMIF(AA24:AA91,"=16856228",X24:X91),2)</f>
        <v>125981.19</v>
      </c>
      <c r="ED93" s="4">
        <f>ROUND(SUMIF(AA24:AA91,"=16856228",Y24:Y91),2)</f>
        <v>73504.63</v>
      </c>
      <c r="EE93" s="4"/>
      <c r="EF93" s="4"/>
      <c r="EG93" s="4">
        <f t="shared" ref="EG93:EU93" si="102">ROUND(FP93,2)</f>
        <v>0</v>
      </c>
      <c r="EH93" s="4">
        <f t="shared" si="102"/>
        <v>0</v>
      </c>
      <c r="EI93" s="4">
        <f t="shared" si="102"/>
        <v>0</v>
      </c>
      <c r="EJ93" s="4">
        <f t="shared" si="102"/>
        <v>5277754.53</v>
      </c>
      <c r="EK93" s="4">
        <f t="shared" si="102"/>
        <v>5277754.53</v>
      </c>
      <c r="EL93" s="4">
        <f t="shared" si="102"/>
        <v>0</v>
      </c>
      <c r="EM93" s="4">
        <f t="shared" si="102"/>
        <v>0</v>
      </c>
      <c r="EN93" s="4">
        <f t="shared" si="102"/>
        <v>4915600.4800000004</v>
      </c>
      <c r="EO93" s="4">
        <f t="shared" si="102"/>
        <v>4915600.4800000004</v>
      </c>
      <c r="EP93" s="4">
        <f t="shared" si="102"/>
        <v>0</v>
      </c>
      <c r="EQ93" s="4">
        <f t="shared" si="102"/>
        <v>4915600.4800000004</v>
      </c>
      <c r="ER93" s="4">
        <f t="shared" si="102"/>
        <v>0</v>
      </c>
      <c r="ES93" s="4">
        <f t="shared" si="102"/>
        <v>0</v>
      </c>
      <c r="ET93" s="4">
        <f t="shared" si="102"/>
        <v>0</v>
      </c>
      <c r="EU93" s="4">
        <f t="shared" si="102"/>
        <v>0</v>
      </c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>
        <f>ROUND(SUMIF(AA24:AA91,"=16856228",FQ24:FQ91),2)</f>
        <v>0</v>
      </c>
      <c r="FQ93" s="4">
        <f>ROUND(SUMIF(AA24:AA91,"=16856228",FR24:FR91),2)</f>
        <v>0</v>
      </c>
      <c r="FR93" s="4">
        <f>ROUND(SUMIF(AA24:AA91,"=16856228",GL24:GL91),2)</f>
        <v>0</v>
      </c>
      <c r="FS93" s="4">
        <f>ROUND(SUMIF(AA24:AA91,"=16856228",GM24:GM91),2)</f>
        <v>5277754.53</v>
      </c>
      <c r="FT93" s="4">
        <f>ROUND(SUMIF(AA24:AA91,"=16856228",GN24:GN91),2)</f>
        <v>5277754.53</v>
      </c>
      <c r="FU93" s="4">
        <f>ROUND(SUMIF(AA24:AA91,"=16856228",GO24:GO91),2)</f>
        <v>0</v>
      </c>
      <c r="FV93" s="4">
        <f>ROUND(SUMIF(AA24:AA91,"=16856228",GP24:GP91),2)</f>
        <v>0</v>
      </c>
      <c r="FW93" s="4">
        <f>DU93-FP93</f>
        <v>4915600.4800000004</v>
      </c>
      <c r="FX93" s="4">
        <f>DU93-FQ93</f>
        <v>4915600.4800000004</v>
      </c>
      <c r="FY93" s="4">
        <f>FP93-FR93</f>
        <v>0</v>
      </c>
      <c r="FZ93" s="4">
        <f>DU93-FP93-FQ93+FR93</f>
        <v>4915600.4800000004</v>
      </c>
      <c r="GA93" s="4">
        <f>FQ93-FR93</f>
        <v>0</v>
      </c>
      <c r="GB93" s="4">
        <f>ROUND(SUMIF(AA24:AA91,"=16856228",GX24:GX91),2)</f>
        <v>0</v>
      </c>
      <c r="GC93" s="4">
        <f>ROUND(SUMIF(AA24:AA91,"=16856228",GY24:GY91),2)</f>
        <v>0</v>
      </c>
      <c r="GD93" s="4">
        <f>ROUND(SUMIF(AA24:AA91,"=16856228",GZ24:GZ91),2)</f>
        <v>0</v>
      </c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>
        <v>0</v>
      </c>
    </row>
    <row r="95" spans="1:255" x14ac:dyDescent="0.2">
      <c r="A95" s="5">
        <v>50</v>
      </c>
      <c r="B95" s="5">
        <v>0</v>
      </c>
      <c r="C95" s="5">
        <v>0</v>
      </c>
      <c r="D95" s="5">
        <v>1</v>
      </c>
      <c r="E95" s="5">
        <v>201</v>
      </c>
      <c r="F95" s="5">
        <f>ROUND(Source!O93,O95)</f>
        <v>125127.83</v>
      </c>
      <c r="G95" s="5" t="s">
        <v>189</v>
      </c>
      <c r="H95" s="5" t="s">
        <v>190</v>
      </c>
      <c r="I95" s="5"/>
      <c r="J95" s="5"/>
      <c r="K95" s="5">
        <v>201</v>
      </c>
      <c r="L95" s="5">
        <v>1</v>
      </c>
      <c r="M95" s="5">
        <v>3</v>
      </c>
      <c r="N95" s="5" t="s">
        <v>6</v>
      </c>
      <c r="O95" s="5">
        <v>2</v>
      </c>
      <c r="P95" s="5">
        <f>ROUND(Source!DG93,O95)</f>
        <v>5068698.79</v>
      </c>
      <c r="Q95" s="5"/>
      <c r="R95" s="5"/>
      <c r="S95" s="5"/>
      <c r="T95" s="5"/>
      <c r="U95" s="5"/>
      <c r="V95" s="5"/>
      <c r="W95" s="5"/>
    </row>
    <row r="96" spans="1:255" x14ac:dyDescent="0.2">
      <c r="A96" s="5">
        <v>50</v>
      </c>
      <c r="B96" s="5">
        <v>0</v>
      </c>
      <c r="C96" s="5">
        <v>0</v>
      </c>
      <c r="D96" s="5">
        <v>1</v>
      </c>
      <c r="E96" s="5">
        <v>202</v>
      </c>
      <c r="F96" s="5">
        <f>ROUND(Source!P93,O96)</f>
        <v>102513.61</v>
      </c>
      <c r="G96" s="5" t="s">
        <v>191</v>
      </c>
      <c r="H96" s="5" t="s">
        <v>192</v>
      </c>
      <c r="I96" s="5"/>
      <c r="J96" s="5"/>
      <c r="K96" s="5">
        <v>202</v>
      </c>
      <c r="L96" s="5">
        <v>2</v>
      </c>
      <c r="M96" s="5">
        <v>3</v>
      </c>
      <c r="N96" s="5" t="s">
        <v>6</v>
      </c>
      <c r="O96" s="5">
        <v>2</v>
      </c>
      <c r="P96" s="5">
        <f>ROUND(Source!DH93,O96)</f>
        <v>4915600.4800000004</v>
      </c>
      <c r="Q96" s="5"/>
      <c r="R96" s="5"/>
      <c r="S96" s="5"/>
      <c r="T96" s="5"/>
      <c r="U96" s="5"/>
      <c r="V96" s="5"/>
      <c r="W96" s="5"/>
    </row>
    <row r="97" spans="1:23" x14ac:dyDescent="0.2">
      <c r="A97" s="5">
        <v>50</v>
      </c>
      <c r="B97" s="5">
        <v>0</v>
      </c>
      <c r="C97" s="5">
        <v>0</v>
      </c>
      <c r="D97" s="5">
        <v>1</v>
      </c>
      <c r="E97" s="5">
        <v>222</v>
      </c>
      <c r="F97" s="5">
        <f>ROUND(Source!AO93,O97)</f>
        <v>0</v>
      </c>
      <c r="G97" s="5" t="s">
        <v>193</v>
      </c>
      <c r="H97" s="5" t="s">
        <v>194</v>
      </c>
      <c r="I97" s="5"/>
      <c r="J97" s="5"/>
      <c r="K97" s="5">
        <v>222</v>
      </c>
      <c r="L97" s="5">
        <v>3</v>
      </c>
      <c r="M97" s="5">
        <v>3</v>
      </c>
      <c r="N97" s="5" t="s">
        <v>6</v>
      </c>
      <c r="O97" s="5">
        <v>2</v>
      </c>
      <c r="P97" s="5">
        <f>ROUND(Source!EG93,O97)</f>
        <v>0</v>
      </c>
      <c r="Q97" s="5"/>
      <c r="R97" s="5"/>
      <c r="S97" s="5"/>
      <c r="T97" s="5"/>
      <c r="U97" s="5"/>
      <c r="V97" s="5"/>
      <c r="W97" s="5"/>
    </row>
    <row r="98" spans="1:23" x14ac:dyDescent="0.2">
      <c r="A98" s="5">
        <v>50</v>
      </c>
      <c r="B98" s="5">
        <v>0</v>
      </c>
      <c r="C98" s="5">
        <v>0</v>
      </c>
      <c r="D98" s="5">
        <v>1</v>
      </c>
      <c r="E98" s="5">
        <v>225</v>
      </c>
      <c r="F98" s="5">
        <f>ROUND(Source!AV93,O98)</f>
        <v>102513.61</v>
      </c>
      <c r="G98" s="5" t="s">
        <v>195</v>
      </c>
      <c r="H98" s="5" t="s">
        <v>196</v>
      </c>
      <c r="I98" s="5"/>
      <c r="J98" s="5"/>
      <c r="K98" s="5">
        <v>225</v>
      </c>
      <c r="L98" s="5">
        <v>4</v>
      </c>
      <c r="M98" s="5">
        <v>3</v>
      </c>
      <c r="N98" s="5" t="s">
        <v>6</v>
      </c>
      <c r="O98" s="5">
        <v>2</v>
      </c>
      <c r="P98" s="5">
        <f>ROUND(Source!EN93,O98)</f>
        <v>4915600.4800000004</v>
      </c>
      <c r="Q98" s="5"/>
      <c r="R98" s="5"/>
      <c r="S98" s="5"/>
      <c r="T98" s="5"/>
      <c r="U98" s="5"/>
      <c r="V98" s="5"/>
      <c r="W98" s="5"/>
    </row>
    <row r="99" spans="1:23" x14ac:dyDescent="0.2">
      <c r="A99" s="5">
        <v>50</v>
      </c>
      <c r="B99" s="5">
        <v>0</v>
      </c>
      <c r="C99" s="5">
        <v>0</v>
      </c>
      <c r="D99" s="5">
        <v>1</v>
      </c>
      <c r="E99" s="5">
        <v>226</v>
      </c>
      <c r="F99" s="5">
        <f>ROUND(Source!AW93,O99)</f>
        <v>102513.61</v>
      </c>
      <c r="G99" s="5" t="s">
        <v>197</v>
      </c>
      <c r="H99" s="5" t="s">
        <v>198</v>
      </c>
      <c r="I99" s="5"/>
      <c r="J99" s="5"/>
      <c r="K99" s="5">
        <v>226</v>
      </c>
      <c r="L99" s="5">
        <v>5</v>
      </c>
      <c r="M99" s="5">
        <v>3</v>
      </c>
      <c r="N99" s="5" t="s">
        <v>6</v>
      </c>
      <c r="O99" s="5">
        <v>2</v>
      </c>
      <c r="P99" s="5">
        <f>ROUND(Source!EO93,O99)</f>
        <v>4915600.4800000004</v>
      </c>
      <c r="Q99" s="5"/>
      <c r="R99" s="5"/>
      <c r="S99" s="5"/>
      <c r="T99" s="5"/>
      <c r="U99" s="5"/>
      <c r="V99" s="5"/>
      <c r="W99" s="5"/>
    </row>
    <row r="100" spans="1:23" x14ac:dyDescent="0.2">
      <c r="A100" s="5">
        <v>50</v>
      </c>
      <c r="B100" s="5">
        <v>0</v>
      </c>
      <c r="C100" s="5">
        <v>0</v>
      </c>
      <c r="D100" s="5">
        <v>1</v>
      </c>
      <c r="E100" s="5">
        <v>227</v>
      </c>
      <c r="F100" s="5">
        <f>ROUND(Source!AX93,O100)</f>
        <v>0</v>
      </c>
      <c r="G100" s="5" t="s">
        <v>199</v>
      </c>
      <c r="H100" s="5" t="s">
        <v>200</v>
      </c>
      <c r="I100" s="5"/>
      <c r="J100" s="5"/>
      <c r="K100" s="5">
        <v>227</v>
      </c>
      <c r="L100" s="5">
        <v>6</v>
      </c>
      <c r="M100" s="5">
        <v>3</v>
      </c>
      <c r="N100" s="5" t="s">
        <v>6</v>
      </c>
      <c r="O100" s="5">
        <v>2</v>
      </c>
      <c r="P100" s="5">
        <f>ROUND(Source!EP93,O100)</f>
        <v>0</v>
      </c>
      <c r="Q100" s="5"/>
      <c r="R100" s="5"/>
      <c r="S100" s="5"/>
      <c r="T100" s="5"/>
      <c r="U100" s="5"/>
      <c r="V100" s="5"/>
      <c r="W100" s="5"/>
    </row>
    <row r="101" spans="1:23" x14ac:dyDescent="0.2">
      <c r="A101" s="5">
        <v>50</v>
      </c>
      <c r="B101" s="5">
        <v>0</v>
      </c>
      <c r="C101" s="5">
        <v>0</v>
      </c>
      <c r="D101" s="5">
        <v>1</v>
      </c>
      <c r="E101" s="5">
        <v>228</v>
      </c>
      <c r="F101" s="5">
        <f>ROUND(Source!AY93,O101)</f>
        <v>102513.61</v>
      </c>
      <c r="G101" s="5" t="s">
        <v>201</v>
      </c>
      <c r="H101" s="5" t="s">
        <v>202</v>
      </c>
      <c r="I101" s="5"/>
      <c r="J101" s="5"/>
      <c r="K101" s="5">
        <v>228</v>
      </c>
      <c r="L101" s="5">
        <v>7</v>
      </c>
      <c r="M101" s="5">
        <v>3</v>
      </c>
      <c r="N101" s="5" t="s">
        <v>6</v>
      </c>
      <c r="O101" s="5">
        <v>2</v>
      </c>
      <c r="P101" s="5">
        <f>ROUND(Source!EQ93,O101)</f>
        <v>4915600.4800000004</v>
      </c>
      <c r="Q101" s="5"/>
      <c r="R101" s="5"/>
      <c r="S101" s="5"/>
      <c r="T101" s="5"/>
      <c r="U101" s="5"/>
      <c r="V101" s="5"/>
      <c r="W101" s="5"/>
    </row>
    <row r="102" spans="1:23" x14ac:dyDescent="0.2">
      <c r="A102" s="5">
        <v>50</v>
      </c>
      <c r="B102" s="5">
        <v>0</v>
      </c>
      <c r="C102" s="5">
        <v>0</v>
      </c>
      <c r="D102" s="5">
        <v>1</v>
      </c>
      <c r="E102" s="5">
        <v>216</v>
      </c>
      <c r="F102" s="5">
        <f>ROUND(Source!AP93,O102)</f>
        <v>0</v>
      </c>
      <c r="G102" s="5" t="s">
        <v>203</v>
      </c>
      <c r="H102" s="5" t="s">
        <v>204</v>
      </c>
      <c r="I102" s="5"/>
      <c r="J102" s="5"/>
      <c r="K102" s="5">
        <v>216</v>
      </c>
      <c r="L102" s="5">
        <v>8</v>
      </c>
      <c r="M102" s="5">
        <v>3</v>
      </c>
      <c r="N102" s="5" t="s">
        <v>6</v>
      </c>
      <c r="O102" s="5">
        <v>2</v>
      </c>
      <c r="P102" s="5">
        <f>ROUND(Source!EH93,O102)</f>
        <v>0</v>
      </c>
      <c r="Q102" s="5"/>
      <c r="R102" s="5"/>
      <c r="S102" s="5"/>
      <c r="T102" s="5"/>
      <c r="U102" s="5"/>
      <c r="V102" s="5"/>
      <c r="W102" s="5"/>
    </row>
    <row r="103" spans="1:23" x14ac:dyDescent="0.2">
      <c r="A103" s="5">
        <v>50</v>
      </c>
      <c r="B103" s="5">
        <v>0</v>
      </c>
      <c r="C103" s="5">
        <v>0</v>
      </c>
      <c r="D103" s="5">
        <v>1</v>
      </c>
      <c r="E103" s="5">
        <v>223</v>
      </c>
      <c r="F103" s="5">
        <f>ROUND(Source!AQ93,O103)</f>
        <v>0</v>
      </c>
      <c r="G103" s="5" t="s">
        <v>205</v>
      </c>
      <c r="H103" s="5" t="s">
        <v>206</v>
      </c>
      <c r="I103" s="5"/>
      <c r="J103" s="5"/>
      <c r="K103" s="5">
        <v>223</v>
      </c>
      <c r="L103" s="5">
        <v>9</v>
      </c>
      <c r="M103" s="5">
        <v>3</v>
      </c>
      <c r="N103" s="5" t="s">
        <v>6</v>
      </c>
      <c r="O103" s="5">
        <v>2</v>
      </c>
      <c r="P103" s="5">
        <f>ROUND(Source!EI93,O103)</f>
        <v>0</v>
      </c>
      <c r="Q103" s="5"/>
      <c r="R103" s="5"/>
      <c r="S103" s="5"/>
      <c r="T103" s="5"/>
      <c r="U103" s="5"/>
      <c r="V103" s="5"/>
      <c r="W103" s="5"/>
    </row>
    <row r="104" spans="1:23" x14ac:dyDescent="0.2">
      <c r="A104" s="5">
        <v>50</v>
      </c>
      <c r="B104" s="5">
        <v>0</v>
      </c>
      <c r="C104" s="5">
        <v>0</v>
      </c>
      <c r="D104" s="5">
        <v>1</v>
      </c>
      <c r="E104" s="5">
        <v>229</v>
      </c>
      <c r="F104" s="5">
        <f>ROUND(Source!AZ93,O104)</f>
        <v>0</v>
      </c>
      <c r="G104" s="5" t="s">
        <v>207</v>
      </c>
      <c r="H104" s="5" t="s">
        <v>208</v>
      </c>
      <c r="I104" s="5"/>
      <c r="J104" s="5"/>
      <c r="K104" s="5">
        <v>229</v>
      </c>
      <c r="L104" s="5">
        <v>10</v>
      </c>
      <c r="M104" s="5">
        <v>3</v>
      </c>
      <c r="N104" s="5" t="s">
        <v>6</v>
      </c>
      <c r="O104" s="5">
        <v>2</v>
      </c>
      <c r="P104" s="5">
        <f>ROUND(Source!ER93,O104)</f>
        <v>0</v>
      </c>
      <c r="Q104" s="5"/>
      <c r="R104" s="5"/>
      <c r="S104" s="5"/>
      <c r="T104" s="5"/>
      <c r="U104" s="5"/>
      <c r="V104" s="5"/>
      <c r="W104" s="5"/>
    </row>
    <row r="105" spans="1:23" x14ac:dyDescent="0.2">
      <c r="A105" s="5">
        <v>50</v>
      </c>
      <c r="B105" s="5">
        <v>0</v>
      </c>
      <c r="C105" s="5">
        <v>0</v>
      </c>
      <c r="D105" s="5">
        <v>1</v>
      </c>
      <c r="E105" s="5">
        <v>203</v>
      </c>
      <c r="F105" s="5">
        <f>ROUND(Source!Q93,O105)</f>
        <v>3654.3</v>
      </c>
      <c r="G105" s="5" t="s">
        <v>209</v>
      </c>
      <c r="H105" s="5" t="s">
        <v>210</v>
      </c>
      <c r="I105" s="5"/>
      <c r="J105" s="5"/>
      <c r="K105" s="5">
        <v>203</v>
      </c>
      <c r="L105" s="5">
        <v>11</v>
      </c>
      <c r="M105" s="5">
        <v>3</v>
      </c>
      <c r="N105" s="5" t="s">
        <v>6</v>
      </c>
      <c r="O105" s="5">
        <v>2</v>
      </c>
      <c r="P105" s="5">
        <f>ROUND(Source!DI93,O105)</f>
        <v>24739.59</v>
      </c>
      <c r="Q105" s="5"/>
      <c r="R105" s="5"/>
      <c r="S105" s="5"/>
      <c r="T105" s="5"/>
      <c r="U105" s="5"/>
      <c r="V105" s="5"/>
      <c r="W105" s="5"/>
    </row>
    <row r="106" spans="1:23" x14ac:dyDescent="0.2">
      <c r="A106" s="5">
        <v>50</v>
      </c>
      <c r="B106" s="5">
        <v>0</v>
      </c>
      <c r="C106" s="5">
        <v>0</v>
      </c>
      <c r="D106" s="5">
        <v>1</v>
      </c>
      <c r="E106" s="5">
        <v>231</v>
      </c>
      <c r="F106" s="5">
        <f>ROUND(Source!BB93,O106)</f>
        <v>0</v>
      </c>
      <c r="G106" s="5" t="s">
        <v>211</v>
      </c>
      <c r="H106" s="5" t="s">
        <v>212</v>
      </c>
      <c r="I106" s="5"/>
      <c r="J106" s="5"/>
      <c r="K106" s="5">
        <v>231</v>
      </c>
      <c r="L106" s="5">
        <v>12</v>
      </c>
      <c r="M106" s="5">
        <v>3</v>
      </c>
      <c r="N106" s="5" t="s">
        <v>6</v>
      </c>
      <c r="O106" s="5">
        <v>2</v>
      </c>
      <c r="P106" s="5">
        <f>ROUND(Source!ET93,O106)</f>
        <v>0</v>
      </c>
      <c r="Q106" s="5"/>
      <c r="R106" s="5"/>
      <c r="S106" s="5"/>
      <c r="T106" s="5"/>
      <c r="U106" s="5"/>
      <c r="V106" s="5"/>
      <c r="W106" s="5"/>
    </row>
    <row r="107" spans="1:23" x14ac:dyDescent="0.2">
      <c r="A107" s="5">
        <v>50</v>
      </c>
      <c r="B107" s="5">
        <v>0</v>
      </c>
      <c r="C107" s="5">
        <v>0</v>
      </c>
      <c r="D107" s="5">
        <v>1</v>
      </c>
      <c r="E107" s="5">
        <v>204</v>
      </c>
      <c r="F107" s="5">
        <f>ROUND(Source!R93,O107)</f>
        <v>662.75</v>
      </c>
      <c r="G107" s="5" t="s">
        <v>213</v>
      </c>
      <c r="H107" s="5" t="s">
        <v>214</v>
      </c>
      <c r="I107" s="5"/>
      <c r="J107" s="5"/>
      <c r="K107" s="5">
        <v>204</v>
      </c>
      <c r="L107" s="5">
        <v>13</v>
      </c>
      <c r="M107" s="5">
        <v>3</v>
      </c>
      <c r="N107" s="5" t="s">
        <v>6</v>
      </c>
      <c r="O107" s="5">
        <v>2</v>
      </c>
      <c r="P107" s="5">
        <f>ROUND(Source!DJ93,O107)</f>
        <v>4486.71</v>
      </c>
      <c r="Q107" s="5"/>
      <c r="R107" s="5"/>
      <c r="S107" s="5"/>
      <c r="T107" s="5"/>
      <c r="U107" s="5"/>
      <c r="V107" s="5"/>
      <c r="W107" s="5"/>
    </row>
    <row r="108" spans="1:23" x14ac:dyDescent="0.2">
      <c r="A108" s="5">
        <v>50</v>
      </c>
      <c r="B108" s="5">
        <v>0</v>
      </c>
      <c r="C108" s="5">
        <v>0</v>
      </c>
      <c r="D108" s="5">
        <v>1</v>
      </c>
      <c r="E108" s="5">
        <v>205</v>
      </c>
      <c r="F108" s="5">
        <f>ROUND(Source!S93,O108)</f>
        <v>18959.919999999998</v>
      </c>
      <c r="G108" s="5" t="s">
        <v>215</v>
      </c>
      <c r="H108" s="5" t="s">
        <v>216</v>
      </c>
      <c r="I108" s="5"/>
      <c r="J108" s="5"/>
      <c r="K108" s="5">
        <v>205</v>
      </c>
      <c r="L108" s="5">
        <v>14</v>
      </c>
      <c r="M108" s="5">
        <v>3</v>
      </c>
      <c r="N108" s="5" t="s">
        <v>6</v>
      </c>
      <c r="O108" s="5">
        <v>2</v>
      </c>
      <c r="P108" s="5">
        <f>ROUND(Source!DK93,O108)</f>
        <v>128358.72</v>
      </c>
      <c r="Q108" s="5"/>
      <c r="R108" s="5"/>
      <c r="S108" s="5"/>
      <c r="T108" s="5"/>
      <c r="U108" s="5"/>
      <c r="V108" s="5"/>
      <c r="W108" s="5"/>
    </row>
    <row r="109" spans="1:23" x14ac:dyDescent="0.2">
      <c r="A109" s="5">
        <v>50</v>
      </c>
      <c r="B109" s="5">
        <v>0</v>
      </c>
      <c r="C109" s="5">
        <v>0</v>
      </c>
      <c r="D109" s="5">
        <v>1</v>
      </c>
      <c r="E109" s="5">
        <v>232</v>
      </c>
      <c r="F109" s="5">
        <f>ROUND(Source!BC93,O109)</f>
        <v>0</v>
      </c>
      <c r="G109" s="5" t="s">
        <v>217</v>
      </c>
      <c r="H109" s="5" t="s">
        <v>218</v>
      </c>
      <c r="I109" s="5"/>
      <c r="J109" s="5"/>
      <c r="K109" s="5">
        <v>232</v>
      </c>
      <c r="L109" s="5">
        <v>15</v>
      </c>
      <c r="M109" s="5">
        <v>3</v>
      </c>
      <c r="N109" s="5" t="s">
        <v>6</v>
      </c>
      <c r="O109" s="5">
        <v>2</v>
      </c>
      <c r="P109" s="5">
        <f>ROUND(Source!EU93,O109)</f>
        <v>0</v>
      </c>
      <c r="Q109" s="5"/>
      <c r="R109" s="5"/>
      <c r="S109" s="5"/>
      <c r="T109" s="5"/>
      <c r="U109" s="5"/>
      <c r="V109" s="5"/>
      <c r="W109" s="5"/>
    </row>
    <row r="110" spans="1:23" x14ac:dyDescent="0.2">
      <c r="A110" s="5">
        <v>50</v>
      </c>
      <c r="B110" s="5">
        <v>0</v>
      </c>
      <c r="C110" s="5">
        <v>0</v>
      </c>
      <c r="D110" s="5">
        <v>1</v>
      </c>
      <c r="E110" s="5">
        <v>214</v>
      </c>
      <c r="F110" s="5">
        <f>ROUND(Source!AS93,O110)</f>
        <v>156007.6</v>
      </c>
      <c r="G110" s="5" t="s">
        <v>219</v>
      </c>
      <c r="H110" s="5" t="s">
        <v>220</v>
      </c>
      <c r="I110" s="5"/>
      <c r="J110" s="5"/>
      <c r="K110" s="5">
        <v>214</v>
      </c>
      <c r="L110" s="5">
        <v>16</v>
      </c>
      <c r="M110" s="5">
        <v>3</v>
      </c>
      <c r="N110" s="5" t="s">
        <v>6</v>
      </c>
      <c r="O110" s="5">
        <v>2</v>
      </c>
      <c r="P110" s="5">
        <f>ROUND(Source!EK93,O110)</f>
        <v>5277754.53</v>
      </c>
      <c r="Q110" s="5"/>
      <c r="R110" s="5"/>
      <c r="S110" s="5"/>
      <c r="T110" s="5"/>
      <c r="U110" s="5"/>
      <c r="V110" s="5"/>
      <c r="W110" s="5"/>
    </row>
    <row r="111" spans="1:23" x14ac:dyDescent="0.2">
      <c r="A111" s="5">
        <v>50</v>
      </c>
      <c r="B111" s="5">
        <v>0</v>
      </c>
      <c r="C111" s="5">
        <v>0</v>
      </c>
      <c r="D111" s="5">
        <v>1</v>
      </c>
      <c r="E111" s="5">
        <v>215</v>
      </c>
      <c r="F111" s="5">
        <f>ROUND(Source!AT93,O111)</f>
        <v>0</v>
      </c>
      <c r="G111" s="5" t="s">
        <v>221</v>
      </c>
      <c r="H111" s="5" t="s">
        <v>222</v>
      </c>
      <c r="I111" s="5"/>
      <c r="J111" s="5"/>
      <c r="K111" s="5">
        <v>215</v>
      </c>
      <c r="L111" s="5">
        <v>17</v>
      </c>
      <c r="M111" s="5">
        <v>3</v>
      </c>
      <c r="N111" s="5" t="s">
        <v>6</v>
      </c>
      <c r="O111" s="5">
        <v>2</v>
      </c>
      <c r="P111" s="5">
        <f>ROUND(Source!EL93,O111)</f>
        <v>0</v>
      </c>
      <c r="Q111" s="5"/>
      <c r="R111" s="5"/>
      <c r="S111" s="5"/>
      <c r="T111" s="5"/>
      <c r="U111" s="5"/>
      <c r="V111" s="5"/>
      <c r="W111" s="5"/>
    </row>
    <row r="112" spans="1:23" x14ac:dyDescent="0.2">
      <c r="A112" s="5">
        <v>50</v>
      </c>
      <c r="B112" s="5">
        <v>0</v>
      </c>
      <c r="C112" s="5">
        <v>0</v>
      </c>
      <c r="D112" s="5">
        <v>1</v>
      </c>
      <c r="E112" s="5">
        <v>217</v>
      </c>
      <c r="F112" s="5">
        <f>ROUND(Source!AU93,O112)</f>
        <v>0</v>
      </c>
      <c r="G112" s="5" t="s">
        <v>223</v>
      </c>
      <c r="H112" s="5" t="s">
        <v>224</v>
      </c>
      <c r="I112" s="5"/>
      <c r="J112" s="5"/>
      <c r="K112" s="5">
        <v>217</v>
      </c>
      <c r="L112" s="5">
        <v>18</v>
      </c>
      <c r="M112" s="5">
        <v>3</v>
      </c>
      <c r="N112" s="5" t="s">
        <v>6</v>
      </c>
      <c r="O112" s="5">
        <v>2</v>
      </c>
      <c r="P112" s="5">
        <f>ROUND(Source!EM93,O112)</f>
        <v>0</v>
      </c>
      <c r="Q112" s="5"/>
      <c r="R112" s="5"/>
      <c r="S112" s="5"/>
      <c r="T112" s="5"/>
      <c r="U112" s="5"/>
      <c r="V112" s="5"/>
      <c r="W112" s="5"/>
    </row>
    <row r="113" spans="1:206" x14ac:dyDescent="0.2">
      <c r="A113" s="5">
        <v>50</v>
      </c>
      <c r="B113" s="5">
        <v>0</v>
      </c>
      <c r="C113" s="5">
        <v>0</v>
      </c>
      <c r="D113" s="5">
        <v>1</v>
      </c>
      <c r="E113" s="5">
        <v>230</v>
      </c>
      <c r="F113" s="5">
        <f>ROUND(Source!BA93,O113)</f>
        <v>0</v>
      </c>
      <c r="G113" s="5" t="s">
        <v>225</v>
      </c>
      <c r="H113" s="5" t="s">
        <v>226</v>
      </c>
      <c r="I113" s="5"/>
      <c r="J113" s="5"/>
      <c r="K113" s="5">
        <v>230</v>
      </c>
      <c r="L113" s="5">
        <v>19</v>
      </c>
      <c r="M113" s="5">
        <v>3</v>
      </c>
      <c r="N113" s="5" t="s">
        <v>6</v>
      </c>
      <c r="O113" s="5">
        <v>2</v>
      </c>
      <c r="P113" s="5">
        <f>ROUND(Source!ES93,O113)</f>
        <v>0</v>
      </c>
      <c r="Q113" s="5"/>
      <c r="R113" s="5"/>
      <c r="S113" s="5"/>
      <c r="T113" s="5"/>
      <c r="U113" s="5"/>
      <c r="V113" s="5"/>
      <c r="W113" s="5"/>
    </row>
    <row r="114" spans="1:206" x14ac:dyDescent="0.2">
      <c r="A114" s="5">
        <v>50</v>
      </c>
      <c r="B114" s="5">
        <v>0</v>
      </c>
      <c r="C114" s="5">
        <v>0</v>
      </c>
      <c r="D114" s="5">
        <v>1</v>
      </c>
      <c r="E114" s="5">
        <v>206</v>
      </c>
      <c r="F114" s="5">
        <f>ROUND(Source!T93,O114)</f>
        <v>0</v>
      </c>
      <c r="G114" s="5" t="s">
        <v>227</v>
      </c>
      <c r="H114" s="5" t="s">
        <v>228</v>
      </c>
      <c r="I114" s="5"/>
      <c r="J114" s="5"/>
      <c r="K114" s="5">
        <v>206</v>
      </c>
      <c r="L114" s="5">
        <v>20</v>
      </c>
      <c r="M114" s="5">
        <v>3</v>
      </c>
      <c r="N114" s="5" t="s">
        <v>6</v>
      </c>
      <c r="O114" s="5">
        <v>2</v>
      </c>
      <c r="P114" s="5">
        <f>ROUND(Source!DL93,O114)</f>
        <v>0</v>
      </c>
      <c r="Q114" s="5"/>
      <c r="R114" s="5"/>
      <c r="S114" s="5"/>
      <c r="T114" s="5"/>
      <c r="U114" s="5"/>
      <c r="V114" s="5"/>
      <c r="W114" s="5"/>
    </row>
    <row r="115" spans="1:206" x14ac:dyDescent="0.2">
      <c r="A115" s="5">
        <v>50</v>
      </c>
      <c r="B115" s="5">
        <v>0</v>
      </c>
      <c r="C115" s="5">
        <v>0</v>
      </c>
      <c r="D115" s="5">
        <v>1</v>
      </c>
      <c r="E115" s="5">
        <v>207</v>
      </c>
      <c r="F115" s="5">
        <f>Source!U93</f>
        <v>2164.1171003000004</v>
      </c>
      <c r="G115" s="5" t="s">
        <v>229</v>
      </c>
      <c r="H115" s="5" t="s">
        <v>230</v>
      </c>
      <c r="I115" s="5"/>
      <c r="J115" s="5"/>
      <c r="K115" s="5">
        <v>207</v>
      </c>
      <c r="L115" s="5">
        <v>21</v>
      </c>
      <c r="M115" s="5">
        <v>3</v>
      </c>
      <c r="N115" s="5" t="s">
        <v>6</v>
      </c>
      <c r="O115" s="5">
        <v>-1</v>
      </c>
      <c r="P115" s="5">
        <f>Source!DM93</f>
        <v>2164.1171003000004</v>
      </c>
      <c r="Q115" s="5"/>
      <c r="R115" s="5"/>
      <c r="S115" s="5"/>
      <c r="T115" s="5"/>
      <c r="U115" s="5"/>
      <c r="V115" s="5"/>
      <c r="W115" s="5"/>
    </row>
    <row r="116" spans="1:206" x14ac:dyDescent="0.2">
      <c r="A116" s="5">
        <v>50</v>
      </c>
      <c r="B116" s="5">
        <v>0</v>
      </c>
      <c r="C116" s="5">
        <v>0</v>
      </c>
      <c r="D116" s="5">
        <v>1</v>
      </c>
      <c r="E116" s="5">
        <v>208</v>
      </c>
      <c r="F116" s="5">
        <f>Source!V93</f>
        <v>50.686992070000002</v>
      </c>
      <c r="G116" s="5" t="s">
        <v>231</v>
      </c>
      <c r="H116" s="5" t="s">
        <v>232</v>
      </c>
      <c r="I116" s="5"/>
      <c r="J116" s="5"/>
      <c r="K116" s="5">
        <v>208</v>
      </c>
      <c r="L116" s="5">
        <v>22</v>
      </c>
      <c r="M116" s="5">
        <v>3</v>
      </c>
      <c r="N116" s="5" t="s">
        <v>6</v>
      </c>
      <c r="O116" s="5">
        <v>-1</v>
      </c>
      <c r="P116" s="5">
        <f>Source!DN93</f>
        <v>50.686992070000002</v>
      </c>
      <c r="Q116" s="5"/>
      <c r="R116" s="5"/>
      <c r="S116" s="5"/>
      <c r="T116" s="5"/>
      <c r="U116" s="5"/>
      <c r="V116" s="5"/>
      <c r="W116" s="5"/>
    </row>
    <row r="117" spans="1:206" x14ac:dyDescent="0.2">
      <c r="A117" s="5">
        <v>50</v>
      </c>
      <c r="B117" s="5">
        <v>0</v>
      </c>
      <c r="C117" s="5">
        <v>0</v>
      </c>
      <c r="D117" s="5">
        <v>1</v>
      </c>
      <c r="E117" s="5">
        <v>209</v>
      </c>
      <c r="F117" s="5">
        <f>ROUND(Source!W93,O117)</f>
        <v>0</v>
      </c>
      <c r="G117" s="5" t="s">
        <v>233</v>
      </c>
      <c r="H117" s="5" t="s">
        <v>234</v>
      </c>
      <c r="I117" s="5"/>
      <c r="J117" s="5"/>
      <c r="K117" s="5">
        <v>209</v>
      </c>
      <c r="L117" s="5">
        <v>23</v>
      </c>
      <c r="M117" s="5">
        <v>3</v>
      </c>
      <c r="N117" s="5" t="s">
        <v>6</v>
      </c>
      <c r="O117" s="5">
        <v>2</v>
      </c>
      <c r="P117" s="5">
        <f>ROUND(Source!DO93,O117)</f>
        <v>0</v>
      </c>
      <c r="Q117" s="5"/>
      <c r="R117" s="5"/>
      <c r="S117" s="5"/>
      <c r="T117" s="5"/>
      <c r="U117" s="5"/>
      <c r="V117" s="5"/>
      <c r="W117" s="5"/>
    </row>
    <row r="118" spans="1:206" x14ac:dyDescent="0.2">
      <c r="A118" s="5">
        <v>50</v>
      </c>
      <c r="B118" s="5">
        <v>0</v>
      </c>
      <c r="C118" s="5">
        <v>0</v>
      </c>
      <c r="D118" s="5">
        <v>1</v>
      </c>
      <c r="E118" s="5">
        <v>210</v>
      </c>
      <c r="F118" s="5">
        <f>ROUND(Source!X93,O118)</f>
        <v>18608.759999999998</v>
      </c>
      <c r="G118" s="5" t="s">
        <v>235</v>
      </c>
      <c r="H118" s="5" t="s">
        <v>236</v>
      </c>
      <c r="I118" s="5"/>
      <c r="J118" s="5"/>
      <c r="K118" s="5">
        <v>210</v>
      </c>
      <c r="L118" s="5">
        <v>24</v>
      </c>
      <c r="M118" s="5">
        <v>3</v>
      </c>
      <c r="N118" s="5" t="s">
        <v>6</v>
      </c>
      <c r="O118" s="5">
        <v>2</v>
      </c>
      <c r="P118" s="5">
        <f>ROUND(Source!DP93,O118)</f>
        <v>125981.19</v>
      </c>
      <c r="Q118" s="5"/>
      <c r="R118" s="5"/>
      <c r="S118" s="5"/>
      <c r="T118" s="5"/>
      <c r="U118" s="5"/>
      <c r="V118" s="5"/>
      <c r="W118" s="5"/>
    </row>
    <row r="119" spans="1:206" x14ac:dyDescent="0.2">
      <c r="A119" s="5">
        <v>50</v>
      </c>
      <c r="B119" s="5">
        <v>0</v>
      </c>
      <c r="C119" s="5">
        <v>0</v>
      </c>
      <c r="D119" s="5">
        <v>1</v>
      </c>
      <c r="E119" s="5">
        <v>211</v>
      </c>
      <c r="F119" s="5">
        <f>ROUND(Source!Y93,O119)</f>
        <v>10857.43</v>
      </c>
      <c r="G119" s="5" t="s">
        <v>237</v>
      </c>
      <c r="H119" s="5" t="s">
        <v>238</v>
      </c>
      <c r="I119" s="5"/>
      <c r="J119" s="5"/>
      <c r="K119" s="5">
        <v>211</v>
      </c>
      <c r="L119" s="5">
        <v>25</v>
      </c>
      <c r="M119" s="5">
        <v>3</v>
      </c>
      <c r="N119" s="5" t="s">
        <v>6</v>
      </c>
      <c r="O119" s="5">
        <v>2</v>
      </c>
      <c r="P119" s="5">
        <f>ROUND(Source!DQ93,O119)</f>
        <v>73504.63</v>
      </c>
      <c r="Q119" s="5"/>
      <c r="R119" s="5"/>
      <c r="S119" s="5"/>
      <c r="T119" s="5"/>
      <c r="U119" s="5"/>
      <c r="V119" s="5"/>
      <c r="W119" s="5"/>
    </row>
    <row r="120" spans="1:206" x14ac:dyDescent="0.2">
      <c r="A120" s="5">
        <v>50</v>
      </c>
      <c r="B120" s="5">
        <v>0</v>
      </c>
      <c r="C120" s="5">
        <v>0</v>
      </c>
      <c r="D120" s="5">
        <v>1</v>
      </c>
      <c r="E120" s="5">
        <v>0</v>
      </c>
      <c r="F120" s="5">
        <f>ROUND(Source!AR93,O120)</f>
        <v>156007.6</v>
      </c>
      <c r="G120" s="5" t="s">
        <v>239</v>
      </c>
      <c r="H120" s="5" t="s">
        <v>240</v>
      </c>
      <c r="I120" s="5"/>
      <c r="J120" s="5"/>
      <c r="K120" s="5">
        <v>224</v>
      </c>
      <c r="L120" s="5">
        <v>26</v>
      </c>
      <c r="M120" s="5">
        <v>3</v>
      </c>
      <c r="N120" s="5" t="s">
        <v>6</v>
      </c>
      <c r="O120" s="5">
        <v>2</v>
      </c>
      <c r="P120" s="5">
        <f>ROUND(Source!EJ93,O120)</f>
        <v>5277754.53</v>
      </c>
      <c r="Q120" s="5"/>
      <c r="R120" s="5"/>
      <c r="S120" s="5"/>
      <c r="T120" s="5"/>
      <c r="U120" s="5"/>
      <c r="V120" s="5"/>
      <c r="W120" s="5"/>
    </row>
    <row r="121" spans="1:206" x14ac:dyDescent="0.2">
      <c r="A121" s="5">
        <v>50</v>
      </c>
      <c r="B121" s="5">
        <v>1</v>
      </c>
      <c r="C121" s="5">
        <v>0</v>
      </c>
      <c r="D121" s="5">
        <v>2</v>
      </c>
      <c r="E121" s="5">
        <v>0</v>
      </c>
      <c r="F121" s="5">
        <f>ROUND(F120,O121)</f>
        <v>156007.6</v>
      </c>
      <c r="G121" s="5" t="s">
        <v>241</v>
      </c>
      <c r="H121" s="5" t="s">
        <v>239</v>
      </c>
      <c r="I121" s="5"/>
      <c r="J121" s="5"/>
      <c r="K121" s="5">
        <v>212</v>
      </c>
      <c r="L121" s="5">
        <v>27</v>
      </c>
      <c r="M121" s="5">
        <v>0</v>
      </c>
      <c r="N121" s="5" t="s">
        <v>6</v>
      </c>
      <c r="O121" s="5">
        <v>2</v>
      </c>
      <c r="P121" s="5">
        <f>ROUND(P120,O121)</f>
        <v>5277754.53</v>
      </c>
      <c r="Q121" s="5"/>
      <c r="R121" s="5"/>
      <c r="S121" s="5"/>
      <c r="T121" s="5"/>
      <c r="U121" s="5"/>
      <c r="V121" s="5"/>
      <c r="W121" s="5"/>
    </row>
    <row r="122" spans="1:206" x14ac:dyDescent="0.2">
      <c r="A122" s="5">
        <v>50</v>
      </c>
      <c r="B122" s="5">
        <v>1</v>
      </c>
      <c r="C122" s="5">
        <v>0</v>
      </c>
      <c r="D122" s="5">
        <v>2</v>
      </c>
      <c r="E122" s="5">
        <v>0</v>
      </c>
      <c r="F122" s="5">
        <f>ROUND(F121*0.2,O122)</f>
        <v>31201.52</v>
      </c>
      <c r="G122" s="5" t="s">
        <v>242</v>
      </c>
      <c r="H122" s="5" t="s">
        <v>243</v>
      </c>
      <c r="I122" s="5"/>
      <c r="J122" s="5"/>
      <c r="K122" s="5">
        <v>212</v>
      </c>
      <c r="L122" s="5">
        <v>28</v>
      </c>
      <c r="M122" s="5">
        <v>0</v>
      </c>
      <c r="N122" s="5" t="s">
        <v>6</v>
      </c>
      <c r="O122" s="5">
        <v>2</v>
      </c>
      <c r="P122" s="5">
        <f>ROUND(P121*0.2,O122)</f>
        <v>1055550.9099999999</v>
      </c>
      <c r="Q122" s="5"/>
      <c r="R122" s="5"/>
      <c r="S122" s="5"/>
      <c r="T122" s="5"/>
      <c r="U122" s="5"/>
      <c r="V122" s="5"/>
      <c r="W122" s="5"/>
    </row>
    <row r="123" spans="1:206" x14ac:dyDescent="0.2">
      <c r="A123" s="5">
        <v>50</v>
      </c>
      <c r="B123" s="5">
        <v>1</v>
      </c>
      <c r="C123" s="5">
        <v>0</v>
      </c>
      <c r="D123" s="5">
        <v>2</v>
      </c>
      <c r="E123" s="5">
        <v>224</v>
      </c>
      <c r="F123" s="5">
        <f>ROUND(F121+F122,O123)</f>
        <v>187209.12</v>
      </c>
      <c r="G123" s="5" t="s">
        <v>244</v>
      </c>
      <c r="H123" s="5" t="s">
        <v>245</v>
      </c>
      <c r="I123" s="5"/>
      <c r="J123" s="5"/>
      <c r="K123" s="5">
        <v>212</v>
      </c>
      <c r="L123" s="5">
        <v>29</v>
      </c>
      <c r="M123" s="5">
        <v>0</v>
      </c>
      <c r="N123" s="5" t="s">
        <v>6</v>
      </c>
      <c r="O123" s="5">
        <v>2</v>
      </c>
      <c r="P123" s="5">
        <f>ROUND(P121+P122,O123)</f>
        <v>6333305.4400000004</v>
      </c>
      <c r="Q123" s="5"/>
      <c r="R123" s="5"/>
      <c r="S123" s="5"/>
      <c r="T123" s="5"/>
      <c r="U123" s="5"/>
      <c r="V123" s="5"/>
      <c r="W123" s="5"/>
    </row>
    <row r="125" spans="1:206" x14ac:dyDescent="0.2">
      <c r="A125" s="3">
        <v>51</v>
      </c>
      <c r="B125" s="3">
        <f>B12</f>
        <v>186</v>
      </c>
      <c r="C125" s="3">
        <f>A12</f>
        <v>1</v>
      </c>
      <c r="D125" s="3">
        <f>ROW(A12)</f>
        <v>12</v>
      </c>
      <c r="E125" s="3"/>
      <c r="F125" s="3" t="str">
        <f>IF(F12&lt;&gt;"",F12,"")</f>
        <v>Новый объект_(Копия)_(Копия)_(Копия)_(Копия)_(Копия)</v>
      </c>
      <c r="G125" s="3" t="str">
        <f>IF(G12&lt;&gt;"",G12,"")</f>
        <v>на  ремонт  оконных проёмов с заменой оконных блоков на оконные блоки из ПВХ в помещениях  подвала, 2-го этажа,  3-го этажа,  4-го этажа лабораторного корпуса  А НИЯУ МИФИ по адресу: г. Москва, Каширское шоссе, д. 31, стр. 2</v>
      </c>
      <c r="H125" s="3">
        <v>0</v>
      </c>
      <c r="I125" s="3"/>
      <c r="J125" s="3"/>
      <c r="K125" s="3"/>
      <c r="L125" s="3"/>
      <c r="M125" s="3"/>
      <c r="N125" s="3"/>
      <c r="O125" s="3">
        <f t="shared" ref="O125:T125" si="103">ROUND(O93,2)</f>
        <v>125127.83</v>
      </c>
      <c r="P125" s="3">
        <f t="shared" si="103"/>
        <v>102513.61</v>
      </c>
      <c r="Q125" s="3">
        <f t="shared" si="103"/>
        <v>3654.3</v>
      </c>
      <c r="R125" s="3">
        <f t="shared" si="103"/>
        <v>662.75</v>
      </c>
      <c r="S125" s="3">
        <f t="shared" si="103"/>
        <v>18959.919999999998</v>
      </c>
      <c r="T125" s="3">
        <f t="shared" si="103"/>
        <v>0</v>
      </c>
      <c r="U125" s="3">
        <f>U93</f>
        <v>2164.1171003000004</v>
      </c>
      <c r="V125" s="3">
        <f>V93</f>
        <v>50.686992070000002</v>
      </c>
      <c r="W125" s="3">
        <f>ROUND(W93,2)</f>
        <v>0</v>
      </c>
      <c r="X125" s="3">
        <f>ROUND(X93,2)</f>
        <v>18608.759999999998</v>
      </c>
      <c r="Y125" s="3">
        <f>ROUND(Y93,2)</f>
        <v>10857.43</v>
      </c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>
        <f t="shared" ref="AO125:BC125" si="104">ROUND(AO93,2)</f>
        <v>0</v>
      </c>
      <c r="AP125" s="3">
        <f t="shared" si="104"/>
        <v>0</v>
      </c>
      <c r="AQ125" s="3">
        <f t="shared" si="104"/>
        <v>0</v>
      </c>
      <c r="AR125" s="3">
        <f t="shared" si="104"/>
        <v>156007.6</v>
      </c>
      <c r="AS125" s="3">
        <f t="shared" si="104"/>
        <v>156007.6</v>
      </c>
      <c r="AT125" s="3">
        <f t="shared" si="104"/>
        <v>0</v>
      </c>
      <c r="AU125" s="3">
        <f t="shared" si="104"/>
        <v>0</v>
      </c>
      <c r="AV125" s="3">
        <f t="shared" si="104"/>
        <v>102513.61</v>
      </c>
      <c r="AW125" s="3">
        <f t="shared" si="104"/>
        <v>102513.61</v>
      </c>
      <c r="AX125" s="3">
        <f t="shared" si="104"/>
        <v>0</v>
      </c>
      <c r="AY125" s="3">
        <f t="shared" si="104"/>
        <v>102513.61</v>
      </c>
      <c r="AZ125" s="3">
        <f t="shared" si="104"/>
        <v>0</v>
      </c>
      <c r="BA125" s="3">
        <f t="shared" si="104"/>
        <v>0</v>
      </c>
      <c r="BB125" s="3">
        <f t="shared" si="104"/>
        <v>0</v>
      </c>
      <c r="BC125" s="3">
        <f t="shared" si="104"/>
        <v>0</v>
      </c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4">
        <f t="shared" ref="DG125:DL125" si="105">ROUND(DG93,2)</f>
        <v>5068698.79</v>
      </c>
      <c r="DH125" s="4">
        <f t="shared" si="105"/>
        <v>4915600.4800000004</v>
      </c>
      <c r="DI125" s="4">
        <f t="shared" si="105"/>
        <v>24739.59</v>
      </c>
      <c r="DJ125" s="4">
        <f t="shared" si="105"/>
        <v>4486.71</v>
      </c>
      <c r="DK125" s="4">
        <f t="shared" si="105"/>
        <v>128358.72</v>
      </c>
      <c r="DL125" s="4">
        <f t="shared" si="105"/>
        <v>0</v>
      </c>
      <c r="DM125" s="4">
        <f>DM93</f>
        <v>2164.1171003000004</v>
      </c>
      <c r="DN125" s="4">
        <f>DN93</f>
        <v>50.686992070000002</v>
      </c>
      <c r="DO125" s="4">
        <f>ROUND(DO93,2)</f>
        <v>0</v>
      </c>
      <c r="DP125" s="4">
        <f>ROUND(DP93,2)</f>
        <v>125981.19</v>
      </c>
      <c r="DQ125" s="4">
        <f>ROUND(DQ93,2)</f>
        <v>73504.63</v>
      </c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>
        <f t="shared" ref="EG125:EU125" si="106">ROUND(EG93,2)</f>
        <v>0</v>
      </c>
      <c r="EH125" s="4">
        <f t="shared" si="106"/>
        <v>0</v>
      </c>
      <c r="EI125" s="4">
        <f t="shared" si="106"/>
        <v>0</v>
      </c>
      <c r="EJ125" s="4">
        <f t="shared" si="106"/>
        <v>5277754.53</v>
      </c>
      <c r="EK125" s="4">
        <f t="shared" si="106"/>
        <v>5277754.53</v>
      </c>
      <c r="EL125" s="4">
        <f t="shared" si="106"/>
        <v>0</v>
      </c>
      <c r="EM125" s="4">
        <f t="shared" si="106"/>
        <v>0</v>
      </c>
      <c r="EN125" s="4">
        <f t="shared" si="106"/>
        <v>4915600.4800000004</v>
      </c>
      <c r="EO125" s="4">
        <f t="shared" si="106"/>
        <v>4915600.4800000004</v>
      </c>
      <c r="EP125" s="4">
        <f t="shared" si="106"/>
        <v>0</v>
      </c>
      <c r="EQ125" s="4">
        <f t="shared" si="106"/>
        <v>4915600.4800000004</v>
      </c>
      <c r="ER125" s="4">
        <f t="shared" si="106"/>
        <v>0</v>
      </c>
      <c r="ES125" s="4">
        <f t="shared" si="106"/>
        <v>0</v>
      </c>
      <c r="ET125" s="4">
        <f t="shared" si="106"/>
        <v>0</v>
      </c>
      <c r="EU125" s="4">
        <f t="shared" si="106"/>
        <v>0</v>
      </c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>
        <v>0</v>
      </c>
    </row>
    <row r="127" spans="1:206" x14ac:dyDescent="0.2">
      <c r="A127" s="5">
        <v>50</v>
      </c>
      <c r="B127" s="5">
        <v>0</v>
      </c>
      <c r="C127" s="5">
        <v>0</v>
      </c>
      <c r="D127" s="5">
        <v>1</v>
      </c>
      <c r="E127" s="5">
        <v>201</v>
      </c>
      <c r="F127" s="5">
        <f>ROUND(Source!O125,O127)</f>
        <v>125127.83</v>
      </c>
      <c r="G127" s="5" t="s">
        <v>189</v>
      </c>
      <c r="H127" s="5" t="s">
        <v>190</v>
      </c>
      <c r="I127" s="5"/>
      <c r="J127" s="5"/>
      <c r="K127" s="5">
        <v>201</v>
      </c>
      <c r="L127" s="5">
        <v>1</v>
      </c>
      <c r="M127" s="5">
        <v>3</v>
      </c>
      <c r="N127" s="5" t="s">
        <v>6</v>
      </c>
      <c r="O127" s="5">
        <v>2</v>
      </c>
      <c r="P127" s="5">
        <f>ROUND(Source!DG125,O127)</f>
        <v>5068698.79</v>
      </c>
      <c r="Q127" s="5"/>
      <c r="R127" s="5"/>
      <c r="S127" s="5"/>
      <c r="T127" s="5"/>
      <c r="U127" s="5"/>
      <c r="V127" s="5"/>
      <c r="W127" s="5"/>
    </row>
    <row r="128" spans="1:206" x14ac:dyDescent="0.2">
      <c r="A128" s="5">
        <v>50</v>
      </c>
      <c r="B128" s="5">
        <v>0</v>
      </c>
      <c r="C128" s="5">
        <v>0</v>
      </c>
      <c r="D128" s="5">
        <v>1</v>
      </c>
      <c r="E128" s="5">
        <v>202</v>
      </c>
      <c r="F128" s="5">
        <f>ROUND(Source!P125,O128)</f>
        <v>102513.61</v>
      </c>
      <c r="G128" s="5" t="s">
        <v>191</v>
      </c>
      <c r="H128" s="5" t="s">
        <v>192</v>
      </c>
      <c r="I128" s="5"/>
      <c r="J128" s="5"/>
      <c r="K128" s="5">
        <v>202</v>
      </c>
      <c r="L128" s="5">
        <v>2</v>
      </c>
      <c r="M128" s="5">
        <v>3</v>
      </c>
      <c r="N128" s="5" t="s">
        <v>6</v>
      </c>
      <c r="O128" s="5">
        <v>2</v>
      </c>
      <c r="P128" s="5">
        <f>ROUND(Source!DH125,O128)</f>
        <v>4915600.4800000004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222</v>
      </c>
      <c r="F129" s="5">
        <f>ROUND(Source!AO125,O129)</f>
        <v>0</v>
      </c>
      <c r="G129" s="5" t="s">
        <v>193</v>
      </c>
      <c r="H129" s="5" t="s">
        <v>194</v>
      </c>
      <c r="I129" s="5"/>
      <c r="J129" s="5"/>
      <c r="K129" s="5">
        <v>222</v>
      </c>
      <c r="L129" s="5">
        <v>3</v>
      </c>
      <c r="M129" s="5">
        <v>3</v>
      </c>
      <c r="N129" s="5" t="s">
        <v>6</v>
      </c>
      <c r="O129" s="5">
        <v>2</v>
      </c>
      <c r="P129" s="5">
        <f>ROUND(Source!EG125,O129)</f>
        <v>0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225</v>
      </c>
      <c r="F130" s="5">
        <f>ROUND(Source!AV125,O130)</f>
        <v>102513.61</v>
      </c>
      <c r="G130" s="5" t="s">
        <v>195</v>
      </c>
      <c r="H130" s="5" t="s">
        <v>196</v>
      </c>
      <c r="I130" s="5"/>
      <c r="J130" s="5"/>
      <c r="K130" s="5">
        <v>225</v>
      </c>
      <c r="L130" s="5">
        <v>4</v>
      </c>
      <c r="M130" s="5">
        <v>3</v>
      </c>
      <c r="N130" s="5" t="s">
        <v>6</v>
      </c>
      <c r="O130" s="5">
        <v>2</v>
      </c>
      <c r="P130" s="5">
        <f>ROUND(Source!EN125,O130)</f>
        <v>4915600.4800000004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226</v>
      </c>
      <c r="F131" s="5">
        <f>ROUND(Source!AW125,O131)</f>
        <v>102513.61</v>
      </c>
      <c r="G131" s="5" t="s">
        <v>197</v>
      </c>
      <c r="H131" s="5" t="s">
        <v>198</v>
      </c>
      <c r="I131" s="5"/>
      <c r="J131" s="5"/>
      <c r="K131" s="5">
        <v>226</v>
      </c>
      <c r="L131" s="5">
        <v>5</v>
      </c>
      <c r="M131" s="5">
        <v>3</v>
      </c>
      <c r="N131" s="5" t="s">
        <v>6</v>
      </c>
      <c r="O131" s="5">
        <v>2</v>
      </c>
      <c r="P131" s="5">
        <f>ROUND(Source!EO125,O131)</f>
        <v>4915600.4800000004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227</v>
      </c>
      <c r="F132" s="5">
        <f>ROUND(Source!AX125,O132)</f>
        <v>0</v>
      </c>
      <c r="G132" s="5" t="s">
        <v>199</v>
      </c>
      <c r="H132" s="5" t="s">
        <v>200</v>
      </c>
      <c r="I132" s="5"/>
      <c r="J132" s="5"/>
      <c r="K132" s="5">
        <v>227</v>
      </c>
      <c r="L132" s="5">
        <v>6</v>
      </c>
      <c r="M132" s="5">
        <v>3</v>
      </c>
      <c r="N132" s="5" t="s">
        <v>6</v>
      </c>
      <c r="O132" s="5">
        <v>2</v>
      </c>
      <c r="P132" s="5">
        <f>ROUND(Source!EP125,O132)</f>
        <v>0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228</v>
      </c>
      <c r="F133" s="5">
        <f>ROUND(Source!AY125,O133)</f>
        <v>102513.61</v>
      </c>
      <c r="G133" s="5" t="s">
        <v>201</v>
      </c>
      <c r="H133" s="5" t="s">
        <v>202</v>
      </c>
      <c r="I133" s="5"/>
      <c r="J133" s="5"/>
      <c r="K133" s="5">
        <v>228</v>
      </c>
      <c r="L133" s="5">
        <v>7</v>
      </c>
      <c r="M133" s="5">
        <v>3</v>
      </c>
      <c r="N133" s="5" t="s">
        <v>6</v>
      </c>
      <c r="O133" s="5">
        <v>2</v>
      </c>
      <c r="P133" s="5">
        <f>ROUND(Source!EQ125,O133)</f>
        <v>4915600.4800000004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216</v>
      </c>
      <c r="F134" s="5">
        <f>ROUND(Source!AP125,O134)</f>
        <v>0</v>
      </c>
      <c r="G134" s="5" t="s">
        <v>203</v>
      </c>
      <c r="H134" s="5" t="s">
        <v>204</v>
      </c>
      <c r="I134" s="5"/>
      <c r="J134" s="5"/>
      <c r="K134" s="5">
        <v>216</v>
      </c>
      <c r="L134" s="5">
        <v>8</v>
      </c>
      <c r="M134" s="5">
        <v>3</v>
      </c>
      <c r="N134" s="5" t="s">
        <v>6</v>
      </c>
      <c r="O134" s="5">
        <v>2</v>
      </c>
      <c r="P134" s="5">
        <f>ROUND(Source!EH125,O134)</f>
        <v>0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223</v>
      </c>
      <c r="F135" s="5">
        <f>ROUND(Source!AQ125,O135)</f>
        <v>0</v>
      </c>
      <c r="G135" s="5" t="s">
        <v>205</v>
      </c>
      <c r="H135" s="5" t="s">
        <v>206</v>
      </c>
      <c r="I135" s="5"/>
      <c r="J135" s="5"/>
      <c r="K135" s="5">
        <v>223</v>
      </c>
      <c r="L135" s="5">
        <v>9</v>
      </c>
      <c r="M135" s="5">
        <v>3</v>
      </c>
      <c r="N135" s="5" t="s">
        <v>6</v>
      </c>
      <c r="O135" s="5">
        <v>2</v>
      </c>
      <c r="P135" s="5">
        <f>ROUND(Source!EI125,O135)</f>
        <v>0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229</v>
      </c>
      <c r="F136" s="5">
        <f>ROUND(Source!AZ125,O136)</f>
        <v>0</v>
      </c>
      <c r="G136" s="5" t="s">
        <v>207</v>
      </c>
      <c r="H136" s="5" t="s">
        <v>208</v>
      </c>
      <c r="I136" s="5"/>
      <c r="J136" s="5"/>
      <c r="K136" s="5">
        <v>229</v>
      </c>
      <c r="L136" s="5">
        <v>10</v>
      </c>
      <c r="M136" s="5">
        <v>3</v>
      </c>
      <c r="N136" s="5" t="s">
        <v>6</v>
      </c>
      <c r="O136" s="5">
        <v>2</v>
      </c>
      <c r="P136" s="5">
        <f>ROUND(Source!ER125,O136)</f>
        <v>0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1</v>
      </c>
      <c r="E137" s="5">
        <v>203</v>
      </c>
      <c r="F137" s="5">
        <f>ROUND(Source!Q125,O137)</f>
        <v>3654.3</v>
      </c>
      <c r="G137" s="5" t="s">
        <v>209</v>
      </c>
      <c r="H137" s="5" t="s">
        <v>210</v>
      </c>
      <c r="I137" s="5"/>
      <c r="J137" s="5"/>
      <c r="K137" s="5">
        <v>203</v>
      </c>
      <c r="L137" s="5">
        <v>11</v>
      </c>
      <c r="M137" s="5">
        <v>3</v>
      </c>
      <c r="N137" s="5" t="s">
        <v>6</v>
      </c>
      <c r="O137" s="5">
        <v>2</v>
      </c>
      <c r="P137" s="5">
        <f>ROUND(Source!DI125,O137)</f>
        <v>24739.59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1</v>
      </c>
      <c r="E138" s="5">
        <v>231</v>
      </c>
      <c r="F138" s="5">
        <f>ROUND(Source!BB125,O138)</f>
        <v>0</v>
      </c>
      <c r="G138" s="5" t="s">
        <v>211</v>
      </c>
      <c r="H138" s="5" t="s">
        <v>212</v>
      </c>
      <c r="I138" s="5"/>
      <c r="J138" s="5"/>
      <c r="K138" s="5">
        <v>231</v>
      </c>
      <c r="L138" s="5">
        <v>12</v>
      </c>
      <c r="M138" s="5">
        <v>3</v>
      </c>
      <c r="N138" s="5" t="s">
        <v>6</v>
      </c>
      <c r="O138" s="5">
        <v>2</v>
      </c>
      <c r="P138" s="5">
        <f>ROUND(Source!ET125,O138)</f>
        <v>0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1</v>
      </c>
      <c r="E139" s="5">
        <v>204</v>
      </c>
      <c r="F139" s="5">
        <f>ROUND(Source!R125,O139)</f>
        <v>662.75</v>
      </c>
      <c r="G139" s="5" t="s">
        <v>213</v>
      </c>
      <c r="H139" s="5" t="s">
        <v>214</v>
      </c>
      <c r="I139" s="5"/>
      <c r="J139" s="5"/>
      <c r="K139" s="5">
        <v>204</v>
      </c>
      <c r="L139" s="5">
        <v>13</v>
      </c>
      <c r="M139" s="5">
        <v>3</v>
      </c>
      <c r="N139" s="5" t="s">
        <v>6</v>
      </c>
      <c r="O139" s="5">
        <v>2</v>
      </c>
      <c r="P139" s="5">
        <f>ROUND(Source!DJ125,O139)</f>
        <v>4486.71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1</v>
      </c>
      <c r="E140" s="5">
        <v>205</v>
      </c>
      <c r="F140" s="5">
        <f>ROUND(Source!S125,O140)</f>
        <v>18959.919999999998</v>
      </c>
      <c r="G140" s="5" t="s">
        <v>215</v>
      </c>
      <c r="H140" s="5" t="s">
        <v>216</v>
      </c>
      <c r="I140" s="5"/>
      <c r="J140" s="5"/>
      <c r="K140" s="5">
        <v>205</v>
      </c>
      <c r="L140" s="5">
        <v>14</v>
      </c>
      <c r="M140" s="5">
        <v>3</v>
      </c>
      <c r="N140" s="5" t="s">
        <v>6</v>
      </c>
      <c r="O140" s="5">
        <v>2</v>
      </c>
      <c r="P140" s="5">
        <f>ROUND(Source!DK125,O140)</f>
        <v>128358.72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0</v>
      </c>
      <c r="C141" s="5">
        <v>0</v>
      </c>
      <c r="D141" s="5">
        <v>1</v>
      </c>
      <c r="E141" s="5">
        <v>232</v>
      </c>
      <c r="F141" s="5">
        <f>ROUND(Source!BC125,O141)</f>
        <v>0</v>
      </c>
      <c r="G141" s="5" t="s">
        <v>217</v>
      </c>
      <c r="H141" s="5" t="s">
        <v>218</v>
      </c>
      <c r="I141" s="5"/>
      <c r="J141" s="5"/>
      <c r="K141" s="5">
        <v>232</v>
      </c>
      <c r="L141" s="5">
        <v>15</v>
      </c>
      <c r="M141" s="5">
        <v>3</v>
      </c>
      <c r="N141" s="5" t="s">
        <v>6</v>
      </c>
      <c r="O141" s="5">
        <v>2</v>
      </c>
      <c r="P141" s="5">
        <f>ROUND(Source!EU125,O141)</f>
        <v>0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0</v>
      </c>
      <c r="C142" s="5">
        <v>0</v>
      </c>
      <c r="D142" s="5">
        <v>1</v>
      </c>
      <c r="E142" s="5">
        <v>214</v>
      </c>
      <c r="F142" s="5">
        <f>ROUND(Source!AS125,O142)</f>
        <v>156007.6</v>
      </c>
      <c r="G142" s="5" t="s">
        <v>219</v>
      </c>
      <c r="H142" s="5" t="s">
        <v>220</v>
      </c>
      <c r="I142" s="5"/>
      <c r="J142" s="5"/>
      <c r="K142" s="5">
        <v>214</v>
      </c>
      <c r="L142" s="5">
        <v>16</v>
      </c>
      <c r="M142" s="5">
        <v>3</v>
      </c>
      <c r="N142" s="5" t="s">
        <v>6</v>
      </c>
      <c r="O142" s="5">
        <v>2</v>
      </c>
      <c r="P142" s="5">
        <f>ROUND(Source!EK125,O142)</f>
        <v>5277754.53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0</v>
      </c>
      <c r="C143" s="5">
        <v>0</v>
      </c>
      <c r="D143" s="5">
        <v>1</v>
      </c>
      <c r="E143" s="5">
        <v>215</v>
      </c>
      <c r="F143" s="5">
        <f>ROUND(Source!AT125,O143)</f>
        <v>0</v>
      </c>
      <c r="G143" s="5" t="s">
        <v>221</v>
      </c>
      <c r="H143" s="5" t="s">
        <v>222</v>
      </c>
      <c r="I143" s="5"/>
      <c r="J143" s="5"/>
      <c r="K143" s="5">
        <v>215</v>
      </c>
      <c r="L143" s="5">
        <v>17</v>
      </c>
      <c r="M143" s="5">
        <v>3</v>
      </c>
      <c r="N143" s="5" t="s">
        <v>6</v>
      </c>
      <c r="O143" s="5">
        <v>2</v>
      </c>
      <c r="P143" s="5">
        <f>ROUND(Source!EL125,O143)</f>
        <v>0</v>
      </c>
      <c r="Q143" s="5"/>
      <c r="R143" s="5"/>
      <c r="S143" s="5"/>
      <c r="T143" s="5"/>
      <c r="U143" s="5"/>
      <c r="V143" s="5"/>
      <c r="W143" s="5"/>
    </row>
    <row r="144" spans="1:23" x14ac:dyDescent="0.2">
      <c r="A144" s="5">
        <v>50</v>
      </c>
      <c r="B144" s="5">
        <v>0</v>
      </c>
      <c r="C144" s="5">
        <v>0</v>
      </c>
      <c r="D144" s="5">
        <v>1</v>
      </c>
      <c r="E144" s="5">
        <v>217</v>
      </c>
      <c r="F144" s="5">
        <f>ROUND(Source!AU125,O144)</f>
        <v>0</v>
      </c>
      <c r="G144" s="5" t="s">
        <v>223</v>
      </c>
      <c r="H144" s="5" t="s">
        <v>224</v>
      </c>
      <c r="I144" s="5"/>
      <c r="J144" s="5"/>
      <c r="K144" s="5">
        <v>217</v>
      </c>
      <c r="L144" s="5">
        <v>18</v>
      </c>
      <c r="M144" s="5">
        <v>3</v>
      </c>
      <c r="N144" s="5" t="s">
        <v>6</v>
      </c>
      <c r="O144" s="5">
        <v>2</v>
      </c>
      <c r="P144" s="5">
        <f>ROUND(Source!EM125,O144)</f>
        <v>0</v>
      </c>
      <c r="Q144" s="5"/>
      <c r="R144" s="5"/>
      <c r="S144" s="5"/>
      <c r="T144" s="5"/>
      <c r="U144" s="5"/>
      <c r="V144" s="5"/>
      <c r="W144" s="5"/>
    </row>
    <row r="145" spans="1:23" x14ac:dyDescent="0.2">
      <c r="A145" s="5">
        <v>50</v>
      </c>
      <c r="B145" s="5">
        <v>0</v>
      </c>
      <c r="C145" s="5">
        <v>0</v>
      </c>
      <c r="D145" s="5">
        <v>1</v>
      </c>
      <c r="E145" s="5">
        <v>230</v>
      </c>
      <c r="F145" s="5">
        <f>ROUND(Source!BA125,O145)</f>
        <v>0</v>
      </c>
      <c r="G145" s="5" t="s">
        <v>225</v>
      </c>
      <c r="H145" s="5" t="s">
        <v>226</v>
      </c>
      <c r="I145" s="5"/>
      <c r="J145" s="5"/>
      <c r="K145" s="5">
        <v>230</v>
      </c>
      <c r="L145" s="5">
        <v>19</v>
      </c>
      <c r="M145" s="5">
        <v>3</v>
      </c>
      <c r="N145" s="5" t="s">
        <v>6</v>
      </c>
      <c r="O145" s="5">
        <v>2</v>
      </c>
      <c r="P145" s="5">
        <f>ROUND(Source!ES125,O145)</f>
        <v>0</v>
      </c>
      <c r="Q145" s="5"/>
      <c r="R145" s="5"/>
      <c r="S145" s="5"/>
      <c r="T145" s="5"/>
      <c r="U145" s="5"/>
      <c r="V145" s="5"/>
      <c r="W145" s="5"/>
    </row>
    <row r="146" spans="1:23" x14ac:dyDescent="0.2">
      <c r="A146" s="5">
        <v>50</v>
      </c>
      <c r="B146" s="5">
        <v>0</v>
      </c>
      <c r="C146" s="5">
        <v>0</v>
      </c>
      <c r="D146" s="5">
        <v>1</v>
      </c>
      <c r="E146" s="5">
        <v>206</v>
      </c>
      <c r="F146" s="5">
        <f>ROUND(Source!T125,O146)</f>
        <v>0</v>
      </c>
      <c r="G146" s="5" t="s">
        <v>227</v>
      </c>
      <c r="H146" s="5" t="s">
        <v>228</v>
      </c>
      <c r="I146" s="5"/>
      <c r="J146" s="5"/>
      <c r="K146" s="5">
        <v>206</v>
      </c>
      <c r="L146" s="5">
        <v>20</v>
      </c>
      <c r="M146" s="5">
        <v>3</v>
      </c>
      <c r="N146" s="5" t="s">
        <v>6</v>
      </c>
      <c r="O146" s="5">
        <v>2</v>
      </c>
      <c r="P146" s="5">
        <f>ROUND(Source!DL125,O146)</f>
        <v>0</v>
      </c>
      <c r="Q146" s="5"/>
      <c r="R146" s="5"/>
      <c r="S146" s="5"/>
      <c r="T146" s="5"/>
      <c r="U146" s="5"/>
      <c r="V146" s="5"/>
      <c r="W146" s="5"/>
    </row>
    <row r="147" spans="1:23" x14ac:dyDescent="0.2">
      <c r="A147" s="5">
        <v>50</v>
      </c>
      <c r="B147" s="5">
        <v>0</v>
      </c>
      <c r="C147" s="5">
        <v>0</v>
      </c>
      <c r="D147" s="5">
        <v>1</v>
      </c>
      <c r="E147" s="5">
        <v>207</v>
      </c>
      <c r="F147" s="5">
        <f>Source!U125</f>
        <v>2164.1171003000004</v>
      </c>
      <c r="G147" s="5" t="s">
        <v>229</v>
      </c>
      <c r="H147" s="5" t="s">
        <v>230</v>
      </c>
      <c r="I147" s="5"/>
      <c r="J147" s="5"/>
      <c r="K147" s="5">
        <v>207</v>
      </c>
      <c r="L147" s="5">
        <v>21</v>
      </c>
      <c r="M147" s="5">
        <v>3</v>
      </c>
      <c r="N147" s="5" t="s">
        <v>6</v>
      </c>
      <c r="O147" s="5">
        <v>-1</v>
      </c>
      <c r="P147" s="5">
        <f>Source!DM125</f>
        <v>2164.1171003000004</v>
      </c>
      <c r="Q147" s="5"/>
      <c r="R147" s="5"/>
      <c r="S147" s="5"/>
      <c r="T147" s="5"/>
      <c r="U147" s="5"/>
      <c r="V147" s="5"/>
      <c r="W147" s="5"/>
    </row>
    <row r="148" spans="1:23" x14ac:dyDescent="0.2">
      <c r="A148" s="5">
        <v>50</v>
      </c>
      <c r="B148" s="5">
        <v>0</v>
      </c>
      <c r="C148" s="5">
        <v>0</v>
      </c>
      <c r="D148" s="5">
        <v>1</v>
      </c>
      <c r="E148" s="5">
        <v>208</v>
      </c>
      <c r="F148" s="5">
        <f>Source!V125</f>
        <v>50.686992070000002</v>
      </c>
      <c r="G148" s="5" t="s">
        <v>231</v>
      </c>
      <c r="H148" s="5" t="s">
        <v>232</v>
      </c>
      <c r="I148" s="5"/>
      <c r="J148" s="5"/>
      <c r="K148" s="5">
        <v>208</v>
      </c>
      <c r="L148" s="5">
        <v>22</v>
      </c>
      <c r="M148" s="5">
        <v>3</v>
      </c>
      <c r="N148" s="5" t="s">
        <v>6</v>
      </c>
      <c r="O148" s="5">
        <v>-1</v>
      </c>
      <c r="P148" s="5">
        <f>Source!DN125</f>
        <v>50.686992070000002</v>
      </c>
      <c r="Q148" s="5"/>
      <c r="R148" s="5"/>
      <c r="S148" s="5"/>
      <c r="T148" s="5"/>
      <c r="U148" s="5"/>
      <c r="V148" s="5"/>
      <c r="W148" s="5"/>
    </row>
    <row r="149" spans="1:23" x14ac:dyDescent="0.2">
      <c r="A149" s="5">
        <v>50</v>
      </c>
      <c r="B149" s="5">
        <v>0</v>
      </c>
      <c r="C149" s="5">
        <v>0</v>
      </c>
      <c r="D149" s="5">
        <v>1</v>
      </c>
      <c r="E149" s="5">
        <v>209</v>
      </c>
      <c r="F149" s="5">
        <f>ROUND(Source!W125,O149)</f>
        <v>0</v>
      </c>
      <c r="G149" s="5" t="s">
        <v>233</v>
      </c>
      <c r="H149" s="5" t="s">
        <v>234</v>
      </c>
      <c r="I149" s="5"/>
      <c r="J149" s="5"/>
      <c r="K149" s="5">
        <v>209</v>
      </c>
      <c r="L149" s="5">
        <v>23</v>
      </c>
      <c r="M149" s="5">
        <v>3</v>
      </c>
      <c r="N149" s="5" t="s">
        <v>6</v>
      </c>
      <c r="O149" s="5">
        <v>2</v>
      </c>
      <c r="P149" s="5">
        <f>ROUND(Source!DO125,O149)</f>
        <v>0</v>
      </c>
      <c r="Q149" s="5"/>
      <c r="R149" s="5"/>
      <c r="S149" s="5"/>
      <c r="T149" s="5"/>
      <c r="U149" s="5"/>
      <c r="V149" s="5"/>
      <c r="W149" s="5"/>
    </row>
    <row r="150" spans="1:23" x14ac:dyDescent="0.2">
      <c r="A150" s="5">
        <v>50</v>
      </c>
      <c r="B150" s="5">
        <v>0</v>
      </c>
      <c r="C150" s="5">
        <v>0</v>
      </c>
      <c r="D150" s="5">
        <v>1</v>
      </c>
      <c r="E150" s="5">
        <v>210</v>
      </c>
      <c r="F150" s="5">
        <f>ROUND(Source!X125,O150)</f>
        <v>18608.759999999998</v>
      </c>
      <c r="G150" s="5" t="s">
        <v>235</v>
      </c>
      <c r="H150" s="5" t="s">
        <v>236</v>
      </c>
      <c r="I150" s="5"/>
      <c r="J150" s="5"/>
      <c r="K150" s="5">
        <v>210</v>
      </c>
      <c r="L150" s="5">
        <v>24</v>
      </c>
      <c r="M150" s="5">
        <v>3</v>
      </c>
      <c r="N150" s="5" t="s">
        <v>6</v>
      </c>
      <c r="O150" s="5">
        <v>2</v>
      </c>
      <c r="P150" s="5">
        <f>ROUND(Source!DP125,O150)</f>
        <v>125981.19</v>
      </c>
      <c r="Q150" s="5"/>
      <c r="R150" s="5"/>
      <c r="S150" s="5"/>
      <c r="T150" s="5"/>
      <c r="U150" s="5"/>
      <c r="V150" s="5"/>
      <c r="W150" s="5"/>
    </row>
    <row r="151" spans="1:23" x14ac:dyDescent="0.2">
      <c r="A151" s="5">
        <v>50</v>
      </c>
      <c r="B151" s="5">
        <v>0</v>
      </c>
      <c r="C151" s="5">
        <v>0</v>
      </c>
      <c r="D151" s="5">
        <v>1</v>
      </c>
      <c r="E151" s="5">
        <v>211</v>
      </c>
      <c r="F151" s="5">
        <f>ROUND(Source!Y125,O151)</f>
        <v>10857.43</v>
      </c>
      <c r="G151" s="5" t="s">
        <v>237</v>
      </c>
      <c r="H151" s="5" t="s">
        <v>238</v>
      </c>
      <c r="I151" s="5"/>
      <c r="J151" s="5"/>
      <c r="K151" s="5">
        <v>211</v>
      </c>
      <c r="L151" s="5">
        <v>25</v>
      </c>
      <c r="M151" s="5">
        <v>3</v>
      </c>
      <c r="N151" s="5" t="s">
        <v>6</v>
      </c>
      <c r="O151" s="5">
        <v>2</v>
      </c>
      <c r="P151" s="5">
        <f>ROUND(Source!DQ125,O151)</f>
        <v>73504.63</v>
      </c>
      <c r="Q151" s="5"/>
      <c r="R151" s="5"/>
      <c r="S151" s="5"/>
      <c r="T151" s="5"/>
      <c r="U151" s="5"/>
      <c r="V151" s="5"/>
      <c r="W151" s="5"/>
    </row>
    <row r="152" spans="1:23" x14ac:dyDescent="0.2">
      <c r="A152" s="5">
        <v>50</v>
      </c>
      <c r="B152" s="5">
        <v>0</v>
      </c>
      <c r="C152" s="5">
        <v>0</v>
      </c>
      <c r="D152" s="5">
        <v>1</v>
      </c>
      <c r="E152" s="5">
        <v>0</v>
      </c>
      <c r="F152" s="5">
        <f>ROUND(Source!AR125,O152)</f>
        <v>156007.6</v>
      </c>
      <c r="G152" s="5" t="s">
        <v>239</v>
      </c>
      <c r="H152" s="5" t="s">
        <v>240</v>
      </c>
      <c r="I152" s="5"/>
      <c r="J152" s="5"/>
      <c r="K152" s="5">
        <v>224</v>
      </c>
      <c r="L152" s="5">
        <v>26</v>
      </c>
      <c r="M152" s="5">
        <v>3</v>
      </c>
      <c r="N152" s="5" t="s">
        <v>6</v>
      </c>
      <c r="O152" s="5">
        <v>2</v>
      </c>
      <c r="P152" s="5">
        <f>ROUND(Source!EJ125,O152)</f>
        <v>5277754.53</v>
      </c>
      <c r="Q152" s="5"/>
      <c r="R152" s="5"/>
      <c r="S152" s="5"/>
      <c r="T152" s="5"/>
      <c r="U152" s="5"/>
      <c r="V152" s="5"/>
      <c r="W152" s="5"/>
    </row>
    <row r="153" spans="1:23" x14ac:dyDescent="0.2">
      <c r="A153" s="5">
        <v>50</v>
      </c>
      <c r="B153" s="5">
        <v>1</v>
      </c>
      <c r="C153" s="5">
        <v>0</v>
      </c>
      <c r="D153" s="5">
        <v>2</v>
      </c>
      <c r="E153" s="5">
        <v>0</v>
      </c>
      <c r="F153" s="5">
        <f>ROUND(F152,O153)</f>
        <v>156007.6</v>
      </c>
      <c r="G153" s="5" t="s">
        <v>241</v>
      </c>
      <c r="H153" s="5" t="s">
        <v>239</v>
      </c>
      <c r="I153" s="5"/>
      <c r="J153" s="5"/>
      <c r="K153" s="5">
        <v>212</v>
      </c>
      <c r="L153" s="5">
        <v>27</v>
      </c>
      <c r="M153" s="5">
        <v>0</v>
      </c>
      <c r="N153" s="5" t="s">
        <v>6</v>
      </c>
      <c r="O153" s="5">
        <v>2</v>
      </c>
      <c r="P153" s="5">
        <f>ROUND(P152,O153)</f>
        <v>5277754.53</v>
      </c>
      <c r="Q153" s="5"/>
      <c r="R153" s="5"/>
      <c r="S153" s="5"/>
      <c r="T153" s="5"/>
      <c r="U153" s="5"/>
      <c r="V153" s="5"/>
      <c r="W153" s="5"/>
    </row>
    <row r="154" spans="1:23" x14ac:dyDescent="0.2">
      <c r="A154" s="5">
        <v>50</v>
      </c>
      <c r="B154" s="5">
        <v>1</v>
      </c>
      <c r="C154" s="5">
        <v>0</v>
      </c>
      <c r="D154" s="5">
        <v>2</v>
      </c>
      <c r="E154" s="5">
        <v>0</v>
      </c>
      <c r="F154" s="5">
        <f>ROUND(F153*0.2,O154)</f>
        <v>31201.52</v>
      </c>
      <c r="G154" s="5" t="s">
        <v>242</v>
      </c>
      <c r="H154" s="5" t="s">
        <v>243</v>
      </c>
      <c r="I154" s="5"/>
      <c r="J154" s="5"/>
      <c r="K154" s="5">
        <v>212</v>
      </c>
      <c r="L154" s="5">
        <v>28</v>
      </c>
      <c r="M154" s="5">
        <v>0</v>
      </c>
      <c r="N154" s="5" t="s">
        <v>6</v>
      </c>
      <c r="O154" s="5">
        <v>2</v>
      </c>
      <c r="P154" s="5">
        <f>ROUND(P153*0.2,O154)</f>
        <v>1055550.9099999999</v>
      </c>
      <c r="Q154" s="5"/>
      <c r="R154" s="5"/>
      <c r="S154" s="5"/>
      <c r="T154" s="5"/>
      <c r="U154" s="5"/>
      <c r="V154" s="5"/>
      <c r="W154" s="5"/>
    </row>
    <row r="155" spans="1:23" x14ac:dyDescent="0.2">
      <c r="A155" s="5">
        <v>50</v>
      </c>
      <c r="B155" s="5">
        <v>1</v>
      </c>
      <c r="C155" s="5">
        <v>0</v>
      </c>
      <c r="D155" s="5">
        <v>2</v>
      </c>
      <c r="E155" s="5">
        <v>224</v>
      </c>
      <c r="F155" s="5">
        <f>ROUND(F153+F154,O155)</f>
        <v>187209.12</v>
      </c>
      <c r="G155" s="5" t="s">
        <v>244</v>
      </c>
      <c r="H155" s="5" t="s">
        <v>245</v>
      </c>
      <c r="I155" s="5"/>
      <c r="J155" s="5"/>
      <c r="K155" s="5">
        <v>212</v>
      </c>
      <c r="L155" s="5">
        <v>29</v>
      </c>
      <c r="M155" s="5">
        <v>0</v>
      </c>
      <c r="N155" s="5" t="s">
        <v>6</v>
      </c>
      <c r="O155" s="5">
        <v>2</v>
      </c>
      <c r="P155" s="5">
        <f>ROUND(P153+P154,O155)</f>
        <v>6333305.4400000004</v>
      </c>
      <c r="Q155" s="5"/>
      <c r="R155" s="5"/>
      <c r="S155" s="5"/>
      <c r="T155" s="5"/>
      <c r="U155" s="5"/>
      <c r="V155" s="5"/>
      <c r="W155" s="5"/>
    </row>
    <row r="158" spans="1:23" x14ac:dyDescent="0.2">
      <c r="A158">
        <v>70</v>
      </c>
      <c r="B158">
        <v>1</v>
      </c>
      <c r="D158">
        <v>1</v>
      </c>
      <c r="E158" t="s">
        <v>246</v>
      </c>
      <c r="F158" t="s">
        <v>247</v>
      </c>
      <c r="G158">
        <v>0</v>
      </c>
      <c r="H158">
        <v>0</v>
      </c>
      <c r="I158" t="s">
        <v>6</v>
      </c>
      <c r="J158">
        <v>1</v>
      </c>
      <c r="K158">
        <v>0</v>
      </c>
      <c r="L158" t="s">
        <v>6</v>
      </c>
      <c r="M158" t="s">
        <v>6</v>
      </c>
      <c r="N158">
        <v>0</v>
      </c>
      <c r="O158">
        <v>0</v>
      </c>
    </row>
    <row r="159" spans="1:23" x14ac:dyDescent="0.2">
      <c r="A159">
        <v>70</v>
      </c>
      <c r="B159">
        <v>1</v>
      </c>
      <c r="D159">
        <v>2</v>
      </c>
      <c r="E159" t="s">
        <v>248</v>
      </c>
      <c r="F159" t="s">
        <v>249</v>
      </c>
      <c r="G159">
        <v>1</v>
      </c>
      <c r="H159">
        <v>0</v>
      </c>
      <c r="I159" t="s">
        <v>6</v>
      </c>
      <c r="J159">
        <v>1</v>
      </c>
      <c r="K159">
        <v>0</v>
      </c>
      <c r="L159" t="s">
        <v>6</v>
      </c>
      <c r="M159" t="s">
        <v>6</v>
      </c>
      <c r="N159">
        <v>0</v>
      </c>
      <c r="O159">
        <v>1</v>
      </c>
    </row>
    <row r="160" spans="1:23" x14ac:dyDescent="0.2">
      <c r="A160">
        <v>70</v>
      </c>
      <c r="B160">
        <v>1</v>
      </c>
      <c r="D160">
        <v>3</v>
      </c>
      <c r="E160" t="s">
        <v>250</v>
      </c>
      <c r="F160" t="s">
        <v>251</v>
      </c>
      <c r="G160">
        <v>0</v>
      </c>
      <c r="H160">
        <v>0</v>
      </c>
      <c r="I160" t="s">
        <v>6</v>
      </c>
      <c r="J160">
        <v>1</v>
      </c>
      <c r="K160">
        <v>0</v>
      </c>
      <c r="L160" t="s">
        <v>6</v>
      </c>
      <c r="M160" t="s">
        <v>6</v>
      </c>
      <c r="N160">
        <v>0</v>
      </c>
      <c r="O160">
        <v>0</v>
      </c>
    </row>
    <row r="161" spans="1:15" x14ac:dyDescent="0.2">
      <c r="A161">
        <v>70</v>
      </c>
      <c r="B161">
        <v>1</v>
      </c>
      <c r="D161">
        <v>4</v>
      </c>
      <c r="E161" t="s">
        <v>252</v>
      </c>
      <c r="F161" t="s">
        <v>253</v>
      </c>
      <c r="G161">
        <v>0</v>
      </c>
      <c r="H161">
        <v>0</v>
      </c>
      <c r="I161" t="s">
        <v>254</v>
      </c>
      <c r="J161">
        <v>0</v>
      </c>
      <c r="K161">
        <v>0</v>
      </c>
      <c r="L161" t="s">
        <v>6</v>
      </c>
      <c r="M161" t="s">
        <v>6</v>
      </c>
      <c r="N161">
        <v>0</v>
      </c>
      <c r="O161">
        <v>0</v>
      </c>
    </row>
    <row r="162" spans="1:15" x14ac:dyDescent="0.2">
      <c r="A162">
        <v>70</v>
      </c>
      <c r="B162">
        <v>1</v>
      </c>
      <c r="D162">
        <v>5</v>
      </c>
      <c r="E162" t="s">
        <v>255</v>
      </c>
      <c r="F162" t="s">
        <v>256</v>
      </c>
      <c r="G162">
        <v>0</v>
      </c>
      <c r="H162">
        <v>0</v>
      </c>
      <c r="I162" t="s">
        <v>257</v>
      </c>
      <c r="J162">
        <v>0</v>
      </c>
      <c r="K162">
        <v>0</v>
      </c>
      <c r="L162" t="s">
        <v>6</v>
      </c>
      <c r="M162" t="s">
        <v>6</v>
      </c>
      <c r="N162">
        <v>0</v>
      </c>
      <c r="O162">
        <v>0</v>
      </c>
    </row>
    <row r="163" spans="1:15" x14ac:dyDescent="0.2">
      <c r="A163">
        <v>70</v>
      </c>
      <c r="B163">
        <v>1</v>
      </c>
      <c r="D163">
        <v>6</v>
      </c>
      <c r="E163" t="s">
        <v>258</v>
      </c>
      <c r="F163" t="s">
        <v>259</v>
      </c>
      <c r="G163">
        <v>0</v>
      </c>
      <c r="H163">
        <v>0</v>
      </c>
      <c r="I163" t="s">
        <v>260</v>
      </c>
      <c r="J163">
        <v>0</v>
      </c>
      <c r="K163">
        <v>0</v>
      </c>
      <c r="L163" t="s">
        <v>6</v>
      </c>
      <c r="M163" t="s">
        <v>6</v>
      </c>
      <c r="N163">
        <v>0</v>
      </c>
      <c r="O163">
        <v>0</v>
      </c>
    </row>
    <row r="164" spans="1:15" x14ac:dyDescent="0.2">
      <c r="A164">
        <v>70</v>
      </c>
      <c r="B164">
        <v>1</v>
      </c>
      <c r="D164">
        <v>7</v>
      </c>
      <c r="E164" t="s">
        <v>261</v>
      </c>
      <c r="F164" t="s">
        <v>262</v>
      </c>
      <c r="G164">
        <v>0</v>
      </c>
      <c r="H164">
        <v>0</v>
      </c>
      <c r="I164" t="s">
        <v>6</v>
      </c>
      <c r="J164">
        <v>0</v>
      </c>
      <c r="K164">
        <v>0</v>
      </c>
      <c r="L164" t="s">
        <v>6</v>
      </c>
      <c r="M164" t="s">
        <v>6</v>
      </c>
      <c r="N164">
        <v>0</v>
      </c>
      <c r="O164">
        <v>0</v>
      </c>
    </row>
    <row r="165" spans="1:15" x14ac:dyDescent="0.2">
      <c r="A165">
        <v>70</v>
      </c>
      <c r="B165">
        <v>1</v>
      </c>
      <c r="D165">
        <v>8</v>
      </c>
      <c r="E165" t="s">
        <v>263</v>
      </c>
      <c r="F165" t="s">
        <v>264</v>
      </c>
      <c r="G165">
        <v>0</v>
      </c>
      <c r="H165">
        <v>0</v>
      </c>
      <c r="I165" t="s">
        <v>265</v>
      </c>
      <c r="J165">
        <v>0</v>
      </c>
      <c r="K165">
        <v>0</v>
      </c>
      <c r="L165" t="s">
        <v>6</v>
      </c>
      <c r="M165" t="s">
        <v>6</v>
      </c>
      <c r="N165">
        <v>0</v>
      </c>
      <c r="O165">
        <v>0</v>
      </c>
    </row>
    <row r="166" spans="1:15" x14ac:dyDescent="0.2">
      <c r="A166">
        <v>70</v>
      </c>
      <c r="B166">
        <v>1</v>
      </c>
      <c r="D166">
        <v>9</v>
      </c>
      <c r="E166" t="s">
        <v>266</v>
      </c>
      <c r="F166" t="s">
        <v>267</v>
      </c>
      <c r="G166">
        <v>0</v>
      </c>
      <c r="H166">
        <v>0</v>
      </c>
      <c r="I166" t="s">
        <v>268</v>
      </c>
      <c r="J166">
        <v>0</v>
      </c>
      <c r="K166">
        <v>0</v>
      </c>
      <c r="L166" t="s">
        <v>6</v>
      </c>
      <c r="M166" t="s">
        <v>6</v>
      </c>
      <c r="N166">
        <v>0</v>
      </c>
      <c r="O166">
        <v>0</v>
      </c>
    </row>
    <row r="167" spans="1:15" x14ac:dyDescent="0.2">
      <c r="A167">
        <v>70</v>
      </c>
      <c r="B167">
        <v>1</v>
      </c>
      <c r="D167">
        <v>10</v>
      </c>
      <c r="E167" t="s">
        <v>269</v>
      </c>
      <c r="F167" t="s">
        <v>270</v>
      </c>
      <c r="G167">
        <v>0</v>
      </c>
      <c r="H167">
        <v>0</v>
      </c>
      <c r="I167" t="s">
        <v>271</v>
      </c>
      <c r="J167">
        <v>0</v>
      </c>
      <c r="K167">
        <v>0</v>
      </c>
      <c r="L167" t="s">
        <v>6</v>
      </c>
      <c r="M167" t="s">
        <v>6</v>
      </c>
      <c r="N167">
        <v>0</v>
      </c>
      <c r="O167">
        <v>0</v>
      </c>
    </row>
    <row r="168" spans="1:15" x14ac:dyDescent="0.2">
      <c r="A168">
        <v>70</v>
      </c>
      <c r="B168">
        <v>1</v>
      </c>
      <c r="D168">
        <v>11</v>
      </c>
      <c r="E168" t="s">
        <v>272</v>
      </c>
      <c r="F168" t="s">
        <v>273</v>
      </c>
      <c r="G168">
        <v>0</v>
      </c>
      <c r="H168">
        <v>0</v>
      </c>
      <c r="I168" t="s">
        <v>274</v>
      </c>
      <c r="J168">
        <v>0</v>
      </c>
      <c r="K168">
        <v>0</v>
      </c>
      <c r="L168" t="s">
        <v>6</v>
      </c>
      <c r="M168" t="s">
        <v>6</v>
      </c>
      <c r="N168">
        <v>0</v>
      </c>
      <c r="O168">
        <v>0</v>
      </c>
    </row>
    <row r="169" spans="1:15" x14ac:dyDescent="0.2">
      <c r="A169">
        <v>70</v>
      </c>
      <c r="B169">
        <v>1</v>
      </c>
      <c r="D169">
        <v>12</v>
      </c>
      <c r="E169" t="s">
        <v>275</v>
      </c>
      <c r="F169" t="s">
        <v>276</v>
      </c>
      <c r="G169">
        <v>0</v>
      </c>
      <c r="H169">
        <v>0</v>
      </c>
      <c r="I169" t="s">
        <v>6</v>
      </c>
      <c r="J169">
        <v>0</v>
      </c>
      <c r="K169">
        <v>0</v>
      </c>
      <c r="L169" t="s">
        <v>6</v>
      </c>
      <c r="M169" t="s">
        <v>6</v>
      </c>
      <c r="N169">
        <v>0</v>
      </c>
      <c r="O169">
        <v>0</v>
      </c>
    </row>
    <row r="170" spans="1:15" x14ac:dyDescent="0.2">
      <c r="A170">
        <v>70</v>
      </c>
      <c r="B170">
        <v>1</v>
      </c>
      <c r="D170">
        <v>1</v>
      </c>
      <c r="E170" t="s">
        <v>277</v>
      </c>
      <c r="F170" t="s">
        <v>278</v>
      </c>
      <c r="G170">
        <v>0.9</v>
      </c>
      <c r="H170">
        <v>1</v>
      </c>
      <c r="I170" t="s">
        <v>279</v>
      </c>
      <c r="J170">
        <v>0</v>
      </c>
      <c r="K170">
        <v>0</v>
      </c>
      <c r="L170" t="s">
        <v>6</v>
      </c>
      <c r="M170" t="s">
        <v>6</v>
      </c>
      <c r="N170">
        <v>0</v>
      </c>
      <c r="O170">
        <v>0.9</v>
      </c>
    </row>
    <row r="171" spans="1:15" x14ac:dyDescent="0.2">
      <c r="A171">
        <v>70</v>
      </c>
      <c r="B171">
        <v>1</v>
      </c>
      <c r="D171">
        <v>2</v>
      </c>
      <c r="E171" t="s">
        <v>280</v>
      </c>
      <c r="F171" t="s">
        <v>281</v>
      </c>
      <c r="G171">
        <v>0.85</v>
      </c>
      <c r="H171">
        <v>1</v>
      </c>
      <c r="I171" t="s">
        <v>282</v>
      </c>
      <c r="J171">
        <v>0</v>
      </c>
      <c r="K171">
        <v>0</v>
      </c>
      <c r="L171" t="s">
        <v>6</v>
      </c>
      <c r="M171" t="s">
        <v>6</v>
      </c>
      <c r="N171">
        <v>0</v>
      </c>
      <c r="O171">
        <v>0.85</v>
      </c>
    </row>
    <row r="172" spans="1:15" x14ac:dyDescent="0.2">
      <c r="A172">
        <v>70</v>
      </c>
      <c r="B172">
        <v>1</v>
      </c>
      <c r="D172">
        <v>3</v>
      </c>
      <c r="E172" t="s">
        <v>283</v>
      </c>
      <c r="F172" t="s">
        <v>284</v>
      </c>
      <c r="G172">
        <v>1</v>
      </c>
      <c r="H172">
        <v>0.85</v>
      </c>
      <c r="I172" t="s">
        <v>285</v>
      </c>
      <c r="J172">
        <v>0</v>
      </c>
      <c r="K172">
        <v>0</v>
      </c>
      <c r="L172" t="s">
        <v>6</v>
      </c>
      <c r="M172" t="s">
        <v>6</v>
      </c>
      <c r="N172">
        <v>0</v>
      </c>
      <c r="O172">
        <v>1</v>
      </c>
    </row>
    <row r="173" spans="1:15" x14ac:dyDescent="0.2">
      <c r="A173">
        <v>70</v>
      </c>
      <c r="B173">
        <v>1</v>
      </c>
      <c r="D173">
        <v>4</v>
      </c>
      <c r="E173" t="s">
        <v>286</v>
      </c>
      <c r="F173" t="s">
        <v>287</v>
      </c>
      <c r="G173">
        <v>1</v>
      </c>
      <c r="H173">
        <v>0</v>
      </c>
      <c r="I173" t="s">
        <v>6</v>
      </c>
      <c r="J173">
        <v>0</v>
      </c>
      <c r="K173">
        <v>0</v>
      </c>
      <c r="L173" t="s">
        <v>6</v>
      </c>
      <c r="M173" t="s">
        <v>6</v>
      </c>
      <c r="N173">
        <v>0</v>
      </c>
      <c r="O173">
        <v>1</v>
      </c>
    </row>
    <row r="174" spans="1:15" x14ac:dyDescent="0.2">
      <c r="A174">
        <v>70</v>
      </c>
      <c r="B174">
        <v>1</v>
      </c>
      <c r="D174">
        <v>5</v>
      </c>
      <c r="E174" t="s">
        <v>288</v>
      </c>
      <c r="F174" t="s">
        <v>289</v>
      </c>
      <c r="G174">
        <v>1</v>
      </c>
      <c r="H174">
        <v>0.8</v>
      </c>
      <c r="I174" t="s">
        <v>290</v>
      </c>
      <c r="J174">
        <v>0</v>
      </c>
      <c r="K174">
        <v>0</v>
      </c>
      <c r="L174" t="s">
        <v>6</v>
      </c>
      <c r="M174" t="s">
        <v>6</v>
      </c>
      <c r="N174">
        <v>0</v>
      </c>
      <c r="O174">
        <v>1</v>
      </c>
    </row>
    <row r="175" spans="1:15" x14ac:dyDescent="0.2">
      <c r="A175">
        <v>70</v>
      </c>
      <c r="B175">
        <v>1</v>
      </c>
      <c r="D175">
        <v>6</v>
      </c>
      <c r="E175" t="s">
        <v>291</v>
      </c>
      <c r="F175" t="s">
        <v>292</v>
      </c>
      <c r="G175">
        <v>1</v>
      </c>
      <c r="H175">
        <v>0</v>
      </c>
      <c r="I175" t="s">
        <v>6</v>
      </c>
      <c r="J175">
        <v>0</v>
      </c>
      <c r="K175">
        <v>0</v>
      </c>
      <c r="L175" t="s">
        <v>6</v>
      </c>
      <c r="M175" t="s">
        <v>6</v>
      </c>
      <c r="N175">
        <v>0</v>
      </c>
      <c r="O175">
        <v>0.85</v>
      </c>
    </row>
    <row r="176" spans="1:15" x14ac:dyDescent="0.2">
      <c r="A176">
        <v>70</v>
      </c>
      <c r="B176">
        <v>1</v>
      </c>
      <c r="D176">
        <v>7</v>
      </c>
      <c r="E176" t="s">
        <v>293</v>
      </c>
      <c r="F176" t="s">
        <v>294</v>
      </c>
      <c r="G176">
        <v>1</v>
      </c>
      <c r="H176">
        <v>0</v>
      </c>
      <c r="I176" t="s">
        <v>6</v>
      </c>
      <c r="J176">
        <v>0</v>
      </c>
      <c r="K176">
        <v>0</v>
      </c>
      <c r="L176" t="s">
        <v>6</v>
      </c>
      <c r="M176" t="s">
        <v>6</v>
      </c>
      <c r="N176">
        <v>0</v>
      </c>
      <c r="O176">
        <v>0.8</v>
      </c>
    </row>
    <row r="177" spans="1:34" x14ac:dyDescent="0.2">
      <c r="A177">
        <v>70</v>
      </c>
      <c r="B177">
        <v>1</v>
      </c>
      <c r="D177">
        <v>8</v>
      </c>
      <c r="E177" t="s">
        <v>295</v>
      </c>
      <c r="F177" t="s">
        <v>296</v>
      </c>
      <c r="G177">
        <v>0.7</v>
      </c>
      <c r="H177">
        <v>0</v>
      </c>
      <c r="I177" t="s">
        <v>6</v>
      </c>
      <c r="J177">
        <v>0</v>
      </c>
      <c r="K177">
        <v>0</v>
      </c>
      <c r="L177" t="s">
        <v>6</v>
      </c>
      <c r="M177" t="s">
        <v>6</v>
      </c>
      <c r="N177">
        <v>0</v>
      </c>
      <c r="O177">
        <v>0.94</v>
      </c>
    </row>
    <row r="178" spans="1:34" x14ac:dyDescent="0.2">
      <c r="A178">
        <v>70</v>
      </c>
      <c r="B178">
        <v>1</v>
      </c>
      <c r="D178">
        <v>9</v>
      </c>
      <c r="E178" t="s">
        <v>297</v>
      </c>
      <c r="F178" t="s">
        <v>298</v>
      </c>
      <c r="G178">
        <v>0.9</v>
      </c>
      <c r="H178">
        <v>0</v>
      </c>
      <c r="I178" t="s">
        <v>6</v>
      </c>
      <c r="J178">
        <v>0</v>
      </c>
      <c r="K178">
        <v>0</v>
      </c>
      <c r="L178" t="s">
        <v>6</v>
      </c>
      <c r="M178" t="s">
        <v>6</v>
      </c>
      <c r="N178">
        <v>0</v>
      </c>
      <c r="O178">
        <v>0.9</v>
      </c>
    </row>
    <row r="179" spans="1:34" x14ac:dyDescent="0.2">
      <c r="A179">
        <v>70</v>
      </c>
      <c r="B179">
        <v>1</v>
      </c>
      <c r="D179">
        <v>10</v>
      </c>
      <c r="E179" t="s">
        <v>299</v>
      </c>
      <c r="F179" t="s">
        <v>300</v>
      </c>
      <c r="G179">
        <v>0.6</v>
      </c>
      <c r="H179">
        <v>0</v>
      </c>
      <c r="I179" t="s">
        <v>6</v>
      </c>
      <c r="J179">
        <v>0</v>
      </c>
      <c r="K179">
        <v>0</v>
      </c>
      <c r="L179" t="s">
        <v>6</v>
      </c>
      <c r="M179" t="s">
        <v>6</v>
      </c>
      <c r="N179">
        <v>0</v>
      </c>
      <c r="O179">
        <v>0.6</v>
      </c>
    </row>
    <row r="180" spans="1:34" x14ac:dyDescent="0.2">
      <c r="A180">
        <v>70</v>
      </c>
      <c r="B180">
        <v>1</v>
      </c>
      <c r="D180">
        <v>11</v>
      </c>
      <c r="E180" t="s">
        <v>301</v>
      </c>
      <c r="F180" t="s">
        <v>302</v>
      </c>
      <c r="G180">
        <v>1.2</v>
      </c>
      <c r="H180">
        <v>0</v>
      </c>
      <c r="I180" t="s">
        <v>6</v>
      </c>
      <c r="J180">
        <v>0</v>
      </c>
      <c r="K180">
        <v>0</v>
      </c>
      <c r="L180" t="s">
        <v>6</v>
      </c>
      <c r="M180" t="s">
        <v>6</v>
      </c>
      <c r="N180">
        <v>0</v>
      </c>
      <c r="O180">
        <v>1.2</v>
      </c>
    </row>
    <row r="181" spans="1:34" x14ac:dyDescent="0.2">
      <c r="A181">
        <v>70</v>
      </c>
      <c r="B181">
        <v>1</v>
      </c>
      <c r="D181">
        <v>12</v>
      </c>
      <c r="E181" t="s">
        <v>303</v>
      </c>
      <c r="F181" t="s">
        <v>304</v>
      </c>
      <c r="G181">
        <v>0</v>
      </c>
      <c r="H181">
        <v>0</v>
      </c>
      <c r="I181" t="s">
        <v>6</v>
      </c>
      <c r="J181">
        <v>0</v>
      </c>
      <c r="K181">
        <v>0</v>
      </c>
      <c r="L181" t="s">
        <v>6</v>
      </c>
      <c r="M181" t="s">
        <v>6</v>
      </c>
      <c r="N181">
        <v>0</v>
      </c>
      <c r="O181">
        <v>0</v>
      </c>
    </row>
    <row r="182" spans="1:34" x14ac:dyDescent="0.2">
      <c r="A182">
        <v>70</v>
      </c>
      <c r="B182">
        <v>1</v>
      </c>
      <c r="D182">
        <v>13</v>
      </c>
      <c r="E182" t="s">
        <v>305</v>
      </c>
      <c r="F182" t="s">
        <v>306</v>
      </c>
      <c r="G182">
        <v>1</v>
      </c>
      <c r="H182">
        <v>0</v>
      </c>
      <c r="I182" t="s">
        <v>6</v>
      </c>
      <c r="J182">
        <v>0</v>
      </c>
      <c r="K182">
        <v>0</v>
      </c>
      <c r="L182" t="s">
        <v>6</v>
      </c>
      <c r="M182" t="s">
        <v>6</v>
      </c>
      <c r="N182">
        <v>0</v>
      </c>
      <c r="O182">
        <v>0.94</v>
      </c>
    </row>
    <row r="184" spans="1:34" x14ac:dyDescent="0.2">
      <c r="A184">
        <v>-1</v>
      </c>
    </row>
    <row r="186" spans="1:34" x14ac:dyDescent="0.2">
      <c r="A186" s="4">
        <v>75</v>
      </c>
      <c r="B186" s="4" t="s">
        <v>307</v>
      </c>
      <c r="C186" s="4">
        <v>2000</v>
      </c>
      <c r="D186" s="4">
        <v>0</v>
      </c>
      <c r="E186" s="4">
        <v>1</v>
      </c>
      <c r="F186" s="4">
        <v>0</v>
      </c>
      <c r="G186" s="4">
        <v>0</v>
      </c>
      <c r="H186" s="4">
        <v>1</v>
      </c>
      <c r="I186" s="4">
        <v>0</v>
      </c>
      <c r="J186" s="4">
        <v>1</v>
      </c>
      <c r="K186" s="4">
        <v>0</v>
      </c>
      <c r="L186" s="4">
        <v>0</v>
      </c>
      <c r="M186" s="4">
        <v>0</v>
      </c>
      <c r="N186" s="4">
        <v>16856227</v>
      </c>
      <c r="O186" s="4">
        <v>1</v>
      </c>
    </row>
    <row r="187" spans="1:34" x14ac:dyDescent="0.2">
      <c r="A187" s="4">
        <v>75</v>
      </c>
      <c r="B187" s="4" t="s">
        <v>308</v>
      </c>
      <c r="C187" s="4">
        <v>2018</v>
      </c>
      <c r="D187" s="4">
        <v>3</v>
      </c>
      <c r="E187" s="4">
        <v>0</v>
      </c>
      <c r="F187" s="4"/>
      <c r="G187" s="4">
        <v>0</v>
      </c>
      <c r="H187" s="4">
        <v>1</v>
      </c>
      <c r="I187" s="4">
        <v>0</v>
      </c>
      <c r="J187" s="4">
        <v>1</v>
      </c>
      <c r="K187" s="4">
        <v>0</v>
      </c>
      <c r="L187" s="4">
        <v>0</v>
      </c>
      <c r="M187" s="4">
        <v>1</v>
      </c>
      <c r="N187" s="4">
        <v>16856228</v>
      </c>
      <c r="O187" s="4">
        <v>2</v>
      </c>
    </row>
    <row r="188" spans="1:34" x14ac:dyDescent="0.2">
      <c r="A188" s="6">
        <v>3</v>
      </c>
      <c r="B188" s="6" t="s">
        <v>309</v>
      </c>
      <c r="C188" s="6">
        <v>6.77</v>
      </c>
      <c r="D188" s="6">
        <v>1</v>
      </c>
      <c r="E188" s="6">
        <v>1</v>
      </c>
      <c r="F188" s="6">
        <v>1</v>
      </c>
      <c r="G188" s="6">
        <v>1</v>
      </c>
      <c r="H188" s="6">
        <v>1</v>
      </c>
      <c r="I188" s="6">
        <v>1</v>
      </c>
      <c r="J188" s="6">
        <v>1</v>
      </c>
      <c r="K188" s="6">
        <v>1</v>
      </c>
      <c r="L188" s="6">
        <v>1</v>
      </c>
      <c r="M188" s="6">
        <v>6.77</v>
      </c>
      <c r="N188" s="6">
        <v>1</v>
      </c>
      <c r="O188" s="6">
        <v>1</v>
      </c>
      <c r="P188" s="6">
        <v>1</v>
      </c>
      <c r="Q188" s="6">
        <v>1</v>
      </c>
      <c r="R188" s="6">
        <v>1</v>
      </c>
      <c r="S188" s="6" t="s">
        <v>6</v>
      </c>
      <c r="T188" s="6" t="s">
        <v>6</v>
      </c>
      <c r="U188" s="6" t="s">
        <v>6</v>
      </c>
      <c r="V188" s="6" t="s">
        <v>6</v>
      </c>
      <c r="W188" s="6" t="s">
        <v>6</v>
      </c>
      <c r="X188" s="6" t="s">
        <v>6</v>
      </c>
      <c r="Y188" s="6" t="s">
        <v>6</v>
      </c>
      <c r="Z188" s="6" t="s">
        <v>6</v>
      </c>
      <c r="AA188" s="6" t="s">
        <v>6</v>
      </c>
      <c r="AB188" s="6" t="s">
        <v>6</v>
      </c>
      <c r="AC188" s="6" t="s">
        <v>6</v>
      </c>
      <c r="AD188" s="6" t="s">
        <v>6</v>
      </c>
      <c r="AE188" s="6" t="s">
        <v>6</v>
      </c>
      <c r="AF188" s="6" t="s">
        <v>6</v>
      </c>
      <c r="AG188" s="6" t="s">
        <v>6</v>
      </c>
      <c r="AH188" s="6" t="s">
        <v>6</v>
      </c>
    </row>
    <row r="192" spans="1:34" x14ac:dyDescent="0.2">
      <c r="A192">
        <v>65</v>
      </c>
      <c r="C192">
        <v>1</v>
      </c>
      <c r="D192">
        <v>0</v>
      </c>
      <c r="E19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310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11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16856227</v>
      </c>
      <c r="E14" s="1">
        <v>16856228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(Source!F110)/1000</f>
        <v>156.0076</v>
      </c>
      <c r="F16" s="8">
        <f>(Source!F111)/1000</f>
        <v>0</v>
      </c>
      <c r="G16" s="8">
        <f>(Source!F102)/1000</f>
        <v>0</v>
      </c>
      <c r="H16" s="8">
        <f>(Source!F112)/1000+(Source!F113)/1000</f>
        <v>0</v>
      </c>
      <c r="I16" s="8">
        <f>E16+F16+G16+H16</f>
        <v>156.0076</v>
      </c>
      <c r="J16" s="8">
        <f>(Source!F108)/1000</f>
        <v>18.959919999999997</v>
      </c>
      <c r="T16" s="9">
        <f>(Source!P110)/1000</f>
        <v>5277.7545300000002</v>
      </c>
      <c r="U16" s="9">
        <f>(Source!P111)/1000</f>
        <v>0</v>
      </c>
      <c r="V16" s="9">
        <f>(Source!P102)/1000</f>
        <v>0</v>
      </c>
      <c r="W16" s="9">
        <f>(Source!P112)/1000+(Source!P113)/1000</f>
        <v>0</v>
      </c>
      <c r="X16" s="9">
        <f>T16+U16+V16+W16</f>
        <v>5277.7545300000002</v>
      </c>
      <c r="Y16" s="9">
        <f>(Source!P108)/1000</f>
        <v>128.35872000000001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125127.83</v>
      </c>
      <c r="AU16" s="8">
        <v>102513.61</v>
      </c>
      <c r="AV16" s="8">
        <v>0</v>
      </c>
      <c r="AW16" s="8">
        <v>0</v>
      </c>
      <c r="AX16" s="8">
        <v>0</v>
      </c>
      <c r="AY16" s="8">
        <v>3654.3</v>
      </c>
      <c r="AZ16" s="8">
        <v>662.75</v>
      </c>
      <c r="BA16" s="8">
        <v>18959.919999999998</v>
      </c>
      <c r="BB16" s="8">
        <v>156007.6</v>
      </c>
      <c r="BC16" s="8">
        <v>0</v>
      </c>
      <c r="BD16" s="8">
        <v>0</v>
      </c>
      <c r="BE16" s="8">
        <v>0</v>
      </c>
      <c r="BF16" s="8">
        <v>2164.1171003000004</v>
      </c>
      <c r="BG16" s="8">
        <v>50.686992070000002</v>
      </c>
      <c r="BH16" s="8">
        <v>0</v>
      </c>
      <c r="BI16" s="8">
        <v>18608.759999999998</v>
      </c>
      <c r="BJ16" s="8">
        <v>10857.43</v>
      </c>
      <c r="BK16" s="8">
        <v>187209.12</v>
      </c>
      <c r="BR16" s="9">
        <v>5068698.79</v>
      </c>
      <c r="BS16" s="9">
        <v>4915600.4800000004</v>
      </c>
      <c r="BT16" s="9">
        <v>0</v>
      </c>
      <c r="BU16" s="9">
        <v>0</v>
      </c>
      <c r="BV16" s="9">
        <v>0</v>
      </c>
      <c r="BW16" s="9">
        <v>24739.59</v>
      </c>
      <c r="BX16" s="9">
        <v>4486.71</v>
      </c>
      <c r="BY16" s="9">
        <v>128358.72</v>
      </c>
      <c r="BZ16" s="9">
        <v>5277754.53</v>
      </c>
      <c r="CA16" s="9">
        <v>0</v>
      </c>
      <c r="CB16" s="9">
        <v>0</v>
      </c>
      <c r="CC16" s="9">
        <v>0</v>
      </c>
      <c r="CD16" s="9">
        <v>2164.1171003000004</v>
      </c>
      <c r="CE16" s="9">
        <v>50.686992070000002</v>
      </c>
      <c r="CF16" s="9">
        <v>0</v>
      </c>
      <c r="CG16" s="9">
        <v>125981.19</v>
      </c>
      <c r="CH16" s="9">
        <v>73504.63</v>
      </c>
      <c r="CI16" s="9">
        <v>6333305.4400000004</v>
      </c>
    </row>
    <row r="18" spans="1:40" x14ac:dyDescent="0.2">
      <c r="A18">
        <v>51</v>
      </c>
      <c r="E18" s="10">
        <f>SUMIF(A16:A17,3,E16:E17)</f>
        <v>156.0076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156.0076</v>
      </c>
      <c r="J18" s="10">
        <f>SUMIF(A16:A17,3,J16:J17)</f>
        <v>18.959919999999997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5277.7545300000002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5277.7545300000002</v>
      </c>
      <c r="Y18" s="3">
        <f>SUMIF(A16:A17,3,Y16:Y17)</f>
        <v>128.35872000000001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125127.83</v>
      </c>
      <c r="G20" s="5" t="s">
        <v>189</v>
      </c>
      <c r="H20" s="5" t="s">
        <v>190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5068698.79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102513.61</v>
      </c>
      <c r="G21" s="5" t="s">
        <v>191</v>
      </c>
      <c r="H21" s="5" t="s">
        <v>192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4915600.4800000004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193</v>
      </c>
      <c r="H22" s="5" t="s">
        <v>194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102513.61</v>
      </c>
      <c r="G23" s="5" t="s">
        <v>195</v>
      </c>
      <c r="H23" s="5" t="s">
        <v>196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4915600.4800000004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102513.61</v>
      </c>
      <c r="G24" s="5" t="s">
        <v>197</v>
      </c>
      <c r="H24" s="5" t="s">
        <v>198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4915600.4800000004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199</v>
      </c>
      <c r="H25" s="5" t="s">
        <v>200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102513.61</v>
      </c>
      <c r="G26" s="5" t="s">
        <v>201</v>
      </c>
      <c r="H26" s="5" t="s">
        <v>202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4915600.4800000004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203</v>
      </c>
      <c r="H27" s="5" t="s">
        <v>204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205</v>
      </c>
      <c r="H28" s="5" t="s">
        <v>206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207</v>
      </c>
      <c r="H29" s="5" t="s">
        <v>208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3654.3</v>
      </c>
      <c r="G30" s="5" t="s">
        <v>209</v>
      </c>
      <c r="H30" s="5" t="s">
        <v>210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24739.59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211</v>
      </c>
      <c r="H31" s="5" t="s">
        <v>212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662.75</v>
      </c>
      <c r="G32" s="5" t="s">
        <v>213</v>
      </c>
      <c r="H32" s="5" t="s">
        <v>214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4486.71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18959.919999999998</v>
      </c>
      <c r="G33" s="5" t="s">
        <v>215</v>
      </c>
      <c r="H33" s="5" t="s">
        <v>216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128358.72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217</v>
      </c>
      <c r="H34" s="5" t="s">
        <v>218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156007.6</v>
      </c>
      <c r="G35" s="5" t="s">
        <v>219</v>
      </c>
      <c r="H35" s="5" t="s">
        <v>220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5277754.53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221</v>
      </c>
      <c r="H36" s="5" t="s">
        <v>222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223</v>
      </c>
      <c r="H37" s="5" t="s">
        <v>224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225</v>
      </c>
      <c r="H38" s="5" t="s">
        <v>226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227</v>
      </c>
      <c r="H39" s="5" t="s">
        <v>228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2164.1171003000004</v>
      </c>
      <c r="G40" s="5" t="s">
        <v>229</v>
      </c>
      <c r="H40" s="5" t="s">
        <v>230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2164.1171003000004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50.686992070000002</v>
      </c>
      <c r="G41" s="5" t="s">
        <v>231</v>
      </c>
      <c r="H41" s="5" t="s">
        <v>232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50.686992070000002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233</v>
      </c>
      <c r="H42" s="5" t="s">
        <v>234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18608.759999999998</v>
      </c>
      <c r="G43" s="5" t="s">
        <v>235</v>
      </c>
      <c r="H43" s="5" t="s">
        <v>236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125981.19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10857.43</v>
      </c>
      <c r="G44" s="5" t="s">
        <v>237</v>
      </c>
      <c r="H44" s="5" t="s">
        <v>238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73504.63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156007.6</v>
      </c>
      <c r="G45" s="5" t="s">
        <v>239</v>
      </c>
      <c r="H45" s="5" t="s">
        <v>240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5277754.53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156007.6</v>
      </c>
      <c r="G46" s="5" t="s">
        <v>241</v>
      </c>
      <c r="H46" s="5" t="s">
        <v>239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5277754.53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31201.52</v>
      </c>
      <c r="G47" s="5" t="s">
        <v>242</v>
      </c>
      <c r="H47" s="5" t="s">
        <v>243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1055550.9099999999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187209.12</v>
      </c>
      <c r="G48" s="5" t="s">
        <v>244</v>
      </c>
      <c r="H48" s="5" t="s">
        <v>245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6333305.4400000004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307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16856227</v>
      </c>
      <c r="O53" s="4">
        <v>1</v>
      </c>
    </row>
    <row r="54" spans="1:34" x14ac:dyDescent="0.2">
      <c r="A54" s="4">
        <v>75</v>
      </c>
      <c r="B54" s="4" t="s">
        <v>308</v>
      </c>
      <c r="C54" s="4">
        <v>2018</v>
      </c>
      <c r="D54" s="4">
        <v>3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16856228</v>
      </c>
      <c r="O54" s="4">
        <v>2</v>
      </c>
    </row>
    <row r="55" spans="1:34" x14ac:dyDescent="0.2">
      <c r="A55" s="6">
        <v>3</v>
      </c>
      <c r="B55" s="6" t="s">
        <v>309</v>
      </c>
      <c r="C55" s="6">
        <v>6.77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6.77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26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16856227</v>
      </c>
      <c r="C1">
        <v>16856290</v>
      </c>
      <c r="D1">
        <v>15435609</v>
      </c>
      <c r="E1">
        <v>1</v>
      </c>
      <c r="F1">
        <v>1</v>
      </c>
      <c r="G1">
        <v>1</v>
      </c>
      <c r="H1">
        <v>1</v>
      </c>
      <c r="I1" t="s">
        <v>311</v>
      </c>
      <c r="J1" t="s">
        <v>6</v>
      </c>
      <c r="K1" t="s">
        <v>312</v>
      </c>
      <c r="L1">
        <v>1191</v>
      </c>
      <c r="N1">
        <v>1013</v>
      </c>
      <c r="O1" t="s">
        <v>313</v>
      </c>
      <c r="P1" t="s">
        <v>313</v>
      </c>
      <c r="Q1">
        <v>1</v>
      </c>
      <c r="W1">
        <v>0</v>
      </c>
      <c r="X1">
        <v>-814890593</v>
      </c>
      <c r="Y1">
        <v>0.76</v>
      </c>
      <c r="AA1">
        <v>0</v>
      </c>
      <c r="AB1">
        <v>0</v>
      </c>
      <c r="AC1">
        <v>0</v>
      </c>
      <c r="AD1">
        <v>8.9700000000000006</v>
      </c>
      <c r="AE1">
        <v>0</v>
      </c>
      <c r="AF1">
        <v>0</v>
      </c>
      <c r="AG1">
        <v>0</v>
      </c>
      <c r="AH1">
        <v>8.9700000000000006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</v>
      </c>
      <c r="AT1">
        <v>1.9</v>
      </c>
      <c r="AU1" t="s">
        <v>20</v>
      </c>
      <c r="AV1">
        <v>1</v>
      </c>
      <c r="AW1">
        <v>2</v>
      </c>
      <c r="AX1">
        <v>16856292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3.04</v>
      </c>
      <c r="CY1">
        <f>AD1</f>
        <v>8.9700000000000006</v>
      </c>
      <c r="CZ1">
        <f>AH1</f>
        <v>8.9700000000000006</v>
      </c>
      <c r="DA1">
        <f>AL1</f>
        <v>1</v>
      </c>
      <c r="DB1">
        <f>ROUND((ROUND(AT1*CZ1,2)*0.4),6)</f>
        <v>6.8159999999999998</v>
      </c>
      <c r="DC1">
        <f>ROUND((ROUND(AT1*AG1,2)*0.4),6)</f>
        <v>0</v>
      </c>
    </row>
    <row r="2" spans="1:107" x14ac:dyDescent="0.2">
      <c r="A2">
        <f>ROW(Source!A25)</f>
        <v>25</v>
      </c>
      <c r="B2">
        <v>16856228</v>
      </c>
      <c r="C2">
        <v>16856290</v>
      </c>
      <c r="D2">
        <v>15435609</v>
      </c>
      <c r="E2">
        <v>1</v>
      </c>
      <c r="F2">
        <v>1</v>
      </c>
      <c r="G2">
        <v>1</v>
      </c>
      <c r="H2">
        <v>1</v>
      </c>
      <c r="I2" t="s">
        <v>311</v>
      </c>
      <c r="J2" t="s">
        <v>6</v>
      </c>
      <c r="K2" t="s">
        <v>312</v>
      </c>
      <c r="L2">
        <v>1191</v>
      </c>
      <c r="N2">
        <v>1013</v>
      </c>
      <c r="O2" t="s">
        <v>313</v>
      </c>
      <c r="P2" t="s">
        <v>313</v>
      </c>
      <c r="Q2">
        <v>1</v>
      </c>
      <c r="W2">
        <v>0</v>
      </c>
      <c r="X2">
        <v>-814890593</v>
      </c>
      <c r="Y2">
        <v>0.76</v>
      </c>
      <c r="AA2">
        <v>0</v>
      </c>
      <c r="AB2">
        <v>0</v>
      </c>
      <c r="AC2">
        <v>0</v>
      </c>
      <c r="AD2">
        <v>60.73</v>
      </c>
      <c r="AE2">
        <v>0</v>
      </c>
      <c r="AF2">
        <v>0</v>
      </c>
      <c r="AG2">
        <v>0</v>
      </c>
      <c r="AH2">
        <v>8.9700000000000006</v>
      </c>
      <c r="AI2">
        <v>1</v>
      </c>
      <c r="AJ2">
        <v>1</v>
      </c>
      <c r="AK2">
        <v>1</v>
      </c>
      <c r="AL2">
        <v>6.77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6</v>
      </c>
      <c r="AT2">
        <v>1.9</v>
      </c>
      <c r="AU2" t="s">
        <v>20</v>
      </c>
      <c r="AV2">
        <v>1</v>
      </c>
      <c r="AW2">
        <v>2</v>
      </c>
      <c r="AX2">
        <v>16856292</v>
      </c>
      <c r="AY2">
        <v>1</v>
      </c>
      <c r="AZ2">
        <v>0</v>
      </c>
      <c r="BA2">
        <v>4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3.04</v>
      </c>
      <c r="CY2">
        <f>AD2</f>
        <v>60.73</v>
      </c>
      <c r="CZ2">
        <f>AH2</f>
        <v>8.9700000000000006</v>
      </c>
      <c r="DA2">
        <f>AL2</f>
        <v>6.77</v>
      </c>
      <c r="DB2">
        <f>ROUND((ROUND(AT2*CZ2,2)*0.4),6)</f>
        <v>6.8159999999999998</v>
      </c>
      <c r="DC2">
        <f>ROUND((ROUND(AT2*AG2,2)*0.4),6)</f>
        <v>0</v>
      </c>
    </row>
    <row r="3" spans="1:107" x14ac:dyDescent="0.2">
      <c r="A3">
        <f>ROW(Source!A26)</f>
        <v>26</v>
      </c>
      <c r="B3">
        <v>16856227</v>
      </c>
      <c r="C3">
        <v>16856295</v>
      </c>
      <c r="D3">
        <v>15433667</v>
      </c>
      <c r="E3">
        <v>1</v>
      </c>
      <c r="F3">
        <v>1</v>
      </c>
      <c r="G3">
        <v>1</v>
      </c>
      <c r="H3">
        <v>1</v>
      </c>
      <c r="I3" t="s">
        <v>314</v>
      </c>
      <c r="J3" t="s">
        <v>6</v>
      </c>
      <c r="K3" t="s">
        <v>315</v>
      </c>
      <c r="L3">
        <v>1191</v>
      </c>
      <c r="N3">
        <v>1013</v>
      </c>
      <c r="O3" t="s">
        <v>313</v>
      </c>
      <c r="P3" t="s">
        <v>313</v>
      </c>
      <c r="Q3">
        <v>1</v>
      </c>
      <c r="W3">
        <v>0</v>
      </c>
      <c r="X3">
        <v>371339561</v>
      </c>
      <c r="Y3">
        <v>188.54</v>
      </c>
      <c r="AA3">
        <v>0</v>
      </c>
      <c r="AB3">
        <v>0</v>
      </c>
      <c r="AC3">
        <v>0</v>
      </c>
      <c r="AD3">
        <v>8.09</v>
      </c>
      <c r="AE3">
        <v>0</v>
      </c>
      <c r="AF3">
        <v>0</v>
      </c>
      <c r="AG3">
        <v>0</v>
      </c>
      <c r="AH3">
        <v>8.09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188.54</v>
      </c>
      <c r="AU3" t="s">
        <v>6</v>
      </c>
      <c r="AV3">
        <v>1</v>
      </c>
      <c r="AW3">
        <v>2</v>
      </c>
      <c r="AX3">
        <v>16856299</v>
      </c>
      <c r="AY3">
        <v>1</v>
      </c>
      <c r="AZ3">
        <v>0</v>
      </c>
      <c r="BA3">
        <v>7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Y3*Source!I26</f>
        <v>303.90762599999999</v>
      </c>
      <c r="CY3">
        <f>AD3</f>
        <v>8.09</v>
      </c>
      <c r="CZ3">
        <f>AH3</f>
        <v>8.09</v>
      </c>
      <c r="DA3">
        <f>AL3</f>
        <v>1</v>
      </c>
      <c r="DB3">
        <f t="shared" ref="DB3:DB8" si="0">ROUND(ROUND(AT3*CZ3,2),6)</f>
        <v>1525.29</v>
      </c>
      <c r="DC3">
        <f t="shared" ref="DC3:DC8" si="1">ROUND(ROUND(AT3*AG3,2),6)</f>
        <v>0</v>
      </c>
    </row>
    <row r="4" spans="1:107" x14ac:dyDescent="0.2">
      <c r="A4">
        <f>ROW(Source!A26)</f>
        <v>26</v>
      </c>
      <c r="B4">
        <v>16856227</v>
      </c>
      <c r="C4">
        <v>16856295</v>
      </c>
      <c r="D4">
        <v>15430395</v>
      </c>
      <c r="E4">
        <v>1</v>
      </c>
      <c r="F4">
        <v>1</v>
      </c>
      <c r="G4">
        <v>1</v>
      </c>
      <c r="H4">
        <v>1</v>
      </c>
      <c r="I4" t="s">
        <v>316</v>
      </c>
      <c r="J4" t="s">
        <v>6</v>
      </c>
      <c r="K4" t="s">
        <v>317</v>
      </c>
      <c r="L4">
        <v>1191</v>
      </c>
      <c r="N4">
        <v>1013</v>
      </c>
      <c r="O4" t="s">
        <v>313</v>
      </c>
      <c r="P4" t="s">
        <v>313</v>
      </c>
      <c r="Q4">
        <v>1</v>
      </c>
      <c r="W4">
        <v>0</v>
      </c>
      <c r="X4">
        <v>-1417349443</v>
      </c>
      <c r="Y4">
        <v>7.74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7.74</v>
      </c>
      <c r="AU4" t="s">
        <v>6</v>
      </c>
      <c r="AV4">
        <v>2</v>
      </c>
      <c r="AW4">
        <v>2</v>
      </c>
      <c r="AX4">
        <v>16856300</v>
      </c>
      <c r="AY4">
        <v>1</v>
      </c>
      <c r="AZ4">
        <v>0</v>
      </c>
      <c r="BA4">
        <v>8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Y4*Source!I26</f>
        <v>12.476106000000001</v>
      </c>
      <c r="CY4">
        <f>AD4</f>
        <v>0</v>
      </c>
      <c r="CZ4">
        <f>AH4</f>
        <v>0</v>
      </c>
      <c r="DA4">
        <f>AL4</f>
        <v>1</v>
      </c>
      <c r="DB4">
        <f t="shared" si="0"/>
        <v>0</v>
      </c>
      <c r="DC4">
        <f t="shared" si="1"/>
        <v>0</v>
      </c>
    </row>
    <row r="5" spans="1:107" x14ac:dyDescent="0.2">
      <c r="A5">
        <f>ROW(Source!A26)</f>
        <v>26</v>
      </c>
      <c r="B5">
        <v>16856227</v>
      </c>
      <c r="C5">
        <v>16856295</v>
      </c>
      <c r="D5">
        <v>15247974</v>
      </c>
      <c r="E5">
        <v>1</v>
      </c>
      <c r="F5">
        <v>1</v>
      </c>
      <c r="G5">
        <v>1</v>
      </c>
      <c r="H5">
        <v>2</v>
      </c>
      <c r="I5" t="s">
        <v>318</v>
      </c>
      <c r="J5" t="s">
        <v>319</v>
      </c>
      <c r="K5" t="s">
        <v>320</v>
      </c>
      <c r="L5">
        <v>1368</v>
      </c>
      <c r="N5">
        <v>1011</v>
      </c>
      <c r="O5" t="s">
        <v>321</v>
      </c>
      <c r="P5" t="s">
        <v>321</v>
      </c>
      <c r="Q5">
        <v>1</v>
      </c>
      <c r="W5">
        <v>0</v>
      </c>
      <c r="X5">
        <v>1188625873</v>
      </c>
      <c r="Y5">
        <v>7.74</v>
      </c>
      <c r="AA5">
        <v>0</v>
      </c>
      <c r="AB5">
        <v>31.26</v>
      </c>
      <c r="AC5">
        <v>13.5</v>
      </c>
      <c r="AD5">
        <v>0</v>
      </c>
      <c r="AE5">
        <v>0</v>
      </c>
      <c r="AF5">
        <v>31.26</v>
      </c>
      <c r="AG5">
        <v>13.5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0</v>
      </c>
      <c r="AW5">
        <v>2</v>
      </c>
      <c r="AX5">
        <v>16856301</v>
      </c>
      <c r="AY5">
        <v>1</v>
      </c>
      <c r="AZ5">
        <v>0</v>
      </c>
      <c r="BA5">
        <v>9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12.476106000000001</v>
      </c>
      <c r="CY5">
        <f>AB5</f>
        <v>31.26</v>
      </c>
      <c r="CZ5">
        <f>AF5</f>
        <v>31.26</v>
      </c>
      <c r="DA5">
        <f>AJ5</f>
        <v>1</v>
      </c>
      <c r="DB5">
        <f t="shared" si="0"/>
        <v>241.95</v>
      </c>
      <c r="DC5">
        <f t="shared" si="1"/>
        <v>104.49</v>
      </c>
    </row>
    <row r="6" spans="1:107" x14ac:dyDescent="0.2">
      <c r="A6">
        <f>ROW(Source!A27)</f>
        <v>27</v>
      </c>
      <c r="B6">
        <v>16856228</v>
      </c>
      <c r="C6">
        <v>16856295</v>
      </c>
      <c r="D6">
        <v>15433667</v>
      </c>
      <c r="E6">
        <v>1</v>
      </c>
      <c r="F6">
        <v>1</v>
      </c>
      <c r="G6">
        <v>1</v>
      </c>
      <c r="H6">
        <v>1</v>
      </c>
      <c r="I6" t="s">
        <v>314</v>
      </c>
      <c r="J6" t="s">
        <v>6</v>
      </c>
      <c r="K6" t="s">
        <v>315</v>
      </c>
      <c r="L6">
        <v>1191</v>
      </c>
      <c r="N6">
        <v>1013</v>
      </c>
      <c r="O6" t="s">
        <v>313</v>
      </c>
      <c r="P6" t="s">
        <v>313</v>
      </c>
      <c r="Q6">
        <v>1</v>
      </c>
      <c r="W6">
        <v>0</v>
      </c>
      <c r="X6">
        <v>371339561</v>
      </c>
      <c r="Y6">
        <v>188.54</v>
      </c>
      <c r="AA6">
        <v>0</v>
      </c>
      <c r="AB6">
        <v>0</v>
      </c>
      <c r="AC6">
        <v>0</v>
      </c>
      <c r="AD6">
        <v>54.77</v>
      </c>
      <c r="AE6">
        <v>0</v>
      </c>
      <c r="AF6">
        <v>0</v>
      </c>
      <c r="AG6">
        <v>0</v>
      </c>
      <c r="AH6">
        <v>8.09</v>
      </c>
      <c r="AI6">
        <v>1</v>
      </c>
      <c r="AJ6">
        <v>1</v>
      </c>
      <c r="AK6">
        <v>1</v>
      </c>
      <c r="AL6">
        <v>6.77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188.54</v>
      </c>
      <c r="AU6" t="s">
        <v>6</v>
      </c>
      <c r="AV6">
        <v>1</v>
      </c>
      <c r="AW6">
        <v>2</v>
      </c>
      <c r="AX6">
        <v>16856299</v>
      </c>
      <c r="AY6">
        <v>1</v>
      </c>
      <c r="AZ6">
        <v>0</v>
      </c>
      <c r="BA6">
        <v>10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Y6*Source!I27</f>
        <v>303.90762599999999</v>
      </c>
      <c r="CY6">
        <f>AD6</f>
        <v>54.77</v>
      </c>
      <c r="CZ6">
        <f>AH6</f>
        <v>8.09</v>
      </c>
      <c r="DA6">
        <f>AL6</f>
        <v>6.77</v>
      </c>
      <c r="DB6">
        <f t="shared" si="0"/>
        <v>1525.29</v>
      </c>
      <c r="DC6">
        <f t="shared" si="1"/>
        <v>0</v>
      </c>
    </row>
    <row r="7" spans="1:107" x14ac:dyDescent="0.2">
      <c r="A7">
        <f>ROW(Source!A27)</f>
        <v>27</v>
      </c>
      <c r="B7">
        <v>16856228</v>
      </c>
      <c r="C7">
        <v>16856295</v>
      </c>
      <c r="D7">
        <v>15430395</v>
      </c>
      <c r="E7">
        <v>1</v>
      </c>
      <c r="F7">
        <v>1</v>
      </c>
      <c r="G7">
        <v>1</v>
      </c>
      <c r="H7">
        <v>1</v>
      </c>
      <c r="I7" t="s">
        <v>316</v>
      </c>
      <c r="J7" t="s">
        <v>6</v>
      </c>
      <c r="K7" t="s">
        <v>317</v>
      </c>
      <c r="L7">
        <v>1191</v>
      </c>
      <c r="N7">
        <v>1013</v>
      </c>
      <c r="O7" t="s">
        <v>313</v>
      </c>
      <c r="P7" t="s">
        <v>313</v>
      </c>
      <c r="Q7">
        <v>1</v>
      </c>
      <c r="W7">
        <v>0</v>
      </c>
      <c r="X7">
        <v>-1417349443</v>
      </c>
      <c r="Y7">
        <v>7.74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6.77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7.74</v>
      </c>
      <c r="AU7" t="s">
        <v>6</v>
      </c>
      <c r="AV7">
        <v>2</v>
      </c>
      <c r="AW7">
        <v>2</v>
      </c>
      <c r="AX7">
        <v>16856300</v>
      </c>
      <c r="AY7">
        <v>1</v>
      </c>
      <c r="AZ7">
        <v>0</v>
      </c>
      <c r="BA7">
        <v>11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Y7*Source!I27</f>
        <v>12.476106000000001</v>
      </c>
      <c r="CY7">
        <f>AD7</f>
        <v>0</v>
      </c>
      <c r="CZ7">
        <f>AH7</f>
        <v>0</v>
      </c>
      <c r="DA7">
        <f>AL7</f>
        <v>1</v>
      </c>
      <c r="DB7">
        <f t="shared" si="0"/>
        <v>0</v>
      </c>
      <c r="DC7">
        <f t="shared" si="1"/>
        <v>0</v>
      </c>
    </row>
    <row r="8" spans="1:107" x14ac:dyDescent="0.2">
      <c r="A8">
        <f>ROW(Source!A27)</f>
        <v>27</v>
      </c>
      <c r="B8">
        <v>16856228</v>
      </c>
      <c r="C8">
        <v>16856295</v>
      </c>
      <c r="D8">
        <v>15247974</v>
      </c>
      <c r="E8">
        <v>1</v>
      </c>
      <c r="F8">
        <v>1</v>
      </c>
      <c r="G8">
        <v>1</v>
      </c>
      <c r="H8">
        <v>2</v>
      </c>
      <c r="I8" t="s">
        <v>318</v>
      </c>
      <c r="J8" t="s">
        <v>319</v>
      </c>
      <c r="K8" t="s">
        <v>320</v>
      </c>
      <c r="L8">
        <v>1368</v>
      </c>
      <c r="N8">
        <v>1011</v>
      </c>
      <c r="O8" t="s">
        <v>321</v>
      </c>
      <c r="P8" t="s">
        <v>321</v>
      </c>
      <c r="Q8">
        <v>1</v>
      </c>
      <c r="W8">
        <v>0</v>
      </c>
      <c r="X8">
        <v>1188625873</v>
      </c>
      <c r="Y8">
        <v>7.74</v>
      </c>
      <c r="AA8">
        <v>0</v>
      </c>
      <c r="AB8">
        <v>211.63</v>
      </c>
      <c r="AC8">
        <v>13.5</v>
      </c>
      <c r="AD8">
        <v>0</v>
      </c>
      <c r="AE8">
        <v>0</v>
      </c>
      <c r="AF8">
        <v>31.26</v>
      </c>
      <c r="AG8">
        <v>13.5</v>
      </c>
      <c r="AH8">
        <v>0</v>
      </c>
      <c r="AI8">
        <v>1</v>
      </c>
      <c r="AJ8">
        <v>6.77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7.74</v>
      </c>
      <c r="AU8" t="s">
        <v>6</v>
      </c>
      <c r="AV8">
        <v>0</v>
      </c>
      <c r="AW8">
        <v>2</v>
      </c>
      <c r="AX8">
        <v>16856301</v>
      </c>
      <c r="AY8">
        <v>1</v>
      </c>
      <c r="AZ8">
        <v>0</v>
      </c>
      <c r="BA8">
        <v>12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Y8*Source!I27</f>
        <v>12.476106000000001</v>
      </c>
      <c r="CY8">
        <f>AB8</f>
        <v>211.63</v>
      </c>
      <c r="CZ8">
        <f>AF8</f>
        <v>31.26</v>
      </c>
      <c r="DA8">
        <f>AJ8</f>
        <v>6.77</v>
      </c>
      <c r="DB8">
        <f t="shared" si="0"/>
        <v>241.95</v>
      </c>
      <c r="DC8">
        <f t="shared" si="1"/>
        <v>104.49</v>
      </c>
    </row>
    <row r="9" spans="1:107" x14ac:dyDescent="0.2">
      <c r="A9">
        <f>ROW(Source!A28)</f>
        <v>28</v>
      </c>
      <c r="B9">
        <v>16856227</v>
      </c>
      <c r="C9">
        <v>16856302</v>
      </c>
      <c r="D9">
        <v>15430447</v>
      </c>
      <c r="E9">
        <v>1</v>
      </c>
      <c r="F9">
        <v>1</v>
      </c>
      <c r="G9">
        <v>1</v>
      </c>
      <c r="H9">
        <v>1</v>
      </c>
      <c r="I9" t="s">
        <v>322</v>
      </c>
      <c r="J9" t="s">
        <v>6</v>
      </c>
      <c r="K9" t="s">
        <v>323</v>
      </c>
      <c r="L9">
        <v>1191</v>
      </c>
      <c r="N9">
        <v>1013</v>
      </c>
      <c r="O9" t="s">
        <v>313</v>
      </c>
      <c r="P9" t="s">
        <v>313</v>
      </c>
      <c r="Q9">
        <v>1</v>
      </c>
      <c r="W9">
        <v>0</v>
      </c>
      <c r="X9">
        <v>145020957</v>
      </c>
      <c r="Y9">
        <v>153.755</v>
      </c>
      <c r="AA9">
        <v>0</v>
      </c>
      <c r="AB9">
        <v>0</v>
      </c>
      <c r="AC9">
        <v>0</v>
      </c>
      <c r="AD9">
        <v>9.07</v>
      </c>
      <c r="AE9">
        <v>0</v>
      </c>
      <c r="AF9">
        <v>0</v>
      </c>
      <c r="AG9">
        <v>0</v>
      </c>
      <c r="AH9">
        <v>9.07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219.65</v>
      </c>
      <c r="AU9" t="s">
        <v>40</v>
      </c>
      <c r="AV9">
        <v>1</v>
      </c>
      <c r="AW9">
        <v>2</v>
      </c>
      <c r="AX9">
        <v>16856321</v>
      </c>
      <c r="AY9">
        <v>1</v>
      </c>
      <c r="AZ9">
        <v>0</v>
      </c>
      <c r="BA9">
        <v>13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Y9*Source!I28</f>
        <v>217.21583870000001</v>
      </c>
      <c r="CY9">
        <f>AD9</f>
        <v>9.07</v>
      </c>
      <c r="CZ9">
        <f>AH9</f>
        <v>9.07</v>
      </c>
      <c r="DA9">
        <f>AL9</f>
        <v>1</v>
      </c>
      <c r="DB9">
        <f>ROUND((ROUND(AT9*CZ9,2)*0.7),6)</f>
        <v>1394.5609999999999</v>
      </c>
      <c r="DC9">
        <f>ROUND((ROUND(AT9*AG9,2)*0.7),6)</f>
        <v>0</v>
      </c>
    </row>
    <row r="10" spans="1:107" x14ac:dyDescent="0.2">
      <c r="A10">
        <f>ROW(Source!A28)</f>
        <v>28</v>
      </c>
      <c r="B10">
        <v>16856227</v>
      </c>
      <c r="C10">
        <v>16856302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316</v>
      </c>
      <c r="J10" t="s">
        <v>6</v>
      </c>
      <c r="K10" t="s">
        <v>317</v>
      </c>
      <c r="L10">
        <v>1191</v>
      </c>
      <c r="N10">
        <v>1013</v>
      </c>
      <c r="O10" t="s">
        <v>313</v>
      </c>
      <c r="P10" t="s">
        <v>313</v>
      </c>
      <c r="Q10">
        <v>1</v>
      </c>
      <c r="W10">
        <v>0</v>
      </c>
      <c r="X10">
        <v>-1417349443</v>
      </c>
      <c r="Y10">
        <v>15.49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15.49</v>
      </c>
      <c r="AU10" t="s">
        <v>6</v>
      </c>
      <c r="AV10">
        <v>2</v>
      </c>
      <c r="AW10">
        <v>2</v>
      </c>
      <c r="AX10">
        <v>16856322</v>
      </c>
      <c r="AY10">
        <v>1</v>
      </c>
      <c r="AZ10">
        <v>2048</v>
      </c>
      <c r="BA10">
        <v>14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Y10*Source!I28</f>
        <v>21.883342600000002</v>
      </c>
      <c r="CY10">
        <f>AD10</f>
        <v>0</v>
      </c>
      <c r="CZ10">
        <f>AH10</f>
        <v>0</v>
      </c>
      <c r="DA10">
        <f>AL10</f>
        <v>1</v>
      </c>
      <c r="DB10">
        <f>ROUND(ROUND(AT10*CZ10,2),6)</f>
        <v>0</v>
      </c>
      <c r="DC10">
        <f>ROUND(ROUND(AT10*AG10,2),6)</f>
        <v>0</v>
      </c>
    </row>
    <row r="11" spans="1:107" x14ac:dyDescent="0.2">
      <c r="A11">
        <f>ROW(Source!A28)</f>
        <v>28</v>
      </c>
      <c r="B11">
        <v>16856227</v>
      </c>
      <c r="C11">
        <v>16856302</v>
      </c>
      <c r="D11">
        <v>15247680</v>
      </c>
      <c r="E11">
        <v>1</v>
      </c>
      <c r="F11">
        <v>1</v>
      </c>
      <c r="G11">
        <v>1</v>
      </c>
      <c r="H11">
        <v>2</v>
      </c>
      <c r="I11" t="s">
        <v>324</v>
      </c>
      <c r="J11" t="s">
        <v>325</v>
      </c>
      <c r="K11" t="s">
        <v>326</v>
      </c>
      <c r="L11">
        <v>1368</v>
      </c>
      <c r="N11">
        <v>1011</v>
      </c>
      <c r="O11" t="s">
        <v>321</v>
      </c>
      <c r="P11" t="s">
        <v>321</v>
      </c>
      <c r="Q11">
        <v>1</v>
      </c>
      <c r="W11">
        <v>0</v>
      </c>
      <c r="X11">
        <v>-1718674368</v>
      </c>
      <c r="Y11">
        <v>8.3999999999999991E-2</v>
      </c>
      <c r="AA11">
        <v>0</v>
      </c>
      <c r="AB11">
        <v>111.99</v>
      </c>
      <c r="AC11">
        <v>13.5</v>
      </c>
      <c r="AD11">
        <v>0</v>
      </c>
      <c r="AE11">
        <v>0</v>
      </c>
      <c r="AF11">
        <v>111.99</v>
      </c>
      <c r="AG11">
        <v>13.5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0.12</v>
      </c>
      <c r="AU11" t="s">
        <v>40</v>
      </c>
      <c r="AV11">
        <v>0</v>
      </c>
      <c r="AW11">
        <v>2</v>
      </c>
      <c r="AX11">
        <v>16856323</v>
      </c>
      <c r="AY11">
        <v>1</v>
      </c>
      <c r="AZ11">
        <v>0</v>
      </c>
      <c r="BA11">
        <v>15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Y11*Source!I28</f>
        <v>0.11867016</v>
      </c>
      <c r="CY11">
        <f>AB11</f>
        <v>111.99</v>
      </c>
      <c r="CZ11">
        <f>AF11</f>
        <v>111.99</v>
      </c>
      <c r="DA11">
        <f>AJ11</f>
        <v>1</v>
      </c>
      <c r="DB11">
        <f>ROUND((ROUND(AT11*CZ11,2)*0.7),6)</f>
        <v>9.4079999999999995</v>
      </c>
      <c r="DC11">
        <f>ROUND((ROUND(AT11*AG11,2)*0.7),6)</f>
        <v>1.1339999999999999</v>
      </c>
    </row>
    <row r="12" spans="1:107" x14ac:dyDescent="0.2">
      <c r="A12">
        <f>ROW(Source!A28)</f>
        <v>28</v>
      </c>
      <c r="B12">
        <v>16856227</v>
      </c>
      <c r="C12">
        <v>16856302</v>
      </c>
      <c r="D12">
        <v>15247728</v>
      </c>
      <c r="E12">
        <v>1</v>
      </c>
      <c r="F12">
        <v>1</v>
      </c>
      <c r="G12">
        <v>1</v>
      </c>
      <c r="H12">
        <v>2</v>
      </c>
      <c r="I12" t="s">
        <v>327</v>
      </c>
      <c r="J12" t="s">
        <v>328</v>
      </c>
      <c r="K12" t="s">
        <v>329</v>
      </c>
      <c r="L12">
        <v>1368</v>
      </c>
      <c r="N12">
        <v>1011</v>
      </c>
      <c r="O12" t="s">
        <v>321</v>
      </c>
      <c r="P12" t="s">
        <v>321</v>
      </c>
      <c r="Q12">
        <v>1</v>
      </c>
      <c r="W12">
        <v>0</v>
      </c>
      <c r="X12">
        <v>2041762507</v>
      </c>
      <c r="Y12">
        <v>10.625999999999999</v>
      </c>
      <c r="AA12">
        <v>0</v>
      </c>
      <c r="AB12">
        <v>102.51</v>
      </c>
      <c r="AC12">
        <v>14.4</v>
      </c>
      <c r="AD12">
        <v>0</v>
      </c>
      <c r="AE12">
        <v>0</v>
      </c>
      <c r="AF12">
        <v>102.51</v>
      </c>
      <c r="AG12">
        <v>14.4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15.18</v>
      </c>
      <c r="AU12" t="s">
        <v>40</v>
      </c>
      <c r="AV12">
        <v>0</v>
      </c>
      <c r="AW12">
        <v>2</v>
      </c>
      <c r="AX12">
        <v>16856324</v>
      </c>
      <c r="AY12">
        <v>1</v>
      </c>
      <c r="AZ12">
        <v>0</v>
      </c>
      <c r="BA12">
        <v>16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Y12*Source!I28</f>
        <v>15.01177524</v>
      </c>
      <c r="CY12">
        <f>AB12</f>
        <v>102.51</v>
      </c>
      <c r="CZ12">
        <f>AF12</f>
        <v>102.51</v>
      </c>
      <c r="DA12">
        <f>AJ12</f>
        <v>1</v>
      </c>
      <c r="DB12">
        <f>ROUND((ROUND(AT12*CZ12,2)*0.7),6)</f>
        <v>1089.27</v>
      </c>
      <c r="DC12">
        <f>ROUND((ROUND(AT12*AG12,2)*0.7),6)</f>
        <v>153.01300000000001</v>
      </c>
    </row>
    <row r="13" spans="1:107" x14ac:dyDescent="0.2">
      <c r="A13">
        <f>ROW(Source!A28)</f>
        <v>28</v>
      </c>
      <c r="B13">
        <v>16856227</v>
      </c>
      <c r="C13">
        <v>16856302</v>
      </c>
      <c r="D13">
        <v>15249073</v>
      </c>
      <c r="E13">
        <v>1</v>
      </c>
      <c r="F13">
        <v>1</v>
      </c>
      <c r="G13">
        <v>1</v>
      </c>
      <c r="H13">
        <v>2</v>
      </c>
      <c r="I13" t="s">
        <v>330</v>
      </c>
      <c r="J13" t="s">
        <v>331</v>
      </c>
      <c r="K13" t="s">
        <v>332</v>
      </c>
      <c r="L13">
        <v>1368</v>
      </c>
      <c r="N13">
        <v>1011</v>
      </c>
      <c r="O13" t="s">
        <v>321</v>
      </c>
      <c r="P13" t="s">
        <v>321</v>
      </c>
      <c r="Q13">
        <v>1</v>
      </c>
      <c r="W13">
        <v>0</v>
      </c>
      <c r="X13">
        <v>1372534845</v>
      </c>
      <c r="Y13">
        <v>0.13299999999999998</v>
      </c>
      <c r="AA13">
        <v>0</v>
      </c>
      <c r="AB13">
        <v>65.709999999999994</v>
      </c>
      <c r="AC13">
        <v>11.6</v>
      </c>
      <c r="AD13">
        <v>0</v>
      </c>
      <c r="AE13">
        <v>0</v>
      </c>
      <c r="AF13">
        <v>65.709999999999994</v>
      </c>
      <c r="AG13">
        <v>11.6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0.19</v>
      </c>
      <c r="AU13" t="s">
        <v>40</v>
      </c>
      <c r="AV13">
        <v>0</v>
      </c>
      <c r="AW13">
        <v>2</v>
      </c>
      <c r="AX13">
        <v>16856325</v>
      </c>
      <c r="AY13">
        <v>1</v>
      </c>
      <c r="AZ13">
        <v>0</v>
      </c>
      <c r="BA13">
        <v>17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Y13*Source!I28</f>
        <v>0.18789441999999998</v>
      </c>
      <c r="CY13">
        <f>AB13</f>
        <v>65.709999999999994</v>
      </c>
      <c r="CZ13">
        <f>AF13</f>
        <v>65.709999999999994</v>
      </c>
      <c r="DA13">
        <f>AJ13</f>
        <v>1</v>
      </c>
      <c r="DB13">
        <f>ROUND((ROUND(AT13*CZ13,2)*0.7),6)</f>
        <v>8.7360000000000007</v>
      </c>
      <c r="DC13">
        <f>ROUND((ROUND(AT13*AG13,2)*0.7),6)</f>
        <v>1.54</v>
      </c>
    </row>
    <row r="14" spans="1:107" x14ac:dyDescent="0.2">
      <c r="A14">
        <f>ROW(Source!A28)</f>
        <v>28</v>
      </c>
      <c r="B14">
        <v>16856227</v>
      </c>
      <c r="C14">
        <v>16856302</v>
      </c>
      <c r="D14">
        <v>15249308</v>
      </c>
      <c r="E14">
        <v>1</v>
      </c>
      <c r="F14">
        <v>1</v>
      </c>
      <c r="G14">
        <v>1</v>
      </c>
      <c r="H14">
        <v>2</v>
      </c>
      <c r="I14" t="s">
        <v>333</v>
      </c>
      <c r="J14" t="s">
        <v>334</v>
      </c>
      <c r="K14" t="s">
        <v>335</v>
      </c>
      <c r="L14">
        <v>1368</v>
      </c>
      <c r="N14">
        <v>1011</v>
      </c>
      <c r="O14" t="s">
        <v>321</v>
      </c>
      <c r="P14" t="s">
        <v>321</v>
      </c>
      <c r="Q14">
        <v>1</v>
      </c>
      <c r="W14">
        <v>0</v>
      </c>
      <c r="X14">
        <v>792402865</v>
      </c>
      <c r="Y14">
        <v>1.6099999999999999</v>
      </c>
      <c r="AA14">
        <v>0</v>
      </c>
      <c r="AB14">
        <v>1.2</v>
      </c>
      <c r="AC14">
        <v>0</v>
      </c>
      <c r="AD14">
        <v>0</v>
      </c>
      <c r="AE14">
        <v>0</v>
      </c>
      <c r="AF14">
        <v>1.2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2.2999999999999998</v>
      </c>
      <c r="AU14" t="s">
        <v>40</v>
      </c>
      <c r="AV14">
        <v>0</v>
      </c>
      <c r="AW14">
        <v>2</v>
      </c>
      <c r="AX14">
        <v>16856326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Y14*Source!I28</f>
        <v>2.2745114000000002</v>
      </c>
      <c r="CY14">
        <f>AB14</f>
        <v>1.2</v>
      </c>
      <c r="CZ14">
        <f>AF14</f>
        <v>1.2</v>
      </c>
      <c r="DA14">
        <f>AJ14</f>
        <v>1</v>
      </c>
      <c r="DB14">
        <f>ROUND((ROUND(AT14*CZ14,2)*0.7),6)</f>
        <v>1.9319999999999999</v>
      </c>
      <c r="DC14">
        <f>ROUND((ROUND(AT14*AG14,2)*0.7),6)</f>
        <v>0</v>
      </c>
    </row>
    <row r="15" spans="1:107" x14ac:dyDescent="0.2">
      <c r="A15">
        <f>ROW(Source!A28)</f>
        <v>28</v>
      </c>
      <c r="B15">
        <v>16856227</v>
      </c>
      <c r="C15">
        <v>16856302</v>
      </c>
      <c r="D15">
        <v>15249355</v>
      </c>
      <c r="E15">
        <v>1</v>
      </c>
      <c r="F15">
        <v>1</v>
      </c>
      <c r="G15">
        <v>1</v>
      </c>
      <c r="H15">
        <v>2</v>
      </c>
      <c r="I15" t="s">
        <v>336</v>
      </c>
      <c r="J15" t="s">
        <v>337</v>
      </c>
      <c r="K15" t="s">
        <v>338</v>
      </c>
      <c r="L15">
        <v>1368</v>
      </c>
      <c r="N15">
        <v>1011</v>
      </c>
      <c r="O15" t="s">
        <v>321</v>
      </c>
      <c r="P15" t="s">
        <v>321</v>
      </c>
      <c r="Q15">
        <v>1</v>
      </c>
      <c r="W15">
        <v>0</v>
      </c>
      <c r="X15">
        <v>1323835807</v>
      </c>
      <c r="Y15">
        <v>12.235999999999999</v>
      </c>
      <c r="AA15">
        <v>0</v>
      </c>
      <c r="AB15">
        <v>12.31</v>
      </c>
      <c r="AC15">
        <v>0</v>
      </c>
      <c r="AD15">
        <v>0</v>
      </c>
      <c r="AE15">
        <v>0</v>
      </c>
      <c r="AF15">
        <v>12.31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17.48</v>
      </c>
      <c r="AU15" t="s">
        <v>40</v>
      </c>
      <c r="AV15">
        <v>0</v>
      </c>
      <c r="AW15">
        <v>2</v>
      </c>
      <c r="AX15">
        <v>16856327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Y15*Source!I28</f>
        <v>17.28628664</v>
      </c>
      <c r="CY15">
        <f>AB15</f>
        <v>12.31</v>
      </c>
      <c r="CZ15">
        <f>AF15</f>
        <v>12.31</v>
      </c>
      <c r="DA15">
        <f>AJ15</f>
        <v>1</v>
      </c>
      <c r="DB15">
        <f>ROUND((ROUND(AT15*CZ15,2)*0.7),6)</f>
        <v>150.626</v>
      </c>
      <c r="DC15">
        <f>ROUND((ROUND(AT15*AG15,2)*0.7),6)</f>
        <v>0</v>
      </c>
    </row>
    <row r="16" spans="1:107" x14ac:dyDescent="0.2">
      <c r="A16">
        <f>ROW(Source!A28)</f>
        <v>28</v>
      </c>
      <c r="B16">
        <v>16856227</v>
      </c>
      <c r="C16">
        <v>16856302</v>
      </c>
      <c r="D16">
        <v>15165653</v>
      </c>
      <c r="E16">
        <v>1</v>
      </c>
      <c r="F16">
        <v>1</v>
      </c>
      <c r="G16">
        <v>1</v>
      </c>
      <c r="H16">
        <v>3</v>
      </c>
      <c r="I16" t="s">
        <v>339</v>
      </c>
      <c r="J16" t="s">
        <v>340</v>
      </c>
      <c r="K16" t="s">
        <v>341</v>
      </c>
      <c r="L16">
        <v>1339</v>
      </c>
      <c r="N16">
        <v>1007</v>
      </c>
      <c r="O16" t="s">
        <v>107</v>
      </c>
      <c r="P16" t="s">
        <v>107</v>
      </c>
      <c r="Q16">
        <v>1</v>
      </c>
      <c r="W16">
        <v>0</v>
      </c>
      <c r="X16">
        <v>1262771840</v>
      </c>
      <c r="Y16">
        <v>0</v>
      </c>
      <c r="AA16">
        <v>6.22</v>
      </c>
      <c r="AB16">
        <v>0</v>
      </c>
      <c r="AC16">
        <v>0</v>
      </c>
      <c r="AD16">
        <v>0</v>
      </c>
      <c r="AE16">
        <v>6.22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1.95</v>
      </c>
      <c r="AU16" t="s">
        <v>19</v>
      </c>
      <c r="AV16">
        <v>0</v>
      </c>
      <c r="AW16">
        <v>2</v>
      </c>
      <c r="AX16">
        <v>16856328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Y16*Source!I28</f>
        <v>0</v>
      </c>
      <c r="CY16">
        <f t="shared" ref="CY16:CY26" si="2">AA16</f>
        <v>6.22</v>
      </c>
      <c r="CZ16">
        <f t="shared" ref="CZ16:CZ26" si="3">AE16</f>
        <v>6.22</v>
      </c>
      <c r="DA16">
        <f t="shared" ref="DA16:DA26" si="4">AI16</f>
        <v>1</v>
      </c>
      <c r="DB16">
        <f t="shared" ref="DB16:DB26" si="5">ROUND((ROUND(AT16*CZ16,2)*0),6)</f>
        <v>0</v>
      </c>
      <c r="DC16">
        <f t="shared" ref="DC16:DC26" si="6">ROUND((ROUND(AT16*AG16,2)*0),6)</f>
        <v>0</v>
      </c>
    </row>
    <row r="17" spans="1:107" x14ac:dyDescent="0.2">
      <c r="A17">
        <f>ROW(Source!A28)</f>
        <v>28</v>
      </c>
      <c r="B17">
        <v>16856227</v>
      </c>
      <c r="C17">
        <v>16856302</v>
      </c>
      <c r="D17">
        <v>15165660</v>
      </c>
      <c r="E17">
        <v>1</v>
      </c>
      <c r="F17">
        <v>1</v>
      </c>
      <c r="G17">
        <v>1</v>
      </c>
      <c r="H17">
        <v>3</v>
      </c>
      <c r="I17" t="s">
        <v>342</v>
      </c>
      <c r="J17" t="s">
        <v>343</v>
      </c>
      <c r="K17" t="s">
        <v>344</v>
      </c>
      <c r="L17">
        <v>1346</v>
      </c>
      <c r="N17">
        <v>1009</v>
      </c>
      <c r="O17" t="s">
        <v>129</v>
      </c>
      <c r="P17" t="s">
        <v>129</v>
      </c>
      <c r="Q17">
        <v>1</v>
      </c>
      <c r="W17">
        <v>0</v>
      </c>
      <c r="X17">
        <v>1721895514</v>
      </c>
      <c r="Y17">
        <v>0</v>
      </c>
      <c r="AA17">
        <v>6.09</v>
      </c>
      <c r="AB17">
        <v>0</v>
      </c>
      <c r="AC17">
        <v>0</v>
      </c>
      <c r="AD17">
        <v>0</v>
      </c>
      <c r="AE17">
        <v>6.09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0.6</v>
      </c>
      <c r="AU17" t="s">
        <v>19</v>
      </c>
      <c r="AV17">
        <v>0</v>
      </c>
      <c r="AW17">
        <v>2</v>
      </c>
      <c r="AX17">
        <v>16856329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Y17*Source!I28</f>
        <v>0</v>
      </c>
      <c r="CY17">
        <f t="shared" si="2"/>
        <v>6.09</v>
      </c>
      <c r="CZ17">
        <f t="shared" si="3"/>
        <v>6.09</v>
      </c>
      <c r="DA17">
        <f t="shared" si="4"/>
        <v>1</v>
      </c>
      <c r="DB17">
        <f t="shared" si="5"/>
        <v>0</v>
      </c>
      <c r="DC17">
        <f t="shared" si="6"/>
        <v>0</v>
      </c>
    </row>
    <row r="18" spans="1:107" x14ac:dyDescent="0.2">
      <c r="A18">
        <f>ROW(Source!A28)</f>
        <v>28</v>
      </c>
      <c r="B18">
        <v>16856227</v>
      </c>
      <c r="C18">
        <v>16856302</v>
      </c>
      <c r="D18">
        <v>15168753</v>
      </c>
      <c r="E18">
        <v>1</v>
      </c>
      <c r="F18">
        <v>1</v>
      </c>
      <c r="G18">
        <v>1</v>
      </c>
      <c r="H18">
        <v>3</v>
      </c>
      <c r="I18" t="s">
        <v>345</v>
      </c>
      <c r="J18" t="s">
        <v>346</v>
      </c>
      <c r="K18" t="s">
        <v>347</v>
      </c>
      <c r="L18">
        <v>1348</v>
      </c>
      <c r="N18">
        <v>1009</v>
      </c>
      <c r="O18" t="s">
        <v>37</v>
      </c>
      <c r="P18" t="s">
        <v>37</v>
      </c>
      <c r="Q18">
        <v>1000</v>
      </c>
      <c r="W18">
        <v>0</v>
      </c>
      <c r="X18">
        <v>1225357214</v>
      </c>
      <c r="Y18">
        <v>0</v>
      </c>
      <c r="AA18">
        <v>10749</v>
      </c>
      <c r="AB18">
        <v>0</v>
      </c>
      <c r="AC18">
        <v>0</v>
      </c>
      <c r="AD18">
        <v>0</v>
      </c>
      <c r="AE18">
        <v>10749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1.2E-2</v>
      </c>
      <c r="AU18" t="s">
        <v>19</v>
      </c>
      <c r="AV18">
        <v>0</v>
      </c>
      <c r="AW18">
        <v>2</v>
      </c>
      <c r="AX18">
        <v>16856330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Y18*Source!I28</f>
        <v>0</v>
      </c>
      <c r="CY18">
        <f t="shared" si="2"/>
        <v>10749</v>
      </c>
      <c r="CZ18">
        <f t="shared" si="3"/>
        <v>10749</v>
      </c>
      <c r="DA18">
        <f t="shared" si="4"/>
        <v>1</v>
      </c>
      <c r="DB18">
        <f t="shared" si="5"/>
        <v>0</v>
      </c>
      <c r="DC18">
        <f t="shared" si="6"/>
        <v>0</v>
      </c>
    </row>
    <row r="19" spans="1:107" x14ac:dyDescent="0.2">
      <c r="A19">
        <f>ROW(Source!A28)</f>
        <v>28</v>
      </c>
      <c r="B19">
        <v>16856227</v>
      </c>
      <c r="C19">
        <v>16856302</v>
      </c>
      <c r="D19">
        <v>15169941</v>
      </c>
      <c r="E19">
        <v>1</v>
      </c>
      <c r="F19">
        <v>1</v>
      </c>
      <c r="G19">
        <v>1</v>
      </c>
      <c r="H19">
        <v>3</v>
      </c>
      <c r="I19" t="s">
        <v>348</v>
      </c>
      <c r="J19" t="s">
        <v>349</v>
      </c>
      <c r="K19" t="s">
        <v>350</v>
      </c>
      <c r="L19">
        <v>1348</v>
      </c>
      <c r="N19">
        <v>1009</v>
      </c>
      <c r="O19" t="s">
        <v>37</v>
      </c>
      <c r="P19" t="s">
        <v>37</v>
      </c>
      <c r="Q19">
        <v>1000</v>
      </c>
      <c r="W19">
        <v>0</v>
      </c>
      <c r="X19">
        <v>-437906794</v>
      </c>
      <c r="Y19">
        <v>0</v>
      </c>
      <c r="AA19">
        <v>9040.01</v>
      </c>
      <c r="AB19">
        <v>0</v>
      </c>
      <c r="AC19">
        <v>0</v>
      </c>
      <c r="AD19">
        <v>0</v>
      </c>
      <c r="AE19">
        <v>9040.01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7.0000000000000001E-3</v>
      </c>
      <c r="AU19" t="s">
        <v>19</v>
      </c>
      <c r="AV19">
        <v>0</v>
      </c>
      <c r="AW19">
        <v>2</v>
      </c>
      <c r="AX19">
        <v>16856331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Y19*Source!I28</f>
        <v>0</v>
      </c>
      <c r="CY19">
        <f t="shared" si="2"/>
        <v>9040.01</v>
      </c>
      <c r="CZ19">
        <f t="shared" si="3"/>
        <v>9040.01</v>
      </c>
      <c r="DA19">
        <f t="shared" si="4"/>
        <v>1</v>
      </c>
      <c r="DB19">
        <f t="shared" si="5"/>
        <v>0</v>
      </c>
      <c r="DC19">
        <f t="shared" si="6"/>
        <v>0</v>
      </c>
    </row>
    <row r="20" spans="1:107" x14ac:dyDescent="0.2">
      <c r="A20">
        <f>ROW(Source!A28)</f>
        <v>28</v>
      </c>
      <c r="B20">
        <v>16856227</v>
      </c>
      <c r="C20">
        <v>16856302</v>
      </c>
      <c r="D20">
        <v>15170039</v>
      </c>
      <c r="E20">
        <v>1</v>
      </c>
      <c r="F20">
        <v>1</v>
      </c>
      <c r="G20">
        <v>1</v>
      </c>
      <c r="H20">
        <v>3</v>
      </c>
      <c r="I20" t="s">
        <v>351</v>
      </c>
      <c r="J20" t="s">
        <v>352</v>
      </c>
      <c r="K20" t="s">
        <v>353</v>
      </c>
      <c r="L20">
        <v>1348</v>
      </c>
      <c r="N20">
        <v>1009</v>
      </c>
      <c r="O20" t="s">
        <v>37</v>
      </c>
      <c r="P20" t="s">
        <v>37</v>
      </c>
      <c r="Q20">
        <v>1000</v>
      </c>
      <c r="W20">
        <v>0</v>
      </c>
      <c r="X20">
        <v>1174701286</v>
      </c>
      <c r="Y20">
        <v>0</v>
      </c>
      <c r="AA20">
        <v>11978</v>
      </c>
      <c r="AB20">
        <v>0</v>
      </c>
      <c r="AC20">
        <v>0</v>
      </c>
      <c r="AD20">
        <v>0</v>
      </c>
      <c r="AE20">
        <v>11978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1.0000000000000001E-5</v>
      </c>
      <c r="AU20" t="s">
        <v>19</v>
      </c>
      <c r="AV20">
        <v>0</v>
      </c>
      <c r="AW20">
        <v>2</v>
      </c>
      <c r="AX20">
        <v>16856332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Y20*Source!I28</f>
        <v>0</v>
      </c>
      <c r="CY20">
        <f t="shared" si="2"/>
        <v>11978</v>
      </c>
      <c r="CZ20">
        <f t="shared" si="3"/>
        <v>11978</v>
      </c>
      <c r="DA20">
        <f t="shared" si="4"/>
        <v>1</v>
      </c>
      <c r="DB20">
        <f t="shared" si="5"/>
        <v>0</v>
      </c>
      <c r="DC20">
        <f t="shared" si="6"/>
        <v>0</v>
      </c>
    </row>
    <row r="21" spans="1:107" x14ac:dyDescent="0.2">
      <c r="A21">
        <f>ROW(Source!A28)</f>
        <v>28</v>
      </c>
      <c r="B21">
        <v>16856227</v>
      </c>
      <c r="C21">
        <v>16856302</v>
      </c>
      <c r="D21">
        <v>15171021</v>
      </c>
      <c r="E21">
        <v>1</v>
      </c>
      <c r="F21">
        <v>1</v>
      </c>
      <c r="G21">
        <v>1</v>
      </c>
      <c r="H21">
        <v>3</v>
      </c>
      <c r="I21" t="s">
        <v>354</v>
      </c>
      <c r="J21" t="s">
        <v>355</v>
      </c>
      <c r="K21" t="s">
        <v>356</v>
      </c>
      <c r="L21">
        <v>1348</v>
      </c>
      <c r="N21">
        <v>1009</v>
      </c>
      <c r="O21" t="s">
        <v>37</v>
      </c>
      <c r="P21" t="s">
        <v>37</v>
      </c>
      <c r="Q21">
        <v>1000</v>
      </c>
      <c r="W21">
        <v>0</v>
      </c>
      <c r="X21">
        <v>-2116243625</v>
      </c>
      <c r="Y21">
        <v>0</v>
      </c>
      <c r="AA21">
        <v>37900</v>
      </c>
      <c r="AB21">
        <v>0</v>
      </c>
      <c r="AC21">
        <v>0</v>
      </c>
      <c r="AD21">
        <v>0</v>
      </c>
      <c r="AE21">
        <v>37900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1E-4</v>
      </c>
      <c r="AU21" t="s">
        <v>19</v>
      </c>
      <c r="AV21">
        <v>0</v>
      </c>
      <c r="AW21">
        <v>2</v>
      </c>
      <c r="AX21">
        <v>16856333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0</v>
      </c>
      <c r="CY21">
        <f t="shared" si="2"/>
        <v>37900</v>
      </c>
      <c r="CZ21">
        <f t="shared" si="3"/>
        <v>37900</v>
      </c>
      <c r="DA21">
        <f t="shared" si="4"/>
        <v>1</v>
      </c>
      <c r="DB21">
        <f t="shared" si="5"/>
        <v>0</v>
      </c>
      <c r="DC21">
        <f t="shared" si="6"/>
        <v>0</v>
      </c>
    </row>
    <row r="22" spans="1:107" x14ac:dyDescent="0.2">
      <c r="A22">
        <f>ROW(Source!A28)</f>
        <v>28</v>
      </c>
      <c r="B22">
        <v>16856227</v>
      </c>
      <c r="C22">
        <v>16856302</v>
      </c>
      <c r="D22">
        <v>15190794</v>
      </c>
      <c r="E22">
        <v>1</v>
      </c>
      <c r="F22">
        <v>1</v>
      </c>
      <c r="G22">
        <v>1</v>
      </c>
      <c r="H22">
        <v>3</v>
      </c>
      <c r="I22" t="s">
        <v>357</v>
      </c>
      <c r="J22" t="s">
        <v>358</v>
      </c>
      <c r="K22" t="s">
        <v>359</v>
      </c>
      <c r="L22">
        <v>1302</v>
      </c>
      <c r="N22">
        <v>1003</v>
      </c>
      <c r="O22" t="s">
        <v>152</v>
      </c>
      <c r="P22" t="s">
        <v>152</v>
      </c>
      <c r="Q22">
        <v>10</v>
      </c>
      <c r="W22">
        <v>0</v>
      </c>
      <c r="X22">
        <v>-1640127157</v>
      </c>
      <c r="Y22">
        <v>0</v>
      </c>
      <c r="AA22">
        <v>50.24</v>
      </c>
      <c r="AB22">
        <v>0</v>
      </c>
      <c r="AC22">
        <v>0</v>
      </c>
      <c r="AD22">
        <v>0</v>
      </c>
      <c r="AE22">
        <v>50.24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1.8700000000000001E-2</v>
      </c>
      <c r="AU22" t="s">
        <v>19</v>
      </c>
      <c r="AV22">
        <v>0</v>
      </c>
      <c r="AW22">
        <v>2</v>
      </c>
      <c r="AX22">
        <v>16856335</v>
      </c>
      <c r="AY22">
        <v>1</v>
      </c>
      <c r="AZ22">
        <v>0</v>
      </c>
      <c r="BA22">
        <v>27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Y22*Source!I28</f>
        <v>0</v>
      </c>
      <c r="CY22">
        <f t="shared" si="2"/>
        <v>50.24</v>
      </c>
      <c r="CZ22">
        <f t="shared" si="3"/>
        <v>50.24</v>
      </c>
      <c r="DA22">
        <f t="shared" si="4"/>
        <v>1</v>
      </c>
      <c r="DB22">
        <f t="shared" si="5"/>
        <v>0</v>
      </c>
      <c r="DC22">
        <f t="shared" si="6"/>
        <v>0</v>
      </c>
    </row>
    <row r="23" spans="1:107" x14ac:dyDescent="0.2">
      <c r="A23">
        <f>ROW(Source!A28)</f>
        <v>28</v>
      </c>
      <c r="B23">
        <v>16856227</v>
      </c>
      <c r="C23">
        <v>16856302</v>
      </c>
      <c r="D23">
        <v>15191153</v>
      </c>
      <c r="E23">
        <v>1</v>
      </c>
      <c r="F23">
        <v>1</v>
      </c>
      <c r="G23">
        <v>1</v>
      </c>
      <c r="H23">
        <v>3</v>
      </c>
      <c r="I23" t="s">
        <v>360</v>
      </c>
      <c r="J23" t="s">
        <v>361</v>
      </c>
      <c r="K23" t="s">
        <v>362</v>
      </c>
      <c r="L23">
        <v>1348</v>
      </c>
      <c r="N23">
        <v>1009</v>
      </c>
      <c r="O23" t="s">
        <v>37</v>
      </c>
      <c r="P23" t="s">
        <v>37</v>
      </c>
      <c r="Q23">
        <v>1000</v>
      </c>
      <c r="W23">
        <v>0</v>
      </c>
      <c r="X23">
        <v>-1396314973</v>
      </c>
      <c r="Y23">
        <v>0</v>
      </c>
      <c r="AA23">
        <v>4455.2</v>
      </c>
      <c r="AB23">
        <v>0</v>
      </c>
      <c r="AC23">
        <v>0</v>
      </c>
      <c r="AD23">
        <v>0</v>
      </c>
      <c r="AE23">
        <v>4455.2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3.0000000000000001E-5</v>
      </c>
      <c r="AU23" t="s">
        <v>19</v>
      </c>
      <c r="AV23">
        <v>0</v>
      </c>
      <c r="AW23">
        <v>2</v>
      </c>
      <c r="AX23">
        <v>16856336</v>
      </c>
      <c r="AY23">
        <v>1</v>
      </c>
      <c r="AZ23">
        <v>0</v>
      </c>
      <c r="BA23">
        <v>28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Y23*Source!I28</f>
        <v>0</v>
      </c>
      <c r="CY23">
        <f t="shared" si="2"/>
        <v>4455.2</v>
      </c>
      <c r="CZ23">
        <f t="shared" si="3"/>
        <v>4455.2</v>
      </c>
      <c r="DA23">
        <f t="shared" si="4"/>
        <v>1</v>
      </c>
      <c r="DB23">
        <f t="shared" si="5"/>
        <v>0</v>
      </c>
      <c r="DC23">
        <f t="shared" si="6"/>
        <v>0</v>
      </c>
    </row>
    <row r="24" spans="1:107" x14ac:dyDescent="0.2">
      <c r="A24">
        <f>ROW(Source!A28)</f>
        <v>28</v>
      </c>
      <c r="B24">
        <v>16856227</v>
      </c>
      <c r="C24">
        <v>16856302</v>
      </c>
      <c r="D24">
        <v>15191913</v>
      </c>
      <c r="E24">
        <v>1</v>
      </c>
      <c r="F24">
        <v>1</v>
      </c>
      <c r="G24">
        <v>1</v>
      </c>
      <c r="H24">
        <v>3</v>
      </c>
      <c r="I24" t="s">
        <v>363</v>
      </c>
      <c r="J24" t="s">
        <v>364</v>
      </c>
      <c r="K24" t="s">
        <v>365</v>
      </c>
      <c r="L24">
        <v>1348</v>
      </c>
      <c r="N24">
        <v>1009</v>
      </c>
      <c r="O24" t="s">
        <v>37</v>
      </c>
      <c r="P24" t="s">
        <v>37</v>
      </c>
      <c r="Q24">
        <v>1000</v>
      </c>
      <c r="W24">
        <v>0</v>
      </c>
      <c r="X24">
        <v>900832145</v>
      </c>
      <c r="Y24">
        <v>0</v>
      </c>
      <c r="AA24">
        <v>4920</v>
      </c>
      <c r="AB24">
        <v>0</v>
      </c>
      <c r="AC24">
        <v>0</v>
      </c>
      <c r="AD24">
        <v>0</v>
      </c>
      <c r="AE24">
        <v>4920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1.9400000000000001E-3</v>
      </c>
      <c r="AU24" t="s">
        <v>19</v>
      </c>
      <c r="AV24">
        <v>0</v>
      </c>
      <c r="AW24">
        <v>2</v>
      </c>
      <c r="AX24">
        <v>16856337</v>
      </c>
      <c r="AY24">
        <v>1</v>
      </c>
      <c r="AZ24">
        <v>0</v>
      </c>
      <c r="BA24">
        <v>29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Y24*Source!I28</f>
        <v>0</v>
      </c>
      <c r="CY24">
        <f t="shared" si="2"/>
        <v>4920</v>
      </c>
      <c r="CZ24">
        <f t="shared" si="3"/>
        <v>4920</v>
      </c>
      <c r="DA24">
        <f t="shared" si="4"/>
        <v>1</v>
      </c>
      <c r="DB24">
        <f t="shared" si="5"/>
        <v>0</v>
      </c>
      <c r="DC24">
        <f t="shared" si="6"/>
        <v>0</v>
      </c>
    </row>
    <row r="25" spans="1:107" x14ac:dyDescent="0.2">
      <c r="A25">
        <f>ROW(Source!A28)</f>
        <v>28</v>
      </c>
      <c r="B25">
        <v>16856227</v>
      </c>
      <c r="C25">
        <v>16856302</v>
      </c>
      <c r="D25">
        <v>15203461</v>
      </c>
      <c r="E25">
        <v>1</v>
      </c>
      <c r="F25">
        <v>1</v>
      </c>
      <c r="G25">
        <v>1</v>
      </c>
      <c r="H25">
        <v>3</v>
      </c>
      <c r="I25" t="s">
        <v>366</v>
      </c>
      <c r="J25" t="s">
        <v>367</v>
      </c>
      <c r="K25" t="s">
        <v>368</v>
      </c>
      <c r="L25">
        <v>1348</v>
      </c>
      <c r="N25">
        <v>1009</v>
      </c>
      <c r="O25" t="s">
        <v>37</v>
      </c>
      <c r="P25" t="s">
        <v>37</v>
      </c>
      <c r="Q25">
        <v>1000</v>
      </c>
      <c r="W25">
        <v>0</v>
      </c>
      <c r="X25">
        <v>-1655298345</v>
      </c>
      <c r="Y25">
        <v>0</v>
      </c>
      <c r="AA25">
        <v>15620</v>
      </c>
      <c r="AB25">
        <v>0</v>
      </c>
      <c r="AC25">
        <v>0</v>
      </c>
      <c r="AD25">
        <v>0</v>
      </c>
      <c r="AE25">
        <v>15620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3.1E-4</v>
      </c>
      <c r="AU25" t="s">
        <v>19</v>
      </c>
      <c r="AV25">
        <v>0</v>
      </c>
      <c r="AW25">
        <v>2</v>
      </c>
      <c r="AX25">
        <v>16856340</v>
      </c>
      <c r="AY25">
        <v>1</v>
      </c>
      <c r="AZ25">
        <v>0</v>
      </c>
      <c r="BA25">
        <v>32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Y25*Source!I28</f>
        <v>0</v>
      </c>
      <c r="CY25">
        <f t="shared" si="2"/>
        <v>15620</v>
      </c>
      <c r="CZ25">
        <f t="shared" si="3"/>
        <v>15620</v>
      </c>
      <c r="DA25">
        <f t="shared" si="4"/>
        <v>1</v>
      </c>
      <c r="DB25">
        <f t="shared" si="5"/>
        <v>0</v>
      </c>
      <c r="DC25">
        <f t="shared" si="6"/>
        <v>0</v>
      </c>
    </row>
    <row r="26" spans="1:107" x14ac:dyDescent="0.2">
      <c r="A26">
        <f>ROW(Source!A28)</f>
        <v>28</v>
      </c>
      <c r="B26">
        <v>16856227</v>
      </c>
      <c r="C26">
        <v>16856302</v>
      </c>
      <c r="D26">
        <v>15204663</v>
      </c>
      <c r="E26">
        <v>1</v>
      </c>
      <c r="F26">
        <v>1</v>
      </c>
      <c r="G26">
        <v>1</v>
      </c>
      <c r="H26">
        <v>3</v>
      </c>
      <c r="I26" t="s">
        <v>369</v>
      </c>
      <c r="J26" t="s">
        <v>370</v>
      </c>
      <c r="K26" t="s">
        <v>371</v>
      </c>
      <c r="L26">
        <v>1348</v>
      </c>
      <c r="N26">
        <v>1009</v>
      </c>
      <c r="O26" t="s">
        <v>37</v>
      </c>
      <c r="P26" t="s">
        <v>37</v>
      </c>
      <c r="Q26">
        <v>1000</v>
      </c>
      <c r="W26">
        <v>0</v>
      </c>
      <c r="X26">
        <v>-639604785</v>
      </c>
      <c r="Y26">
        <v>0</v>
      </c>
      <c r="AA26">
        <v>9420</v>
      </c>
      <c r="AB26">
        <v>0</v>
      </c>
      <c r="AC26">
        <v>0</v>
      </c>
      <c r="AD26">
        <v>0</v>
      </c>
      <c r="AE26">
        <v>9420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5.9999999999999995E-4</v>
      </c>
      <c r="AU26" t="s">
        <v>19</v>
      </c>
      <c r="AV26">
        <v>0</v>
      </c>
      <c r="AW26">
        <v>2</v>
      </c>
      <c r="AX26">
        <v>16856341</v>
      </c>
      <c r="AY26">
        <v>1</v>
      </c>
      <c r="AZ26">
        <v>0</v>
      </c>
      <c r="BA26">
        <v>33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Y26*Source!I28</f>
        <v>0</v>
      </c>
      <c r="CY26">
        <f t="shared" si="2"/>
        <v>9420</v>
      </c>
      <c r="CZ26">
        <f t="shared" si="3"/>
        <v>9420</v>
      </c>
      <c r="DA26">
        <f t="shared" si="4"/>
        <v>1</v>
      </c>
      <c r="DB26">
        <f t="shared" si="5"/>
        <v>0</v>
      </c>
      <c r="DC26">
        <f t="shared" si="6"/>
        <v>0</v>
      </c>
    </row>
    <row r="27" spans="1:107" x14ac:dyDescent="0.2">
      <c r="A27">
        <f>ROW(Source!A29)</f>
        <v>29</v>
      </c>
      <c r="B27">
        <v>16856228</v>
      </c>
      <c r="C27">
        <v>16856302</v>
      </c>
      <c r="D27">
        <v>15430447</v>
      </c>
      <c r="E27">
        <v>1</v>
      </c>
      <c r="F27">
        <v>1</v>
      </c>
      <c r="G27">
        <v>1</v>
      </c>
      <c r="H27">
        <v>1</v>
      </c>
      <c r="I27" t="s">
        <v>322</v>
      </c>
      <c r="J27" t="s">
        <v>6</v>
      </c>
      <c r="K27" t="s">
        <v>323</v>
      </c>
      <c r="L27">
        <v>1191</v>
      </c>
      <c r="N27">
        <v>1013</v>
      </c>
      <c r="O27" t="s">
        <v>313</v>
      </c>
      <c r="P27" t="s">
        <v>313</v>
      </c>
      <c r="Q27">
        <v>1</v>
      </c>
      <c r="W27">
        <v>0</v>
      </c>
      <c r="X27">
        <v>145020957</v>
      </c>
      <c r="Y27">
        <v>153.755</v>
      </c>
      <c r="AA27">
        <v>0</v>
      </c>
      <c r="AB27">
        <v>0</v>
      </c>
      <c r="AC27">
        <v>0</v>
      </c>
      <c r="AD27">
        <v>61.4</v>
      </c>
      <c r="AE27">
        <v>0</v>
      </c>
      <c r="AF27">
        <v>0</v>
      </c>
      <c r="AG27">
        <v>0</v>
      </c>
      <c r="AH27">
        <v>9.07</v>
      </c>
      <c r="AI27">
        <v>1</v>
      </c>
      <c r="AJ27">
        <v>1</v>
      </c>
      <c r="AK27">
        <v>1</v>
      </c>
      <c r="AL27">
        <v>6.77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219.65</v>
      </c>
      <c r="AU27" t="s">
        <v>40</v>
      </c>
      <c r="AV27">
        <v>1</v>
      </c>
      <c r="AW27">
        <v>2</v>
      </c>
      <c r="AX27">
        <v>16856321</v>
      </c>
      <c r="AY27">
        <v>1</v>
      </c>
      <c r="AZ27">
        <v>0</v>
      </c>
      <c r="BA27">
        <v>34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Y27*Source!I29</f>
        <v>217.21583870000001</v>
      </c>
      <c r="CY27">
        <f>AD27</f>
        <v>61.4</v>
      </c>
      <c r="CZ27">
        <f>AH27</f>
        <v>9.07</v>
      </c>
      <c r="DA27">
        <f>AL27</f>
        <v>6.77</v>
      </c>
      <c r="DB27">
        <f>ROUND((ROUND(AT27*CZ27,2)*0.7),6)</f>
        <v>1394.5609999999999</v>
      </c>
      <c r="DC27">
        <f>ROUND((ROUND(AT27*AG27,2)*0.7),6)</f>
        <v>0</v>
      </c>
    </row>
    <row r="28" spans="1:107" x14ac:dyDescent="0.2">
      <c r="A28">
        <f>ROW(Source!A29)</f>
        <v>29</v>
      </c>
      <c r="B28">
        <v>16856228</v>
      </c>
      <c r="C28">
        <v>16856302</v>
      </c>
      <c r="D28">
        <v>15430395</v>
      </c>
      <c r="E28">
        <v>1</v>
      </c>
      <c r="F28">
        <v>1</v>
      </c>
      <c r="G28">
        <v>1</v>
      </c>
      <c r="H28">
        <v>1</v>
      </c>
      <c r="I28" t="s">
        <v>316</v>
      </c>
      <c r="J28" t="s">
        <v>6</v>
      </c>
      <c r="K28" t="s">
        <v>317</v>
      </c>
      <c r="L28">
        <v>1191</v>
      </c>
      <c r="N28">
        <v>1013</v>
      </c>
      <c r="O28" t="s">
        <v>313</v>
      </c>
      <c r="P28" t="s">
        <v>313</v>
      </c>
      <c r="Q28">
        <v>1</v>
      </c>
      <c r="W28">
        <v>0</v>
      </c>
      <c r="X28">
        <v>-1417349443</v>
      </c>
      <c r="Y28">
        <v>15.49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6.77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15.49</v>
      </c>
      <c r="AU28" t="s">
        <v>6</v>
      </c>
      <c r="AV28">
        <v>2</v>
      </c>
      <c r="AW28">
        <v>2</v>
      </c>
      <c r="AX28">
        <v>16856322</v>
      </c>
      <c r="AY28">
        <v>1</v>
      </c>
      <c r="AZ28">
        <v>2048</v>
      </c>
      <c r="BA28">
        <v>35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Y28*Source!I29</f>
        <v>21.883342600000002</v>
      </c>
      <c r="CY28">
        <f>AD28</f>
        <v>0</v>
      </c>
      <c r="CZ28">
        <f>AH28</f>
        <v>0</v>
      </c>
      <c r="DA28">
        <f>AL28</f>
        <v>1</v>
      </c>
      <c r="DB28">
        <f>ROUND(ROUND(AT28*CZ28,2),6)</f>
        <v>0</v>
      </c>
      <c r="DC28">
        <f>ROUND(ROUND(AT28*AG28,2),6)</f>
        <v>0</v>
      </c>
    </row>
    <row r="29" spans="1:107" x14ac:dyDescent="0.2">
      <c r="A29">
        <f>ROW(Source!A29)</f>
        <v>29</v>
      </c>
      <c r="B29">
        <v>16856228</v>
      </c>
      <c r="C29">
        <v>16856302</v>
      </c>
      <c r="D29">
        <v>15247680</v>
      </c>
      <c r="E29">
        <v>1</v>
      </c>
      <c r="F29">
        <v>1</v>
      </c>
      <c r="G29">
        <v>1</v>
      </c>
      <c r="H29">
        <v>2</v>
      </c>
      <c r="I29" t="s">
        <v>324</v>
      </c>
      <c r="J29" t="s">
        <v>325</v>
      </c>
      <c r="K29" t="s">
        <v>326</v>
      </c>
      <c r="L29">
        <v>1368</v>
      </c>
      <c r="N29">
        <v>1011</v>
      </c>
      <c r="O29" t="s">
        <v>321</v>
      </c>
      <c r="P29" t="s">
        <v>321</v>
      </c>
      <c r="Q29">
        <v>1</v>
      </c>
      <c r="W29">
        <v>0</v>
      </c>
      <c r="X29">
        <v>-1718674368</v>
      </c>
      <c r="Y29">
        <v>8.3999999999999991E-2</v>
      </c>
      <c r="AA29">
        <v>0</v>
      </c>
      <c r="AB29">
        <v>758.17</v>
      </c>
      <c r="AC29">
        <v>13.5</v>
      </c>
      <c r="AD29">
        <v>0</v>
      </c>
      <c r="AE29">
        <v>0</v>
      </c>
      <c r="AF29">
        <v>111.99</v>
      </c>
      <c r="AG29">
        <v>13.5</v>
      </c>
      <c r="AH29">
        <v>0</v>
      </c>
      <c r="AI29">
        <v>1</v>
      </c>
      <c r="AJ29">
        <v>6.77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0.12</v>
      </c>
      <c r="AU29" t="s">
        <v>40</v>
      </c>
      <c r="AV29">
        <v>0</v>
      </c>
      <c r="AW29">
        <v>2</v>
      </c>
      <c r="AX29">
        <v>16856323</v>
      </c>
      <c r="AY29">
        <v>1</v>
      </c>
      <c r="AZ29">
        <v>0</v>
      </c>
      <c r="BA29">
        <v>36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Y29*Source!I29</f>
        <v>0.11867016</v>
      </c>
      <c r="CY29">
        <f>AB29</f>
        <v>758.17</v>
      </c>
      <c r="CZ29">
        <f>AF29</f>
        <v>111.99</v>
      </c>
      <c r="DA29">
        <f>AJ29</f>
        <v>6.77</v>
      </c>
      <c r="DB29">
        <f>ROUND((ROUND(AT29*CZ29,2)*0.7),6)</f>
        <v>9.4079999999999995</v>
      </c>
      <c r="DC29">
        <f>ROUND((ROUND(AT29*AG29,2)*0.7),6)</f>
        <v>1.1339999999999999</v>
      </c>
    </row>
    <row r="30" spans="1:107" x14ac:dyDescent="0.2">
      <c r="A30">
        <f>ROW(Source!A29)</f>
        <v>29</v>
      </c>
      <c r="B30">
        <v>16856228</v>
      </c>
      <c r="C30">
        <v>16856302</v>
      </c>
      <c r="D30">
        <v>15247728</v>
      </c>
      <c r="E30">
        <v>1</v>
      </c>
      <c r="F30">
        <v>1</v>
      </c>
      <c r="G30">
        <v>1</v>
      </c>
      <c r="H30">
        <v>2</v>
      </c>
      <c r="I30" t="s">
        <v>327</v>
      </c>
      <c r="J30" t="s">
        <v>328</v>
      </c>
      <c r="K30" t="s">
        <v>329</v>
      </c>
      <c r="L30">
        <v>1368</v>
      </c>
      <c r="N30">
        <v>1011</v>
      </c>
      <c r="O30" t="s">
        <v>321</v>
      </c>
      <c r="P30" t="s">
        <v>321</v>
      </c>
      <c r="Q30">
        <v>1</v>
      </c>
      <c r="W30">
        <v>0</v>
      </c>
      <c r="X30">
        <v>2041762507</v>
      </c>
      <c r="Y30">
        <v>10.625999999999999</v>
      </c>
      <c r="AA30">
        <v>0</v>
      </c>
      <c r="AB30">
        <v>693.99</v>
      </c>
      <c r="AC30">
        <v>14.4</v>
      </c>
      <c r="AD30">
        <v>0</v>
      </c>
      <c r="AE30">
        <v>0</v>
      </c>
      <c r="AF30">
        <v>102.51</v>
      </c>
      <c r="AG30">
        <v>14.4</v>
      </c>
      <c r="AH30">
        <v>0</v>
      </c>
      <c r="AI30">
        <v>1</v>
      </c>
      <c r="AJ30">
        <v>6.77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15.18</v>
      </c>
      <c r="AU30" t="s">
        <v>40</v>
      </c>
      <c r="AV30">
        <v>0</v>
      </c>
      <c r="AW30">
        <v>2</v>
      </c>
      <c r="AX30">
        <v>16856324</v>
      </c>
      <c r="AY30">
        <v>1</v>
      </c>
      <c r="AZ30">
        <v>0</v>
      </c>
      <c r="BA30">
        <v>37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Y30*Source!I29</f>
        <v>15.01177524</v>
      </c>
      <c r="CY30">
        <f>AB30</f>
        <v>693.99</v>
      </c>
      <c r="CZ30">
        <f>AF30</f>
        <v>102.51</v>
      </c>
      <c r="DA30">
        <f>AJ30</f>
        <v>6.77</v>
      </c>
      <c r="DB30">
        <f>ROUND((ROUND(AT30*CZ30,2)*0.7),6)</f>
        <v>1089.27</v>
      </c>
      <c r="DC30">
        <f>ROUND((ROUND(AT30*AG30,2)*0.7),6)</f>
        <v>153.01300000000001</v>
      </c>
    </row>
    <row r="31" spans="1:107" x14ac:dyDescent="0.2">
      <c r="A31">
        <f>ROW(Source!A29)</f>
        <v>29</v>
      </c>
      <c r="B31">
        <v>16856228</v>
      </c>
      <c r="C31">
        <v>16856302</v>
      </c>
      <c r="D31">
        <v>15249073</v>
      </c>
      <c r="E31">
        <v>1</v>
      </c>
      <c r="F31">
        <v>1</v>
      </c>
      <c r="G31">
        <v>1</v>
      </c>
      <c r="H31">
        <v>2</v>
      </c>
      <c r="I31" t="s">
        <v>330</v>
      </c>
      <c r="J31" t="s">
        <v>331</v>
      </c>
      <c r="K31" t="s">
        <v>332</v>
      </c>
      <c r="L31">
        <v>1368</v>
      </c>
      <c r="N31">
        <v>1011</v>
      </c>
      <c r="O31" t="s">
        <v>321</v>
      </c>
      <c r="P31" t="s">
        <v>321</v>
      </c>
      <c r="Q31">
        <v>1</v>
      </c>
      <c r="W31">
        <v>0</v>
      </c>
      <c r="X31">
        <v>1372534845</v>
      </c>
      <c r="Y31">
        <v>0.13299999999999998</v>
      </c>
      <c r="AA31">
        <v>0</v>
      </c>
      <c r="AB31">
        <v>444.86</v>
      </c>
      <c r="AC31">
        <v>11.6</v>
      </c>
      <c r="AD31">
        <v>0</v>
      </c>
      <c r="AE31">
        <v>0</v>
      </c>
      <c r="AF31">
        <v>65.709999999999994</v>
      </c>
      <c r="AG31">
        <v>11.6</v>
      </c>
      <c r="AH31">
        <v>0</v>
      </c>
      <c r="AI31">
        <v>1</v>
      </c>
      <c r="AJ31">
        <v>6.77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0.19</v>
      </c>
      <c r="AU31" t="s">
        <v>40</v>
      </c>
      <c r="AV31">
        <v>0</v>
      </c>
      <c r="AW31">
        <v>2</v>
      </c>
      <c r="AX31">
        <v>16856325</v>
      </c>
      <c r="AY31">
        <v>1</v>
      </c>
      <c r="AZ31">
        <v>0</v>
      </c>
      <c r="BA31">
        <v>38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Y31*Source!I29</f>
        <v>0.18789441999999998</v>
      </c>
      <c r="CY31">
        <f>AB31</f>
        <v>444.86</v>
      </c>
      <c r="CZ31">
        <f>AF31</f>
        <v>65.709999999999994</v>
      </c>
      <c r="DA31">
        <f>AJ31</f>
        <v>6.77</v>
      </c>
      <c r="DB31">
        <f>ROUND((ROUND(AT31*CZ31,2)*0.7),6)</f>
        <v>8.7360000000000007</v>
      </c>
      <c r="DC31">
        <f>ROUND((ROUND(AT31*AG31,2)*0.7),6)</f>
        <v>1.54</v>
      </c>
    </row>
    <row r="32" spans="1:107" x14ac:dyDescent="0.2">
      <c r="A32">
        <f>ROW(Source!A29)</f>
        <v>29</v>
      </c>
      <c r="B32">
        <v>16856228</v>
      </c>
      <c r="C32">
        <v>16856302</v>
      </c>
      <c r="D32">
        <v>15249308</v>
      </c>
      <c r="E32">
        <v>1</v>
      </c>
      <c r="F32">
        <v>1</v>
      </c>
      <c r="G32">
        <v>1</v>
      </c>
      <c r="H32">
        <v>2</v>
      </c>
      <c r="I32" t="s">
        <v>333</v>
      </c>
      <c r="J32" t="s">
        <v>334</v>
      </c>
      <c r="K32" t="s">
        <v>335</v>
      </c>
      <c r="L32">
        <v>1368</v>
      </c>
      <c r="N32">
        <v>1011</v>
      </c>
      <c r="O32" t="s">
        <v>321</v>
      </c>
      <c r="P32" t="s">
        <v>321</v>
      </c>
      <c r="Q32">
        <v>1</v>
      </c>
      <c r="W32">
        <v>0</v>
      </c>
      <c r="X32">
        <v>792402865</v>
      </c>
      <c r="Y32">
        <v>1.6099999999999999</v>
      </c>
      <c r="AA32">
        <v>0</v>
      </c>
      <c r="AB32">
        <v>8.1199999999999992</v>
      </c>
      <c r="AC32">
        <v>0</v>
      </c>
      <c r="AD32">
        <v>0</v>
      </c>
      <c r="AE32">
        <v>0</v>
      </c>
      <c r="AF32">
        <v>1.2</v>
      </c>
      <c r="AG32">
        <v>0</v>
      </c>
      <c r="AH32">
        <v>0</v>
      </c>
      <c r="AI32">
        <v>1</v>
      </c>
      <c r="AJ32">
        <v>6.77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2.2999999999999998</v>
      </c>
      <c r="AU32" t="s">
        <v>40</v>
      </c>
      <c r="AV32">
        <v>0</v>
      </c>
      <c r="AW32">
        <v>2</v>
      </c>
      <c r="AX32">
        <v>16856326</v>
      </c>
      <c r="AY32">
        <v>1</v>
      </c>
      <c r="AZ32">
        <v>0</v>
      </c>
      <c r="BA32">
        <v>39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Y32*Source!I29</f>
        <v>2.2745114000000002</v>
      </c>
      <c r="CY32">
        <f>AB32</f>
        <v>8.1199999999999992</v>
      </c>
      <c r="CZ32">
        <f>AF32</f>
        <v>1.2</v>
      </c>
      <c r="DA32">
        <f>AJ32</f>
        <v>6.77</v>
      </c>
      <c r="DB32">
        <f>ROUND((ROUND(AT32*CZ32,2)*0.7),6)</f>
        <v>1.9319999999999999</v>
      </c>
      <c r="DC32">
        <f>ROUND((ROUND(AT32*AG32,2)*0.7),6)</f>
        <v>0</v>
      </c>
    </row>
    <row r="33" spans="1:107" x14ac:dyDescent="0.2">
      <c r="A33">
        <f>ROW(Source!A29)</f>
        <v>29</v>
      </c>
      <c r="B33">
        <v>16856228</v>
      </c>
      <c r="C33">
        <v>16856302</v>
      </c>
      <c r="D33">
        <v>15249355</v>
      </c>
      <c r="E33">
        <v>1</v>
      </c>
      <c r="F33">
        <v>1</v>
      </c>
      <c r="G33">
        <v>1</v>
      </c>
      <c r="H33">
        <v>2</v>
      </c>
      <c r="I33" t="s">
        <v>336</v>
      </c>
      <c r="J33" t="s">
        <v>337</v>
      </c>
      <c r="K33" t="s">
        <v>338</v>
      </c>
      <c r="L33">
        <v>1368</v>
      </c>
      <c r="N33">
        <v>1011</v>
      </c>
      <c r="O33" t="s">
        <v>321</v>
      </c>
      <c r="P33" t="s">
        <v>321</v>
      </c>
      <c r="Q33">
        <v>1</v>
      </c>
      <c r="W33">
        <v>0</v>
      </c>
      <c r="X33">
        <v>1323835807</v>
      </c>
      <c r="Y33">
        <v>12.235999999999999</v>
      </c>
      <c r="AA33">
        <v>0</v>
      </c>
      <c r="AB33">
        <v>83.34</v>
      </c>
      <c r="AC33">
        <v>0</v>
      </c>
      <c r="AD33">
        <v>0</v>
      </c>
      <c r="AE33">
        <v>0</v>
      </c>
      <c r="AF33">
        <v>12.31</v>
      </c>
      <c r="AG33">
        <v>0</v>
      </c>
      <c r="AH33">
        <v>0</v>
      </c>
      <c r="AI33">
        <v>1</v>
      </c>
      <c r="AJ33">
        <v>6.77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17.48</v>
      </c>
      <c r="AU33" t="s">
        <v>40</v>
      </c>
      <c r="AV33">
        <v>0</v>
      </c>
      <c r="AW33">
        <v>2</v>
      </c>
      <c r="AX33">
        <v>16856327</v>
      </c>
      <c r="AY33">
        <v>1</v>
      </c>
      <c r="AZ33">
        <v>0</v>
      </c>
      <c r="BA33">
        <v>40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Y33*Source!I29</f>
        <v>17.28628664</v>
      </c>
      <c r="CY33">
        <f>AB33</f>
        <v>83.34</v>
      </c>
      <c r="CZ33">
        <f>AF33</f>
        <v>12.31</v>
      </c>
      <c r="DA33">
        <f>AJ33</f>
        <v>6.77</v>
      </c>
      <c r="DB33">
        <f>ROUND((ROUND(AT33*CZ33,2)*0.7),6)</f>
        <v>150.626</v>
      </c>
      <c r="DC33">
        <f>ROUND((ROUND(AT33*AG33,2)*0.7),6)</f>
        <v>0</v>
      </c>
    </row>
    <row r="34" spans="1:107" x14ac:dyDescent="0.2">
      <c r="A34">
        <f>ROW(Source!A29)</f>
        <v>29</v>
      </c>
      <c r="B34">
        <v>16856228</v>
      </c>
      <c r="C34">
        <v>16856302</v>
      </c>
      <c r="D34">
        <v>15165653</v>
      </c>
      <c r="E34">
        <v>1</v>
      </c>
      <c r="F34">
        <v>1</v>
      </c>
      <c r="G34">
        <v>1</v>
      </c>
      <c r="H34">
        <v>3</v>
      </c>
      <c r="I34" t="s">
        <v>339</v>
      </c>
      <c r="J34" t="s">
        <v>340</v>
      </c>
      <c r="K34" t="s">
        <v>341</v>
      </c>
      <c r="L34">
        <v>1339</v>
      </c>
      <c r="N34">
        <v>1007</v>
      </c>
      <c r="O34" t="s">
        <v>107</v>
      </c>
      <c r="P34" t="s">
        <v>107</v>
      </c>
      <c r="Q34">
        <v>1</v>
      </c>
      <c r="W34">
        <v>0</v>
      </c>
      <c r="X34">
        <v>1262771840</v>
      </c>
      <c r="Y34">
        <v>0</v>
      </c>
      <c r="AA34">
        <v>42.11</v>
      </c>
      <c r="AB34">
        <v>0</v>
      </c>
      <c r="AC34">
        <v>0</v>
      </c>
      <c r="AD34">
        <v>0</v>
      </c>
      <c r="AE34">
        <v>6.22</v>
      </c>
      <c r="AF34">
        <v>0</v>
      </c>
      <c r="AG34">
        <v>0</v>
      </c>
      <c r="AH34">
        <v>0</v>
      </c>
      <c r="AI34">
        <v>6.77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1.95</v>
      </c>
      <c r="AU34" t="s">
        <v>19</v>
      </c>
      <c r="AV34">
        <v>0</v>
      </c>
      <c r="AW34">
        <v>2</v>
      </c>
      <c r="AX34">
        <v>16856328</v>
      </c>
      <c r="AY34">
        <v>1</v>
      </c>
      <c r="AZ34">
        <v>0</v>
      </c>
      <c r="BA34">
        <v>41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Y34*Source!I29</f>
        <v>0</v>
      </c>
      <c r="CY34">
        <f t="shared" ref="CY34:CY44" si="7">AA34</f>
        <v>42.11</v>
      </c>
      <c r="CZ34">
        <f t="shared" ref="CZ34:CZ44" si="8">AE34</f>
        <v>6.22</v>
      </c>
      <c r="DA34">
        <f t="shared" ref="DA34:DA44" si="9">AI34</f>
        <v>6.77</v>
      </c>
      <c r="DB34">
        <f t="shared" ref="DB34:DB44" si="10">ROUND((ROUND(AT34*CZ34,2)*0),6)</f>
        <v>0</v>
      </c>
      <c r="DC34">
        <f t="shared" ref="DC34:DC44" si="11">ROUND((ROUND(AT34*AG34,2)*0),6)</f>
        <v>0</v>
      </c>
    </row>
    <row r="35" spans="1:107" x14ac:dyDescent="0.2">
      <c r="A35">
        <f>ROW(Source!A29)</f>
        <v>29</v>
      </c>
      <c r="B35">
        <v>16856228</v>
      </c>
      <c r="C35">
        <v>16856302</v>
      </c>
      <c r="D35">
        <v>15165660</v>
      </c>
      <c r="E35">
        <v>1</v>
      </c>
      <c r="F35">
        <v>1</v>
      </c>
      <c r="G35">
        <v>1</v>
      </c>
      <c r="H35">
        <v>3</v>
      </c>
      <c r="I35" t="s">
        <v>342</v>
      </c>
      <c r="J35" t="s">
        <v>343</v>
      </c>
      <c r="K35" t="s">
        <v>344</v>
      </c>
      <c r="L35">
        <v>1346</v>
      </c>
      <c r="N35">
        <v>1009</v>
      </c>
      <c r="O35" t="s">
        <v>129</v>
      </c>
      <c r="P35" t="s">
        <v>129</v>
      </c>
      <c r="Q35">
        <v>1</v>
      </c>
      <c r="W35">
        <v>0</v>
      </c>
      <c r="X35">
        <v>1721895514</v>
      </c>
      <c r="Y35">
        <v>0</v>
      </c>
      <c r="AA35">
        <v>41.23</v>
      </c>
      <c r="AB35">
        <v>0</v>
      </c>
      <c r="AC35">
        <v>0</v>
      </c>
      <c r="AD35">
        <v>0</v>
      </c>
      <c r="AE35">
        <v>6.09</v>
      </c>
      <c r="AF35">
        <v>0</v>
      </c>
      <c r="AG35">
        <v>0</v>
      </c>
      <c r="AH35">
        <v>0</v>
      </c>
      <c r="AI35">
        <v>6.77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0.6</v>
      </c>
      <c r="AU35" t="s">
        <v>19</v>
      </c>
      <c r="AV35">
        <v>0</v>
      </c>
      <c r="AW35">
        <v>2</v>
      </c>
      <c r="AX35">
        <v>16856329</v>
      </c>
      <c r="AY35">
        <v>1</v>
      </c>
      <c r="AZ35">
        <v>0</v>
      </c>
      <c r="BA35">
        <v>42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Y35*Source!I29</f>
        <v>0</v>
      </c>
      <c r="CY35">
        <f t="shared" si="7"/>
        <v>41.23</v>
      </c>
      <c r="CZ35">
        <f t="shared" si="8"/>
        <v>6.09</v>
      </c>
      <c r="DA35">
        <f t="shared" si="9"/>
        <v>6.77</v>
      </c>
      <c r="DB35">
        <f t="shared" si="10"/>
        <v>0</v>
      </c>
      <c r="DC35">
        <f t="shared" si="11"/>
        <v>0</v>
      </c>
    </row>
    <row r="36" spans="1:107" x14ac:dyDescent="0.2">
      <c r="A36">
        <f>ROW(Source!A29)</f>
        <v>29</v>
      </c>
      <c r="B36">
        <v>16856228</v>
      </c>
      <c r="C36">
        <v>16856302</v>
      </c>
      <c r="D36">
        <v>15168753</v>
      </c>
      <c r="E36">
        <v>1</v>
      </c>
      <c r="F36">
        <v>1</v>
      </c>
      <c r="G36">
        <v>1</v>
      </c>
      <c r="H36">
        <v>3</v>
      </c>
      <c r="I36" t="s">
        <v>345</v>
      </c>
      <c r="J36" t="s">
        <v>346</v>
      </c>
      <c r="K36" t="s">
        <v>347</v>
      </c>
      <c r="L36">
        <v>1348</v>
      </c>
      <c r="N36">
        <v>1009</v>
      </c>
      <c r="O36" t="s">
        <v>37</v>
      </c>
      <c r="P36" t="s">
        <v>37</v>
      </c>
      <c r="Q36">
        <v>1000</v>
      </c>
      <c r="W36">
        <v>0</v>
      </c>
      <c r="X36">
        <v>1225357214</v>
      </c>
      <c r="Y36">
        <v>0</v>
      </c>
      <c r="AA36">
        <v>72770.73</v>
      </c>
      <c r="AB36">
        <v>0</v>
      </c>
      <c r="AC36">
        <v>0</v>
      </c>
      <c r="AD36">
        <v>0</v>
      </c>
      <c r="AE36">
        <v>10749</v>
      </c>
      <c r="AF36">
        <v>0</v>
      </c>
      <c r="AG36">
        <v>0</v>
      </c>
      <c r="AH36">
        <v>0</v>
      </c>
      <c r="AI36">
        <v>6.77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1.2E-2</v>
      </c>
      <c r="AU36" t="s">
        <v>19</v>
      </c>
      <c r="AV36">
        <v>0</v>
      </c>
      <c r="AW36">
        <v>2</v>
      </c>
      <c r="AX36">
        <v>16856330</v>
      </c>
      <c r="AY36">
        <v>1</v>
      </c>
      <c r="AZ36">
        <v>0</v>
      </c>
      <c r="BA36">
        <v>43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Y36*Source!I29</f>
        <v>0</v>
      </c>
      <c r="CY36">
        <f t="shared" si="7"/>
        <v>72770.73</v>
      </c>
      <c r="CZ36">
        <f t="shared" si="8"/>
        <v>10749</v>
      </c>
      <c r="DA36">
        <f t="shared" si="9"/>
        <v>6.77</v>
      </c>
      <c r="DB36">
        <f t="shared" si="10"/>
        <v>0</v>
      </c>
      <c r="DC36">
        <f t="shared" si="11"/>
        <v>0</v>
      </c>
    </row>
    <row r="37" spans="1:107" x14ac:dyDescent="0.2">
      <c r="A37">
        <f>ROW(Source!A29)</f>
        <v>29</v>
      </c>
      <c r="B37">
        <v>16856228</v>
      </c>
      <c r="C37">
        <v>16856302</v>
      </c>
      <c r="D37">
        <v>15169941</v>
      </c>
      <c r="E37">
        <v>1</v>
      </c>
      <c r="F37">
        <v>1</v>
      </c>
      <c r="G37">
        <v>1</v>
      </c>
      <c r="H37">
        <v>3</v>
      </c>
      <c r="I37" t="s">
        <v>348</v>
      </c>
      <c r="J37" t="s">
        <v>349</v>
      </c>
      <c r="K37" t="s">
        <v>350</v>
      </c>
      <c r="L37">
        <v>1348</v>
      </c>
      <c r="N37">
        <v>1009</v>
      </c>
      <c r="O37" t="s">
        <v>37</v>
      </c>
      <c r="P37" t="s">
        <v>37</v>
      </c>
      <c r="Q37">
        <v>1000</v>
      </c>
      <c r="W37">
        <v>0</v>
      </c>
      <c r="X37">
        <v>-437906794</v>
      </c>
      <c r="Y37">
        <v>0</v>
      </c>
      <c r="AA37">
        <v>61200.87</v>
      </c>
      <c r="AB37">
        <v>0</v>
      </c>
      <c r="AC37">
        <v>0</v>
      </c>
      <c r="AD37">
        <v>0</v>
      </c>
      <c r="AE37">
        <v>9040.01</v>
      </c>
      <c r="AF37">
        <v>0</v>
      </c>
      <c r="AG37">
        <v>0</v>
      </c>
      <c r="AH37">
        <v>0</v>
      </c>
      <c r="AI37">
        <v>6.77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7.0000000000000001E-3</v>
      </c>
      <c r="AU37" t="s">
        <v>19</v>
      </c>
      <c r="AV37">
        <v>0</v>
      </c>
      <c r="AW37">
        <v>2</v>
      </c>
      <c r="AX37">
        <v>16856331</v>
      </c>
      <c r="AY37">
        <v>1</v>
      </c>
      <c r="AZ37">
        <v>0</v>
      </c>
      <c r="BA37">
        <v>44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Y37*Source!I29</f>
        <v>0</v>
      </c>
      <c r="CY37">
        <f t="shared" si="7"/>
        <v>61200.87</v>
      </c>
      <c r="CZ37">
        <f t="shared" si="8"/>
        <v>9040.01</v>
      </c>
      <c r="DA37">
        <f t="shared" si="9"/>
        <v>6.77</v>
      </c>
      <c r="DB37">
        <f t="shared" si="10"/>
        <v>0</v>
      </c>
      <c r="DC37">
        <f t="shared" si="11"/>
        <v>0</v>
      </c>
    </row>
    <row r="38" spans="1:107" x14ac:dyDescent="0.2">
      <c r="A38">
        <f>ROW(Source!A29)</f>
        <v>29</v>
      </c>
      <c r="B38">
        <v>16856228</v>
      </c>
      <c r="C38">
        <v>16856302</v>
      </c>
      <c r="D38">
        <v>15170039</v>
      </c>
      <c r="E38">
        <v>1</v>
      </c>
      <c r="F38">
        <v>1</v>
      </c>
      <c r="G38">
        <v>1</v>
      </c>
      <c r="H38">
        <v>3</v>
      </c>
      <c r="I38" t="s">
        <v>351</v>
      </c>
      <c r="J38" t="s">
        <v>352</v>
      </c>
      <c r="K38" t="s">
        <v>353</v>
      </c>
      <c r="L38">
        <v>1348</v>
      </c>
      <c r="N38">
        <v>1009</v>
      </c>
      <c r="O38" t="s">
        <v>37</v>
      </c>
      <c r="P38" t="s">
        <v>37</v>
      </c>
      <c r="Q38">
        <v>1000</v>
      </c>
      <c r="W38">
        <v>0</v>
      </c>
      <c r="X38">
        <v>1174701286</v>
      </c>
      <c r="Y38">
        <v>0</v>
      </c>
      <c r="AA38">
        <v>81091.06</v>
      </c>
      <c r="AB38">
        <v>0</v>
      </c>
      <c r="AC38">
        <v>0</v>
      </c>
      <c r="AD38">
        <v>0</v>
      </c>
      <c r="AE38">
        <v>11978</v>
      </c>
      <c r="AF38">
        <v>0</v>
      </c>
      <c r="AG38">
        <v>0</v>
      </c>
      <c r="AH38">
        <v>0</v>
      </c>
      <c r="AI38">
        <v>6.77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1.0000000000000001E-5</v>
      </c>
      <c r="AU38" t="s">
        <v>19</v>
      </c>
      <c r="AV38">
        <v>0</v>
      </c>
      <c r="AW38">
        <v>2</v>
      </c>
      <c r="AX38">
        <v>16856332</v>
      </c>
      <c r="AY38">
        <v>1</v>
      </c>
      <c r="AZ38">
        <v>0</v>
      </c>
      <c r="BA38">
        <v>45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Y38*Source!I29</f>
        <v>0</v>
      </c>
      <c r="CY38">
        <f t="shared" si="7"/>
        <v>81091.06</v>
      </c>
      <c r="CZ38">
        <f t="shared" si="8"/>
        <v>11978</v>
      </c>
      <c r="DA38">
        <f t="shared" si="9"/>
        <v>6.77</v>
      </c>
      <c r="DB38">
        <f t="shared" si="10"/>
        <v>0</v>
      </c>
      <c r="DC38">
        <f t="shared" si="11"/>
        <v>0</v>
      </c>
    </row>
    <row r="39" spans="1:107" x14ac:dyDescent="0.2">
      <c r="A39">
        <f>ROW(Source!A29)</f>
        <v>29</v>
      </c>
      <c r="B39">
        <v>16856228</v>
      </c>
      <c r="C39">
        <v>16856302</v>
      </c>
      <c r="D39">
        <v>15171021</v>
      </c>
      <c r="E39">
        <v>1</v>
      </c>
      <c r="F39">
        <v>1</v>
      </c>
      <c r="G39">
        <v>1</v>
      </c>
      <c r="H39">
        <v>3</v>
      </c>
      <c r="I39" t="s">
        <v>354</v>
      </c>
      <c r="J39" t="s">
        <v>355</v>
      </c>
      <c r="K39" t="s">
        <v>356</v>
      </c>
      <c r="L39">
        <v>1348</v>
      </c>
      <c r="N39">
        <v>1009</v>
      </c>
      <c r="O39" t="s">
        <v>37</v>
      </c>
      <c r="P39" t="s">
        <v>37</v>
      </c>
      <c r="Q39">
        <v>1000</v>
      </c>
      <c r="W39">
        <v>0</v>
      </c>
      <c r="X39">
        <v>-2116243625</v>
      </c>
      <c r="Y39">
        <v>0</v>
      </c>
      <c r="AA39">
        <v>256583</v>
      </c>
      <c r="AB39">
        <v>0</v>
      </c>
      <c r="AC39">
        <v>0</v>
      </c>
      <c r="AD39">
        <v>0</v>
      </c>
      <c r="AE39">
        <v>37900</v>
      </c>
      <c r="AF39">
        <v>0</v>
      </c>
      <c r="AG39">
        <v>0</v>
      </c>
      <c r="AH39">
        <v>0</v>
      </c>
      <c r="AI39">
        <v>6.77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1E-4</v>
      </c>
      <c r="AU39" t="s">
        <v>19</v>
      </c>
      <c r="AV39">
        <v>0</v>
      </c>
      <c r="AW39">
        <v>2</v>
      </c>
      <c r="AX39">
        <v>16856333</v>
      </c>
      <c r="AY39">
        <v>1</v>
      </c>
      <c r="AZ39">
        <v>0</v>
      </c>
      <c r="BA39">
        <v>46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Y39*Source!I29</f>
        <v>0</v>
      </c>
      <c r="CY39">
        <f t="shared" si="7"/>
        <v>256583</v>
      </c>
      <c r="CZ39">
        <f t="shared" si="8"/>
        <v>37900</v>
      </c>
      <c r="DA39">
        <f t="shared" si="9"/>
        <v>6.77</v>
      </c>
      <c r="DB39">
        <f t="shared" si="10"/>
        <v>0</v>
      </c>
      <c r="DC39">
        <f t="shared" si="11"/>
        <v>0</v>
      </c>
    </row>
    <row r="40" spans="1:107" x14ac:dyDescent="0.2">
      <c r="A40">
        <f>ROW(Source!A29)</f>
        <v>29</v>
      </c>
      <c r="B40">
        <v>16856228</v>
      </c>
      <c r="C40">
        <v>16856302</v>
      </c>
      <c r="D40">
        <v>15190794</v>
      </c>
      <c r="E40">
        <v>1</v>
      </c>
      <c r="F40">
        <v>1</v>
      </c>
      <c r="G40">
        <v>1</v>
      </c>
      <c r="H40">
        <v>3</v>
      </c>
      <c r="I40" t="s">
        <v>357</v>
      </c>
      <c r="J40" t="s">
        <v>358</v>
      </c>
      <c r="K40" t="s">
        <v>359</v>
      </c>
      <c r="L40">
        <v>1302</v>
      </c>
      <c r="N40">
        <v>1003</v>
      </c>
      <c r="O40" t="s">
        <v>152</v>
      </c>
      <c r="P40" t="s">
        <v>152</v>
      </c>
      <c r="Q40">
        <v>10</v>
      </c>
      <c r="W40">
        <v>0</v>
      </c>
      <c r="X40">
        <v>-1640127157</v>
      </c>
      <c r="Y40">
        <v>0</v>
      </c>
      <c r="AA40">
        <v>340.12</v>
      </c>
      <c r="AB40">
        <v>0</v>
      </c>
      <c r="AC40">
        <v>0</v>
      </c>
      <c r="AD40">
        <v>0</v>
      </c>
      <c r="AE40">
        <v>50.24</v>
      </c>
      <c r="AF40">
        <v>0</v>
      </c>
      <c r="AG40">
        <v>0</v>
      </c>
      <c r="AH40">
        <v>0</v>
      </c>
      <c r="AI40">
        <v>6.77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1.8700000000000001E-2</v>
      </c>
      <c r="AU40" t="s">
        <v>19</v>
      </c>
      <c r="AV40">
        <v>0</v>
      </c>
      <c r="AW40">
        <v>2</v>
      </c>
      <c r="AX40">
        <v>16856335</v>
      </c>
      <c r="AY40">
        <v>1</v>
      </c>
      <c r="AZ40">
        <v>0</v>
      </c>
      <c r="BA40">
        <v>48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Y40*Source!I29</f>
        <v>0</v>
      </c>
      <c r="CY40">
        <f t="shared" si="7"/>
        <v>340.12</v>
      </c>
      <c r="CZ40">
        <f t="shared" si="8"/>
        <v>50.24</v>
      </c>
      <c r="DA40">
        <f t="shared" si="9"/>
        <v>6.77</v>
      </c>
      <c r="DB40">
        <f t="shared" si="10"/>
        <v>0</v>
      </c>
      <c r="DC40">
        <f t="shared" si="11"/>
        <v>0</v>
      </c>
    </row>
    <row r="41" spans="1:107" x14ac:dyDescent="0.2">
      <c r="A41">
        <f>ROW(Source!A29)</f>
        <v>29</v>
      </c>
      <c r="B41">
        <v>16856228</v>
      </c>
      <c r="C41">
        <v>16856302</v>
      </c>
      <c r="D41">
        <v>15191153</v>
      </c>
      <c r="E41">
        <v>1</v>
      </c>
      <c r="F41">
        <v>1</v>
      </c>
      <c r="G41">
        <v>1</v>
      </c>
      <c r="H41">
        <v>3</v>
      </c>
      <c r="I41" t="s">
        <v>360</v>
      </c>
      <c r="J41" t="s">
        <v>361</v>
      </c>
      <c r="K41" t="s">
        <v>362</v>
      </c>
      <c r="L41">
        <v>1348</v>
      </c>
      <c r="N41">
        <v>1009</v>
      </c>
      <c r="O41" t="s">
        <v>37</v>
      </c>
      <c r="P41" t="s">
        <v>37</v>
      </c>
      <c r="Q41">
        <v>1000</v>
      </c>
      <c r="W41">
        <v>0</v>
      </c>
      <c r="X41">
        <v>-1396314973</v>
      </c>
      <c r="Y41">
        <v>0</v>
      </c>
      <c r="AA41">
        <v>30161.7</v>
      </c>
      <c r="AB41">
        <v>0</v>
      </c>
      <c r="AC41">
        <v>0</v>
      </c>
      <c r="AD41">
        <v>0</v>
      </c>
      <c r="AE41">
        <v>4455.2</v>
      </c>
      <c r="AF41">
        <v>0</v>
      </c>
      <c r="AG41">
        <v>0</v>
      </c>
      <c r="AH41">
        <v>0</v>
      </c>
      <c r="AI41">
        <v>6.77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3.0000000000000001E-5</v>
      </c>
      <c r="AU41" t="s">
        <v>19</v>
      </c>
      <c r="AV41">
        <v>0</v>
      </c>
      <c r="AW41">
        <v>2</v>
      </c>
      <c r="AX41">
        <v>16856336</v>
      </c>
      <c r="AY41">
        <v>1</v>
      </c>
      <c r="AZ41">
        <v>0</v>
      </c>
      <c r="BA41">
        <v>49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Y41*Source!I29</f>
        <v>0</v>
      </c>
      <c r="CY41">
        <f t="shared" si="7"/>
        <v>30161.7</v>
      </c>
      <c r="CZ41">
        <f t="shared" si="8"/>
        <v>4455.2</v>
      </c>
      <c r="DA41">
        <f t="shared" si="9"/>
        <v>6.77</v>
      </c>
      <c r="DB41">
        <f t="shared" si="10"/>
        <v>0</v>
      </c>
      <c r="DC41">
        <f t="shared" si="11"/>
        <v>0</v>
      </c>
    </row>
    <row r="42" spans="1:107" x14ac:dyDescent="0.2">
      <c r="A42">
        <f>ROW(Source!A29)</f>
        <v>29</v>
      </c>
      <c r="B42">
        <v>16856228</v>
      </c>
      <c r="C42">
        <v>16856302</v>
      </c>
      <c r="D42">
        <v>15191913</v>
      </c>
      <c r="E42">
        <v>1</v>
      </c>
      <c r="F42">
        <v>1</v>
      </c>
      <c r="G42">
        <v>1</v>
      </c>
      <c r="H42">
        <v>3</v>
      </c>
      <c r="I42" t="s">
        <v>363</v>
      </c>
      <c r="J42" t="s">
        <v>364</v>
      </c>
      <c r="K42" t="s">
        <v>365</v>
      </c>
      <c r="L42">
        <v>1348</v>
      </c>
      <c r="N42">
        <v>1009</v>
      </c>
      <c r="O42" t="s">
        <v>37</v>
      </c>
      <c r="P42" t="s">
        <v>37</v>
      </c>
      <c r="Q42">
        <v>1000</v>
      </c>
      <c r="W42">
        <v>0</v>
      </c>
      <c r="X42">
        <v>900832145</v>
      </c>
      <c r="Y42">
        <v>0</v>
      </c>
      <c r="AA42">
        <v>33308.400000000001</v>
      </c>
      <c r="AB42">
        <v>0</v>
      </c>
      <c r="AC42">
        <v>0</v>
      </c>
      <c r="AD42">
        <v>0</v>
      </c>
      <c r="AE42">
        <v>4920</v>
      </c>
      <c r="AF42">
        <v>0</v>
      </c>
      <c r="AG42">
        <v>0</v>
      </c>
      <c r="AH42">
        <v>0</v>
      </c>
      <c r="AI42">
        <v>6.77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1.9400000000000001E-3</v>
      </c>
      <c r="AU42" t="s">
        <v>19</v>
      </c>
      <c r="AV42">
        <v>0</v>
      </c>
      <c r="AW42">
        <v>2</v>
      </c>
      <c r="AX42">
        <v>16856337</v>
      </c>
      <c r="AY42">
        <v>1</v>
      </c>
      <c r="AZ42">
        <v>0</v>
      </c>
      <c r="BA42">
        <v>50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Y42*Source!I29</f>
        <v>0</v>
      </c>
      <c r="CY42">
        <f t="shared" si="7"/>
        <v>33308.400000000001</v>
      </c>
      <c r="CZ42">
        <f t="shared" si="8"/>
        <v>4920</v>
      </c>
      <c r="DA42">
        <f t="shared" si="9"/>
        <v>6.77</v>
      </c>
      <c r="DB42">
        <f t="shared" si="10"/>
        <v>0</v>
      </c>
      <c r="DC42">
        <f t="shared" si="11"/>
        <v>0</v>
      </c>
    </row>
    <row r="43" spans="1:107" x14ac:dyDescent="0.2">
      <c r="A43">
        <f>ROW(Source!A29)</f>
        <v>29</v>
      </c>
      <c r="B43">
        <v>16856228</v>
      </c>
      <c r="C43">
        <v>16856302</v>
      </c>
      <c r="D43">
        <v>15203461</v>
      </c>
      <c r="E43">
        <v>1</v>
      </c>
      <c r="F43">
        <v>1</v>
      </c>
      <c r="G43">
        <v>1</v>
      </c>
      <c r="H43">
        <v>3</v>
      </c>
      <c r="I43" t="s">
        <v>366</v>
      </c>
      <c r="J43" t="s">
        <v>367</v>
      </c>
      <c r="K43" t="s">
        <v>368</v>
      </c>
      <c r="L43">
        <v>1348</v>
      </c>
      <c r="N43">
        <v>1009</v>
      </c>
      <c r="O43" t="s">
        <v>37</v>
      </c>
      <c r="P43" t="s">
        <v>37</v>
      </c>
      <c r="Q43">
        <v>1000</v>
      </c>
      <c r="W43">
        <v>0</v>
      </c>
      <c r="X43">
        <v>-1655298345</v>
      </c>
      <c r="Y43">
        <v>0</v>
      </c>
      <c r="AA43">
        <v>105747.4</v>
      </c>
      <c r="AB43">
        <v>0</v>
      </c>
      <c r="AC43">
        <v>0</v>
      </c>
      <c r="AD43">
        <v>0</v>
      </c>
      <c r="AE43">
        <v>15620</v>
      </c>
      <c r="AF43">
        <v>0</v>
      </c>
      <c r="AG43">
        <v>0</v>
      </c>
      <c r="AH43">
        <v>0</v>
      </c>
      <c r="AI43">
        <v>6.77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3.1E-4</v>
      </c>
      <c r="AU43" t="s">
        <v>19</v>
      </c>
      <c r="AV43">
        <v>0</v>
      </c>
      <c r="AW43">
        <v>2</v>
      </c>
      <c r="AX43">
        <v>16856340</v>
      </c>
      <c r="AY43">
        <v>1</v>
      </c>
      <c r="AZ43">
        <v>0</v>
      </c>
      <c r="BA43">
        <v>53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Y43*Source!I29</f>
        <v>0</v>
      </c>
      <c r="CY43">
        <f t="shared" si="7"/>
        <v>105747.4</v>
      </c>
      <c r="CZ43">
        <f t="shared" si="8"/>
        <v>15620</v>
      </c>
      <c r="DA43">
        <f t="shared" si="9"/>
        <v>6.77</v>
      </c>
      <c r="DB43">
        <f t="shared" si="10"/>
        <v>0</v>
      </c>
      <c r="DC43">
        <f t="shared" si="11"/>
        <v>0</v>
      </c>
    </row>
    <row r="44" spans="1:107" x14ac:dyDescent="0.2">
      <c r="A44">
        <f>ROW(Source!A29)</f>
        <v>29</v>
      </c>
      <c r="B44">
        <v>16856228</v>
      </c>
      <c r="C44">
        <v>16856302</v>
      </c>
      <c r="D44">
        <v>15204663</v>
      </c>
      <c r="E44">
        <v>1</v>
      </c>
      <c r="F44">
        <v>1</v>
      </c>
      <c r="G44">
        <v>1</v>
      </c>
      <c r="H44">
        <v>3</v>
      </c>
      <c r="I44" t="s">
        <v>369</v>
      </c>
      <c r="J44" t="s">
        <v>370</v>
      </c>
      <c r="K44" t="s">
        <v>371</v>
      </c>
      <c r="L44">
        <v>1348</v>
      </c>
      <c r="N44">
        <v>1009</v>
      </c>
      <c r="O44" t="s">
        <v>37</v>
      </c>
      <c r="P44" t="s">
        <v>37</v>
      </c>
      <c r="Q44">
        <v>1000</v>
      </c>
      <c r="W44">
        <v>0</v>
      </c>
      <c r="X44">
        <v>-639604785</v>
      </c>
      <c r="Y44">
        <v>0</v>
      </c>
      <c r="AA44">
        <v>63773.4</v>
      </c>
      <c r="AB44">
        <v>0</v>
      </c>
      <c r="AC44">
        <v>0</v>
      </c>
      <c r="AD44">
        <v>0</v>
      </c>
      <c r="AE44">
        <v>9420</v>
      </c>
      <c r="AF44">
        <v>0</v>
      </c>
      <c r="AG44">
        <v>0</v>
      </c>
      <c r="AH44">
        <v>0</v>
      </c>
      <c r="AI44">
        <v>6.77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5.9999999999999995E-4</v>
      </c>
      <c r="AU44" t="s">
        <v>19</v>
      </c>
      <c r="AV44">
        <v>0</v>
      </c>
      <c r="AW44">
        <v>2</v>
      </c>
      <c r="AX44">
        <v>16856341</v>
      </c>
      <c r="AY44">
        <v>1</v>
      </c>
      <c r="AZ44">
        <v>0</v>
      </c>
      <c r="BA44">
        <v>54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Y44*Source!I29</f>
        <v>0</v>
      </c>
      <c r="CY44">
        <f t="shared" si="7"/>
        <v>63773.4</v>
      </c>
      <c r="CZ44">
        <f t="shared" si="8"/>
        <v>9420</v>
      </c>
      <c r="DA44">
        <f t="shared" si="9"/>
        <v>6.77</v>
      </c>
      <c r="DB44">
        <f t="shared" si="10"/>
        <v>0</v>
      </c>
      <c r="DC44">
        <f t="shared" si="11"/>
        <v>0</v>
      </c>
    </row>
    <row r="45" spans="1:107" x14ac:dyDescent="0.2">
      <c r="A45">
        <f>ROW(Source!A30)</f>
        <v>30</v>
      </c>
      <c r="B45">
        <v>16856227</v>
      </c>
      <c r="C45">
        <v>16856342</v>
      </c>
      <c r="D45">
        <v>15430517</v>
      </c>
      <c r="E45">
        <v>1</v>
      </c>
      <c r="F45">
        <v>1</v>
      </c>
      <c r="G45">
        <v>1</v>
      </c>
      <c r="H45">
        <v>1</v>
      </c>
      <c r="I45" t="s">
        <v>372</v>
      </c>
      <c r="J45" t="s">
        <v>6</v>
      </c>
      <c r="K45" t="s">
        <v>373</v>
      </c>
      <c r="L45">
        <v>1191</v>
      </c>
      <c r="N45">
        <v>1013</v>
      </c>
      <c r="O45" t="s">
        <v>313</v>
      </c>
      <c r="P45" t="s">
        <v>313</v>
      </c>
      <c r="Q45">
        <v>1</v>
      </c>
      <c r="W45">
        <v>0</v>
      </c>
      <c r="X45">
        <v>735429535</v>
      </c>
      <c r="Y45">
        <v>9.1</v>
      </c>
      <c r="AA45">
        <v>0</v>
      </c>
      <c r="AB45">
        <v>0</v>
      </c>
      <c r="AC45">
        <v>0</v>
      </c>
      <c r="AD45">
        <v>7.8</v>
      </c>
      <c r="AE45">
        <v>0</v>
      </c>
      <c r="AF45">
        <v>0</v>
      </c>
      <c r="AG45">
        <v>0</v>
      </c>
      <c r="AH45">
        <v>7.8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9.1</v>
      </c>
      <c r="AU45" t="s">
        <v>6</v>
      </c>
      <c r="AV45">
        <v>1</v>
      </c>
      <c r="AW45">
        <v>2</v>
      </c>
      <c r="AX45">
        <v>16856345</v>
      </c>
      <c r="AY45">
        <v>1</v>
      </c>
      <c r="AZ45">
        <v>0</v>
      </c>
      <c r="BA45">
        <v>55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Y45*Source!I30</f>
        <v>16.045120000000001</v>
      </c>
      <c r="CY45">
        <f>AD45</f>
        <v>7.8</v>
      </c>
      <c r="CZ45">
        <f>AH45</f>
        <v>7.8</v>
      </c>
      <c r="DA45">
        <f>AL45</f>
        <v>1</v>
      </c>
      <c r="DB45">
        <f>ROUND(ROUND(AT45*CZ45,2),6)</f>
        <v>70.98</v>
      </c>
      <c r="DC45">
        <f>ROUND(ROUND(AT45*AG45,2),6)</f>
        <v>0</v>
      </c>
    </row>
    <row r="46" spans="1:107" x14ac:dyDescent="0.2">
      <c r="A46">
        <f>ROW(Source!A30)</f>
        <v>30</v>
      </c>
      <c r="B46">
        <v>16856227</v>
      </c>
      <c r="C46">
        <v>16856342</v>
      </c>
      <c r="D46">
        <v>15247878</v>
      </c>
      <c r="E46">
        <v>1</v>
      </c>
      <c r="F46">
        <v>1</v>
      </c>
      <c r="G46">
        <v>1</v>
      </c>
      <c r="H46">
        <v>2</v>
      </c>
      <c r="I46" t="s">
        <v>374</v>
      </c>
      <c r="J46" t="s">
        <v>375</v>
      </c>
      <c r="K46" t="s">
        <v>376</v>
      </c>
      <c r="L46">
        <v>1368</v>
      </c>
      <c r="N46">
        <v>1011</v>
      </c>
      <c r="O46" t="s">
        <v>321</v>
      </c>
      <c r="P46" t="s">
        <v>321</v>
      </c>
      <c r="Q46">
        <v>1</v>
      </c>
      <c r="W46">
        <v>0</v>
      </c>
      <c r="X46">
        <v>1047452784</v>
      </c>
      <c r="Y46">
        <v>0.12</v>
      </c>
      <c r="AA46">
        <v>0</v>
      </c>
      <c r="AB46">
        <v>1.7</v>
      </c>
      <c r="AC46">
        <v>0</v>
      </c>
      <c r="AD46">
        <v>0</v>
      </c>
      <c r="AE46">
        <v>0</v>
      </c>
      <c r="AF46">
        <v>1.7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0.12</v>
      </c>
      <c r="AU46" t="s">
        <v>6</v>
      </c>
      <c r="AV46">
        <v>0</v>
      </c>
      <c r="AW46">
        <v>2</v>
      </c>
      <c r="AX46">
        <v>16856346</v>
      </c>
      <c r="AY46">
        <v>1</v>
      </c>
      <c r="AZ46">
        <v>0</v>
      </c>
      <c r="BA46">
        <v>56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Y46*Source!I30</f>
        <v>0.21158399999999999</v>
      </c>
      <c r="CY46">
        <f>AB46</f>
        <v>1.7</v>
      </c>
      <c r="CZ46">
        <f>AF46</f>
        <v>1.7</v>
      </c>
      <c r="DA46">
        <f>AJ46</f>
        <v>1</v>
      </c>
      <c r="DB46">
        <f>ROUND(ROUND(AT46*CZ46,2),6)</f>
        <v>0.2</v>
      </c>
      <c r="DC46">
        <f>ROUND(ROUND(AT46*AG46,2),6)</f>
        <v>0</v>
      </c>
    </row>
    <row r="47" spans="1:107" x14ac:dyDescent="0.2">
      <c r="A47">
        <f>ROW(Source!A31)</f>
        <v>31</v>
      </c>
      <c r="B47">
        <v>16856228</v>
      </c>
      <c r="C47">
        <v>16856342</v>
      </c>
      <c r="D47">
        <v>15430517</v>
      </c>
      <c r="E47">
        <v>1</v>
      </c>
      <c r="F47">
        <v>1</v>
      </c>
      <c r="G47">
        <v>1</v>
      </c>
      <c r="H47">
        <v>1</v>
      </c>
      <c r="I47" t="s">
        <v>372</v>
      </c>
      <c r="J47" t="s">
        <v>6</v>
      </c>
      <c r="K47" t="s">
        <v>373</v>
      </c>
      <c r="L47">
        <v>1191</v>
      </c>
      <c r="N47">
        <v>1013</v>
      </c>
      <c r="O47" t="s">
        <v>313</v>
      </c>
      <c r="P47" t="s">
        <v>313</v>
      </c>
      <c r="Q47">
        <v>1</v>
      </c>
      <c r="W47">
        <v>0</v>
      </c>
      <c r="X47">
        <v>735429535</v>
      </c>
      <c r="Y47">
        <v>9.1</v>
      </c>
      <c r="AA47">
        <v>0</v>
      </c>
      <c r="AB47">
        <v>0</v>
      </c>
      <c r="AC47">
        <v>0</v>
      </c>
      <c r="AD47">
        <v>52.81</v>
      </c>
      <c r="AE47">
        <v>0</v>
      </c>
      <c r="AF47">
        <v>0</v>
      </c>
      <c r="AG47">
        <v>0</v>
      </c>
      <c r="AH47">
        <v>7.8</v>
      </c>
      <c r="AI47">
        <v>1</v>
      </c>
      <c r="AJ47">
        <v>1</v>
      </c>
      <c r="AK47">
        <v>1</v>
      </c>
      <c r="AL47">
        <v>6.77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9.1</v>
      </c>
      <c r="AU47" t="s">
        <v>6</v>
      </c>
      <c r="AV47">
        <v>1</v>
      </c>
      <c r="AW47">
        <v>2</v>
      </c>
      <c r="AX47">
        <v>16856345</v>
      </c>
      <c r="AY47">
        <v>1</v>
      </c>
      <c r="AZ47">
        <v>0</v>
      </c>
      <c r="BA47">
        <v>58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Y47*Source!I31</f>
        <v>16.045120000000001</v>
      </c>
      <c r="CY47">
        <f>AD47</f>
        <v>52.81</v>
      </c>
      <c r="CZ47">
        <f>AH47</f>
        <v>7.8</v>
      </c>
      <c r="DA47">
        <f>AL47</f>
        <v>6.77</v>
      </c>
      <c r="DB47">
        <f>ROUND(ROUND(AT47*CZ47,2),6)</f>
        <v>70.98</v>
      </c>
      <c r="DC47">
        <f>ROUND(ROUND(AT47*AG47,2),6)</f>
        <v>0</v>
      </c>
    </row>
    <row r="48" spans="1:107" x14ac:dyDescent="0.2">
      <c r="A48">
        <f>ROW(Source!A31)</f>
        <v>31</v>
      </c>
      <c r="B48">
        <v>16856228</v>
      </c>
      <c r="C48">
        <v>16856342</v>
      </c>
      <c r="D48">
        <v>15247878</v>
      </c>
      <c r="E48">
        <v>1</v>
      </c>
      <c r="F48">
        <v>1</v>
      </c>
      <c r="G48">
        <v>1</v>
      </c>
      <c r="H48">
        <v>2</v>
      </c>
      <c r="I48" t="s">
        <v>374</v>
      </c>
      <c r="J48" t="s">
        <v>375</v>
      </c>
      <c r="K48" t="s">
        <v>376</v>
      </c>
      <c r="L48">
        <v>1368</v>
      </c>
      <c r="N48">
        <v>1011</v>
      </c>
      <c r="O48" t="s">
        <v>321</v>
      </c>
      <c r="P48" t="s">
        <v>321</v>
      </c>
      <c r="Q48">
        <v>1</v>
      </c>
      <c r="W48">
        <v>0</v>
      </c>
      <c r="X48">
        <v>1047452784</v>
      </c>
      <c r="Y48">
        <v>0.12</v>
      </c>
      <c r="AA48">
        <v>0</v>
      </c>
      <c r="AB48">
        <v>11.51</v>
      </c>
      <c r="AC48">
        <v>0</v>
      </c>
      <c r="AD48">
        <v>0</v>
      </c>
      <c r="AE48">
        <v>0</v>
      </c>
      <c r="AF48">
        <v>1.7</v>
      </c>
      <c r="AG48">
        <v>0</v>
      </c>
      <c r="AH48">
        <v>0</v>
      </c>
      <c r="AI48">
        <v>1</v>
      </c>
      <c r="AJ48">
        <v>6.77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0.12</v>
      </c>
      <c r="AU48" t="s">
        <v>6</v>
      </c>
      <c r="AV48">
        <v>0</v>
      </c>
      <c r="AW48">
        <v>2</v>
      </c>
      <c r="AX48">
        <v>16856346</v>
      </c>
      <c r="AY48">
        <v>1</v>
      </c>
      <c r="AZ48">
        <v>0</v>
      </c>
      <c r="BA48">
        <v>59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Y48*Source!I31</f>
        <v>0.21158399999999999</v>
      </c>
      <c r="CY48">
        <f>AB48</f>
        <v>11.51</v>
      </c>
      <c r="CZ48">
        <f>AF48</f>
        <v>1.7</v>
      </c>
      <c r="DA48">
        <f>AJ48</f>
        <v>6.77</v>
      </c>
      <c r="DB48">
        <f>ROUND(ROUND(AT48*CZ48,2),6)</f>
        <v>0.2</v>
      </c>
      <c r="DC48">
        <f>ROUND(ROUND(AT48*AG48,2),6)</f>
        <v>0</v>
      </c>
    </row>
    <row r="49" spans="1:107" x14ac:dyDescent="0.2">
      <c r="A49">
        <f>ROW(Source!A32)</f>
        <v>32</v>
      </c>
      <c r="B49">
        <v>16856227</v>
      </c>
      <c r="C49">
        <v>16856348</v>
      </c>
      <c r="D49">
        <v>15436014</v>
      </c>
      <c r="E49">
        <v>1</v>
      </c>
      <c r="F49">
        <v>1</v>
      </c>
      <c r="G49">
        <v>1</v>
      </c>
      <c r="H49">
        <v>1</v>
      </c>
      <c r="I49" t="s">
        <v>377</v>
      </c>
      <c r="J49" t="s">
        <v>6</v>
      </c>
      <c r="K49" t="s">
        <v>378</v>
      </c>
      <c r="L49">
        <v>1191</v>
      </c>
      <c r="N49">
        <v>1013</v>
      </c>
      <c r="O49" t="s">
        <v>313</v>
      </c>
      <c r="P49" t="s">
        <v>313</v>
      </c>
      <c r="Q49">
        <v>1</v>
      </c>
      <c r="W49">
        <v>0</v>
      </c>
      <c r="X49">
        <v>-784637506</v>
      </c>
      <c r="Y49">
        <v>171.53399999999999</v>
      </c>
      <c r="AA49">
        <v>0</v>
      </c>
      <c r="AB49">
        <v>0</v>
      </c>
      <c r="AC49">
        <v>0</v>
      </c>
      <c r="AD49">
        <v>8.74</v>
      </c>
      <c r="AE49">
        <v>0</v>
      </c>
      <c r="AF49">
        <v>0</v>
      </c>
      <c r="AG49">
        <v>0</v>
      </c>
      <c r="AH49">
        <v>8.74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149.16</v>
      </c>
      <c r="AU49" t="s">
        <v>57</v>
      </c>
      <c r="AV49">
        <v>1</v>
      </c>
      <c r="AW49">
        <v>2</v>
      </c>
      <c r="AX49">
        <v>16856360</v>
      </c>
      <c r="AY49">
        <v>1</v>
      </c>
      <c r="AZ49">
        <v>0</v>
      </c>
      <c r="BA49">
        <v>61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Y49*Source!I32</f>
        <v>504.99609599999997</v>
      </c>
      <c r="CY49">
        <f>AD49</f>
        <v>8.74</v>
      </c>
      <c r="CZ49">
        <f>AH49</f>
        <v>8.74</v>
      </c>
      <c r="DA49">
        <f>AL49</f>
        <v>1</v>
      </c>
      <c r="DB49">
        <f>ROUND((ROUND(AT49*CZ49,2)*1.15),6)</f>
        <v>1499.2090000000001</v>
      </c>
      <c r="DC49">
        <f>ROUND((ROUND(AT49*AG49,2)*1.15),6)</f>
        <v>0</v>
      </c>
    </row>
    <row r="50" spans="1:107" x14ac:dyDescent="0.2">
      <c r="A50">
        <f>ROW(Source!A32)</f>
        <v>32</v>
      </c>
      <c r="B50">
        <v>16856227</v>
      </c>
      <c r="C50">
        <v>16856348</v>
      </c>
      <c r="D50">
        <v>15430395</v>
      </c>
      <c r="E50">
        <v>1</v>
      </c>
      <c r="F50">
        <v>1</v>
      </c>
      <c r="G50">
        <v>1</v>
      </c>
      <c r="H50">
        <v>1</v>
      </c>
      <c r="I50" t="s">
        <v>316</v>
      </c>
      <c r="J50" t="s">
        <v>6</v>
      </c>
      <c r="K50" t="s">
        <v>317</v>
      </c>
      <c r="L50">
        <v>1191</v>
      </c>
      <c r="N50">
        <v>1013</v>
      </c>
      <c r="O50" t="s">
        <v>313</v>
      </c>
      <c r="P50" t="s">
        <v>313</v>
      </c>
      <c r="Q50">
        <v>1</v>
      </c>
      <c r="W50">
        <v>0</v>
      </c>
      <c r="X50">
        <v>-1417349443</v>
      </c>
      <c r="Y50">
        <v>4.2300000000000004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4.2300000000000004</v>
      </c>
      <c r="AU50" t="s">
        <v>6</v>
      </c>
      <c r="AV50">
        <v>2</v>
      </c>
      <c r="AW50">
        <v>2</v>
      </c>
      <c r="AX50">
        <v>16856361</v>
      </c>
      <c r="AY50">
        <v>1</v>
      </c>
      <c r="AZ50">
        <v>2048</v>
      </c>
      <c r="BA50">
        <v>62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Y50*Source!I32</f>
        <v>12.45312</v>
      </c>
      <c r="CY50">
        <f>AD50</f>
        <v>0</v>
      </c>
      <c r="CZ50">
        <f>AH50</f>
        <v>0</v>
      </c>
      <c r="DA50">
        <f>AL50</f>
        <v>1</v>
      </c>
      <c r="DB50">
        <f>ROUND(ROUND(AT50*CZ50,2),6)</f>
        <v>0</v>
      </c>
      <c r="DC50">
        <f>ROUND(ROUND(AT50*AG50,2),6)</f>
        <v>0</v>
      </c>
    </row>
    <row r="51" spans="1:107" x14ac:dyDescent="0.2">
      <c r="A51">
        <f>ROW(Source!A32)</f>
        <v>32</v>
      </c>
      <c r="B51">
        <v>16856227</v>
      </c>
      <c r="C51">
        <v>16856348</v>
      </c>
      <c r="D51">
        <v>15247974</v>
      </c>
      <c r="E51">
        <v>1</v>
      </c>
      <c r="F51">
        <v>1</v>
      </c>
      <c r="G51">
        <v>1</v>
      </c>
      <c r="H51">
        <v>2</v>
      </c>
      <c r="I51" t="s">
        <v>318</v>
      </c>
      <c r="J51" t="s">
        <v>319</v>
      </c>
      <c r="K51" t="s">
        <v>320</v>
      </c>
      <c r="L51">
        <v>1368</v>
      </c>
      <c r="N51">
        <v>1011</v>
      </c>
      <c r="O51" t="s">
        <v>321</v>
      </c>
      <c r="P51" t="s">
        <v>321</v>
      </c>
      <c r="Q51">
        <v>1</v>
      </c>
      <c r="W51">
        <v>0</v>
      </c>
      <c r="X51">
        <v>1188625873</v>
      </c>
      <c r="Y51">
        <v>0.82500000000000007</v>
      </c>
      <c r="AA51">
        <v>0</v>
      </c>
      <c r="AB51">
        <v>31.26</v>
      </c>
      <c r="AC51">
        <v>13.5</v>
      </c>
      <c r="AD51">
        <v>0</v>
      </c>
      <c r="AE51">
        <v>0</v>
      </c>
      <c r="AF51">
        <v>31.26</v>
      </c>
      <c r="AG51">
        <v>13.5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0.66</v>
      </c>
      <c r="AU51" t="s">
        <v>56</v>
      </c>
      <c r="AV51">
        <v>0</v>
      </c>
      <c r="AW51">
        <v>2</v>
      </c>
      <c r="AX51">
        <v>16856362</v>
      </c>
      <c r="AY51">
        <v>1</v>
      </c>
      <c r="AZ51">
        <v>0</v>
      </c>
      <c r="BA51">
        <v>63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Y51*Source!I32</f>
        <v>2.4288000000000003</v>
      </c>
      <c r="CY51">
        <f>AB51</f>
        <v>31.26</v>
      </c>
      <c r="CZ51">
        <f>AF51</f>
        <v>31.26</v>
      </c>
      <c r="DA51">
        <f>AJ51</f>
        <v>1</v>
      </c>
      <c r="DB51">
        <f>ROUND((ROUND(AT51*CZ51,2)*1.25),6)</f>
        <v>25.787500000000001</v>
      </c>
      <c r="DC51">
        <f>ROUND((ROUND(AT51*AG51,2)*1.25),6)</f>
        <v>11.137499999999999</v>
      </c>
    </row>
    <row r="52" spans="1:107" x14ac:dyDescent="0.2">
      <c r="A52">
        <f>ROW(Source!A32)</f>
        <v>32</v>
      </c>
      <c r="B52">
        <v>16856227</v>
      </c>
      <c r="C52">
        <v>16856348</v>
      </c>
      <c r="D52">
        <v>15249073</v>
      </c>
      <c r="E52">
        <v>1</v>
      </c>
      <c r="F52">
        <v>1</v>
      </c>
      <c r="G52">
        <v>1</v>
      </c>
      <c r="H52">
        <v>2</v>
      </c>
      <c r="I52" t="s">
        <v>330</v>
      </c>
      <c r="J52" t="s">
        <v>331</v>
      </c>
      <c r="K52" t="s">
        <v>332</v>
      </c>
      <c r="L52">
        <v>1368</v>
      </c>
      <c r="N52">
        <v>1011</v>
      </c>
      <c r="O52" t="s">
        <v>321</v>
      </c>
      <c r="P52" t="s">
        <v>321</v>
      </c>
      <c r="Q52">
        <v>1</v>
      </c>
      <c r="W52">
        <v>0</v>
      </c>
      <c r="X52">
        <v>1372534845</v>
      </c>
      <c r="Y52">
        <v>4.4624999999999995</v>
      </c>
      <c r="AA52">
        <v>0</v>
      </c>
      <c r="AB52">
        <v>65.709999999999994</v>
      </c>
      <c r="AC52">
        <v>11.6</v>
      </c>
      <c r="AD52">
        <v>0</v>
      </c>
      <c r="AE52">
        <v>0</v>
      </c>
      <c r="AF52">
        <v>65.709999999999994</v>
      </c>
      <c r="AG52">
        <v>11.6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3.57</v>
      </c>
      <c r="AU52" t="s">
        <v>56</v>
      </c>
      <c r="AV52">
        <v>0</v>
      </c>
      <c r="AW52">
        <v>2</v>
      </c>
      <c r="AX52">
        <v>16856363</v>
      </c>
      <c r="AY52">
        <v>1</v>
      </c>
      <c r="AZ52">
        <v>0</v>
      </c>
      <c r="BA52">
        <v>64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Y52*Source!I32</f>
        <v>13.137599999999999</v>
      </c>
      <c r="CY52">
        <f>AB52</f>
        <v>65.709999999999994</v>
      </c>
      <c r="CZ52">
        <f>AF52</f>
        <v>65.709999999999994</v>
      </c>
      <c r="DA52">
        <f>AJ52</f>
        <v>1</v>
      </c>
      <c r="DB52">
        <f>ROUND((ROUND(AT52*CZ52,2)*1.25),6)</f>
        <v>293.22500000000002</v>
      </c>
      <c r="DC52">
        <f>ROUND((ROUND(AT52*AG52,2)*1.25),6)</f>
        <v>51.762500000000003</v>
      </c>
    </row>
    <row r="53" spans="1:107" x14ac:dyDescent="0.2">
      <c r="A53">
        <f>ROW(Source!A32)</f>
        <v>32</v>
      </c>
      <c r="B53">
        <v>16856227</v>
      </c>
      <c r="C53">
        <v>16856348</v>
      </c>
      <c r="D53">
        <v>15167551</v>
      </c>
      <c r="E53">
        <v>1</v>
      </c>
      <c r="F53">
        <v>1</v>
      </c>
      <c r="G53">
        <v>1</v>
      </c>
      <c r="H53">
        <v>3</v>
      </c>
      <c r="I53" t="s">
        <v>379</v>
      </c>
      <c r="J53" t="s">
        <v>380</v>
      </c>
      <c r="K53" t="s">
        <v>381</v>
      </c>
      <c r="L53">
        <v>1301</v>
      </c>
      <c r="N53">
        <v>1003</v>
      </c>
      <c r="O53" t="s">
        <v>90</v>
      </c>
      <c r="P53" t="s">
        <v>90</v>
      </c>
      <c r="Q53">
        <v>1</v>
      </c>
      <c r="W53">
        <v>0</v>
      </c>
      <c r="X53">
        <v>751777312</v>
      </c>
      <c r="Y53">
        <v>253</v>
      </c>
      <c r="AA53">
        <v>6.38</v>
      </c>
      <c r="AB53">
        <v>0</v>
      </c>
      <c r="AC53">
        <v>0</v>
      </c>
      <c r="AD53">
        <v>0</v>
      </c>
      <c r="AE53">
        <v>6.38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253</v>
      </c>
      <c r="AU53" t="s">
        <v>6</v>
      </c>
      <c r="AV53">
        <v>0</v>
      </c>
      <c r="AW53">
        <v>2</v>
      </c>
      <c r="AX53">
        <v>16856364</v>
      </c>
      <c r="AY53">
        <v>1</v>
      </c>
      <c r="AZ53">
        <v>0</v>
      </c>
      <c r="BA53">
        <v>65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Y53*Source!I32</f>
        <v>744.83199999999999</v>
      </c>
      <c r="CY53">
        <f t="shared" ref="CY53:CY59" si="12">AA53</f>
        <v>6.38</v>
      </c>
      <c r="CZ53">
        <f t="shared" ref="CZ53:CZ59" si="13">AE53</f>
        <v>6.38</v>
      </c>
      <c r="DA53">
        <f t="shared" ref="DA53:DA59" si="14">AI53</f>
        <v>1</v>
      </c>
      <c r="DB53">
        <f t="shared" ref="DB53:DB59" si="15">ROUND(ROUND(AT53*CZ53,2),6)</f>
        <v>1614.14</v>
      </c>
      <c r="DC53">
        <f t="shared" ref="DC53:DC59" si="16">ROUND(ROUND(AT53*AG53,2),6)</f>
        <v>0</v>
      </c>
    </row>
    <row r="54" spans="1:107" x14ac:dyDescent="0.2">
      <c r="A54">
        <f>ROW(Source!A32)</f>
        <v>32</v>
      </c>
      <c r="B54">
        <v>16856227</v>
      </c>
      <c r="C54">
        <v>16856348</v>
      </c>
      <c r="D54">
        <v>15167552</v>
      </c>
      <c r="E54">
        <v>1</v>
      </c>
      <c r="F54">
        <v>1</v>
      </c>
      <c r="G54">
        <v>1</v>
      </c>
      <c r="H54">
        <v>3</v>
      </c>
      <c r="I54" t="s">
        <v>382</v>
      </c>
      <c r="J54" t="s">
        <v>383</v>
      </c>
      <c r="K54" t="s">
        <v>384</v>
      </c>
      <c r="L54">
        <v>1301</v>
      </c>
      <c r="N54">
        <v>1003</v>
      </c>
      <c r="O54" t="s">
        <v>90</v>
      </c>
      <c r="P54" t="s">
        <v>90</v>
      </c>
      <c r="Q54">
        <v>1</v>
      </c>
      <c r="W54">
        <v>0</v>
      </c>
      <c r="X54">
        <v>1744203244</v>
      </c>
      <c r="Y54">
        <v>59</v>
      </c>
      <c r="AA54">
        <v>7.95</v>
      </c>
      <c r="AB54">
        <v>0</v>
      </c>
      <c r="AC54">
        <v>0</v>
      </c>
      <c r="AD54">
        <v>0</v>
      </c>
      <c r="AE54">
        <v>7.95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59</v>
      </c>
      <c r="AU54" t="s">
        <v>6</v>
      </c>
      <c r="AV54">
        <v>0</v>
      </c>
      <c r="AW54">
        <v>2</v>
      </c>
      <c r="AX54">
        <v>16856365</v>
      </c>
      <c r="AY54">
        <v>1</v>
      </c>
      <c r="AZ54">
        <v>0</v>
      </c>
      <c r="BA54">
        <v>66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Y54*Source!I32</f>
        <v>173.696</v>
      </c>
      <c r="CY54">
        <f t="shared" si="12"/>
        <v>7.95</v>
      </c>
      <c r="CZ54">
        <f t="shared" si="13"/>
        <v>7.95</v>
      </c>
      <c r="DA54">
        <f t="shared" si="14"/>
        <v>1</v>
      </c>
      <c r="DB54">
        <f t="shared" si="15"/>
        <v>469.05</v>
      </c>
      <c r="DC54">
        <f t="shared" si="16"/>
        <v>0</v>
      </c>
    </row>
    <row r="55" spans="1:107" x14ac:dyDescent="0.2">
      <c r="A55">
        <f>ROW(Source!A32)</f>
        <v>32</v>
      </c>
      <c r="B55">
        <v>16856227</v>
      </c>
      <c r="C55">
        <v>16856348</v>
      </c>
      <c r="D55">
        <v>15167640</v>
      </c>
      <c r="E55">
        <v>1</v>
      </c>
      <c r="F55">
        <v>1</v>
      </c>
      <c r="G55">
        <v>1</v>
      </c>
      <c r="H55">
        <v>3</v>
      </c>
      <c r="I55" t="s">
        <v>385</v>
      </c>
      <c r="J55" t="s">
        <v>386</v>
      </c>
      <c r="K55" t="s">
        <v>387</v>
      </c>
      <c r="L55">
        <v>1302</v>
      </c>
      <c r="N55">
        <v>1003</v>
      </c>
      <c r="O55" t="s">
        <v>152</v>
      </c>
      <c r="P55" t="s">
        <v>152</v>
      </c>
      <c r="Q55">
        <v>10</v>
      </c>
      <c r="W55">
        <v>0</v>
      </c>
      <c r="X55">
        <v>-405326455</v>
      </c>
      <c r="Y55">
        <v>15.9</v>
      </c>
      <c r="AA55">
        <v>64.099999999999994</v>
      </c>
      <c r="AB55">
        <v>0</v>
      </c>
      <c r="AC55">
        <v>0</v>
      </c>
      <c r="AD55">
        <v>0</v>
      </c>
      <c r="AE55">
        <v>64.099999999999994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15.9</v>
      </c>
      <c r="AU55" t="s">
        <v>6</v>
      </c>
      <c r="AV55">
        <v>0</v>
      </c>
      <c r="AW55">
        <v>2</v>
      </c>
      <c r="AX55">
        <v>16856366</v>
      </c>
      <c r="AY55">
        <v>1</v>
      </c>
      <c r="AZ55">
        <v>0</v>
      </c>
      <c r="BA55">
        <v>67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Y55*Source!I32</f>
        <v>46.809600000000003</v>
      </c>
      <c r="CY55">
        <f t="shared" si="12"/>
        <v>64.099999999999994</v>
      </c>
      <c r="CZ55">
        <f t="shared" si="13"/>
        <v>64.099999999999994</v>
      </c>
      <c r="DA55">
        <f t="shared" si="14"/>
        <v>1</v>
      </c>
      <c r="DB55">
        <f t="shared" si="15"/>
        <v>1019.19</v>
      </c>
      <c r="DC55">
        <f t="shared" si="16"/>
        <v>0</v>
      </c>
    </row>
    <row r="56" spans="1:107" x14ac:dyDescent="0.2">
      <c r="A56">
        <f>ROW(Source!A32)</f>
        <v>32</v>
      </c>
      <c r="B56">
        <v>16856227</v>
      </c>
      <c r="C56">
        <v>16856348</v>
      </c>
      <c r="D56">
        <v>15170065</v>
      </c>
      <c r="E56">
        <v>1</v>
      </c>
      <c r="F56">
        <v>1</v>
      </c>
      <c r="G56">
        <v>1</v>
      </c>
      <c r="H56">
        <v>3</v>
      </c>
      <c r="I56" t="s">
        <v>388</v>
      </c>
      <c r="J56" t="s">
        <v>389</v>
      </c>
      <c r="K56" t="s">
        <v>390</v>
      </c>
      <c r="L56">
        <v>1358</v>
      </c>
      <c r="N56">
        <v>1010</v>
      </c>
      <c r="O56" t="s">
        <v>391</v>
      </c>
      <c r="P56" t="s">
        <v>391</v>
      </c>
      <c r="Q56">
        <v>10</v>
      </c>
      <c r="W56">
        <v>0</v>
      </c>
      <c r="X56">
        <v>-858120743</v>
      </c>
      <c r="Y56">
        <v>41.2</v>
      </c>
      <c r="AA56">
        <v>7.03</v>
      </c>
      <c r="AB56">
        <v>0</v>
      </c>
      <c r="AC56">
        <v>0</v>
      </c>
      <c r="AD56">
        <v>0</v>
      </c>
      <c r="AE56">
        <v>7.03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41.2</v>
      </c>
      <c r="AU56" t="s">
        <v>6</v>
      </c>
      <c r="AV56">
        <v>0</v>
      </c>
      <c r="AW56">
        <v>2</v>
      </c>
      <c r="AX56">
        <v>16856367</v>
      </c>
      <c r="AY56">
        <v>1</v>
      </c>
      <c r="AZ56">
        <v>0</v>
      </c>
      <c r="BA56">
        <v>68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Y56*Source!I32</f>
        <v>121.2928</v>
      </c>
      <c r="CY56">
        <f t="shared" si="12"/>
        <v>7.03</v>
      </c>
      <c r="CZ56">
        <f t="shared" si="13"/>
        <v>7.03</v>
      </c>
      <c r="DA56">
        <f t="shared" si="14"/>
        <v>1</v>
      </c>
      <c r="DB56">
        <f t="shared" si="15"/>
        <v>289.64</v>
      </c>
      <c r="DC56">
        <f t="shared" si="16"/>
        <v>0</v>
      </c>
    </row>
    <row r="57" spans="1:107" x14ac:dyDescent="0.2">
      <c r="A57">
        <f>ROW(Source!A32)</f>
        <v>32</v>
      </c>
      <c r="B57">
        <v>16856227</v>
      </c>
      <c r="C57">
        <v>16856348</v>
      </c>
      <c r="D57">
        <v>15197780</v>
      </c>
      <c r="E57">
        <v>1</v>
      </c>
      <c r="F57">
        <v>1</v>
      </c>
      <c r="G57">
        <v>1</v>
      </c>
      <c r="H57">
        <v>3</v>
      </c>
      <c r="I57" t="s">
        <v>392</v>
      </c>
      <c r="J57" t="s">
        <v>393</v>
      </c>
      <c r="K57" t="s">
        <v>394</v>
      </c>
      <c r="L57">
        <v>1355</v>
      </c>
      <c r="N57">
        <v>1010</v>
      </c>
      <c r="O57" t="s">
        <v>395</v>
      </c>
      <c r="P57" t="s">
        <v>395</v>
      </c>
      <c r="Q57">
        <v>100</v>
      </c>
      <c r="W57">
        <v>0</v>
      </c>
      <c r="X57">
        <v>1709713925</v>
      </c>
      <c r="Y57">
        <v>8</v>
      </c>
      <c r="AA57">
        <v>50</v>
      </c>
      <c r="AB57">
        <v>0</v>
      </c>
      <c r="AC57">
        <v>0</v>
      </c>
      <c r="AD57">
        <v>0</v>
      </c>
      <c r="AE57">
        <v>50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8</v>
      </c>
      <c r="AU57" t="s">
        <v>6</v>
      </c>
      <c r="AV57">
        <v>0</v>
      </c>
      <c r="AW57">
        <v>2</v>
      </c>
      <c r="AX57">
        <v>16856369</v>
      </c>
      <c r="AY57">
        <v>1</v>
      </c>
      <c r="AZ57">
        <v>0</v>
      </c>
      <c r="BA57">
        <v>70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Y57*Source!I32</f>
        <v>23.552</v>
      </c>
      <c r="CY57">
        <f t="shared" si="12"/>
        <v>50</v>
      </c>
      <c r="CZ57">
        <f t="shared" si="13"/>
        <v>50</v>
      </c>
      <c r="DA57">
        <f t="shared" si="14"/>
        <v>1</v>
      </c>
      <c r="DB57">
        <f t="shared" si="15"/>
        <v>400</v>
      </c>
      <c r="DC57">
        <f t="shared" si="16"/>
        <v>0</v>
      </c>
    </row>
    <row r="58" spans="1:107" x14ac:dyDescent="0.2">
      <c r="A58">
        <f>ROW(Source!A32)</f>
        <v>32</v>
      </c>
      <c r="B58">
        <v>16856227</v>
      </c>
      <c r="C58">
        <v>16856348</v>
      </c>
      <c r="D58">
        <v>15204239</v>
      </c>
      <c r="E58">
        <v>1</v>
      </c>
      <c r="F58">
        <v>1</v>
      </c>
      <c r="G58">
        <v>1</v>
      </c>
      <c r="H58">
        <v>3</v>
      </c>
      <c r="I58" t="s">
        <v>396</v>
      </c>
      <c r="J58" t="s">
        <v>397</v>
      </c>
      <c r="K58" t="s">
        <v>398</v>
      </c>
      <c r="L58">
        <v>1354</v>
      </c>
      <c r="N58">
        <v>1010</v>
      </c>
      <c r="O58" t="s">
        <v>166</v>
      </c>
      <c r="P58" t="s">
        <v>166</v>
      </c>
      <c r="Q58">
        <v>1</v>
      </c>
      <c r="W58">
        <v>0</v>
      </c>
      <c r="X58">
        <v>-1018551266</v>
      </c>
      <c r="Y58">
        <v>71</v>
      </c>
      <c r="AA58">
        <v>67</v>
      </c>
      <c r="AB58">
        <v>0</v>
      </c>
      <c r="AC58">
        <v>0</v>
      </c>
      <c r="AD58">
        <v>0</v>
      </c>
      <c r="AE58">
        <v>67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71</v>
      </c>
      <c r="AU58" t="s">
        <v>6</v>
      </c>
      <c r="AV58">
        <v>0</v>
      </c>
      <c r="AW58">
        <v>2</v>
      </c>
      <c r="AX58">
        <v>16856370</v>
      </c>
      <c r="AY58">
        <v>1</v>
      </c>
      <c r="AZ58">
        <v>0</v>
      </c>
      <c r="BA58">
        <v>71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Y58*Source!I32</f>
        <v>209.024</v>
      </c>
      <c r="CY58">
        <f t="shared" si="12"/>
        <v>67</v>
      </c>
      <c r="CZ58">
        <f t="shared" si="13"/>
        <v>67</v>
      </c>
      <c r="DA58">
        <f t="shared" si="14"/>
        <v>1</v>
      </c>
      <c r="DB58">
        <f t="shared" si="15"/>
        <v>4757</v>
      </c>
      <c r="DC58">
        <f t="shared" si="16"/>
        <v>0</v>
      </c>
    </row>
    <row r="59" spans="1:107" x14ac:dyDescent="0.2">
      <c r="A59">
        <f>ROW(Source!A32)</f>
        <v>32</v>
      </c>
      <c r="B59">
        <v>16856227</v>
      </c>
      <c r="C59">
        <v>16856348</v>
      </c>
      <c r="D59">
        <v>0</v>
      </c>
      <c r="E59">
        <v>0</v>
      </c>
      <c r="F59">
        <v>1</v>
      </c>
      <c r="G59">
        <v>1</v>
      </c>
      <c r="H59">
        <v>3</v>
      </c>
      <c r="I59" t="s">
        <v>62</v>
      </c>
      <c r="J59" t="s">
        <v>6</v>
      </c>
      <c r="K59" t="s">
        <v>63</v>
      </c>
      <c r="L59">
        <v>1327</v>
      </c>
      <c r="N59">
        <v>1005</v>
      </c>
      <c r="O59" t="s">
        <v>64</v>
      </c>
      <c r="P59" t="s">
        <v>64</v>
      </c>
      <c r="Q59">
        <v>1</v>
      </c>
      <c r="W59">
        <v>0</v>
      </c>
      <c r="X59">
        <v>1283265163</v>
      </c>
      <c r="Y59">
        <v>100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6</v>
      </c>
      <c r="AT59">
        <v>100</v>
      </c>
      <c r="AU59" t="s">
        <v>6</v>
      </c>
      <c r="AV59">
        <v>0</v>
      </c>
      <c r="AW59">
        <v>1</v>
      </c>
      <c r="AX59">
        <v>-1</v>
      </c>
      <c r="AY59">
        <v>0</v>
      </c>
      <c r="AZ59">
        <v>0</v>
      </c>
      <c r="BA59" t="s">
        <v>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Y59*Source!I32</f>
        <v>294.39999999999998</v>
      </c>
      <c r="CY59">
        <f t="shared" si="12"/>
        <v>0</v>
      </c>
      <c r="CZ59">
        <f t="shared" si="13"/>
        <v>0</v>
      </c>
      <c r="DA59">
        <f t="shared" si="14"/>
        <v>1</v>
      </c>
      <c r="DB59">
        <f t="shared" si="15"/>
        <v>0</v>
      </c>
      <c r="DC59">
        <f t="shared" si="16"/>
        <v>0</v>
      </c>
    </row>
    <row r="60" spans="1:107" x14ac:dyDescent="0.2">
      <c r="A60">
        <f>ROW(Source!A33)</f>
        <v>33</v>
      </c>
      <c r="B60">
        <v>16856228</v>
      </c>
      <c r="C60">
        <v>16856348</v>
      </c>
      <c r="D60">
        <v>15436014</v>
      </c>
      <c r="E60">
        <v>1</v>
      </c>
      <c r="F60">
        <v>1</v>
      </c>
      <c r="G60">
        <v>1</v>
      </c>
      <c r="H60">
        <v>1</v>
      </c>
      <c r="I60" t="s">
        <v>377</v>
      </c>
      <c r="J60" t="s">
        <v>6</v>
      </c>
      <c r="K60" t="s">
        <v>378</v>
      </c>
      <c r="L60">
        <v>1191</v>
      </c>
      <c r="N60">
        <v>1013</v>
      </c>
      <c r="O60" t="s">
        <v>313</v>
      </c>
      <c r="P60" t="s">
        <v>313</v>
      </c>
      <c r="Q60">
        <v>1</v>
      </c>
      <c r="W60">
        <v>0</v>
      </c>
      <c r="X60">
        <v>-784637506</v>
      </c>
      <c r="Y60">
        <v>171.53399999999999</v>
      </c>
      <c r="AA60">
        <v>0</v>
      </c>
      <c r="AB60">
        <v>0</v>
      </c>
      <c r="AC60">
        <v>0</v>
      </c>
      <c r="AD60">
        <v>59.17</v>
      </c>
      <c r="AE60">
        <v>0</v>
      </c>
      <c r="AF60">
        <v>0</v>
      </c>
      <c r="AG60">
        <v>0</v>
      </c>
      <c r="AH60">
        <v>8.74</v>
      </c>
      <c r="AI60">
        <v>1</v>
      </c>
      <c r="AJ60">
        <v>1</v>
      </c>
      <c r="AK60">
        <v>1</v>
      </c>
      <c r="AL60">
        <v>6.77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149.16</v>
      </c>
      <c r="AU60" t="s">
        <v>57</v>
      </c>
      <c r="AV60">
        <v>1</v>
      </c>
      <c r="AW60">
        <v>2</v>
      </c>
      <c r="AX60">
        <v>16856360</v>
      </c>
      <c r="AY60">
        <v>1</v>
      </c>
      <c r="AZ60">
        <v>0</v>
      </c>
      <c r="BA60">
        <v>72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Y60*Source!I33</f>
        <v>504.99609599999997</v>
      </c>
      <c r="CY60">
        <f>AD60</f>
        <v>59.17</v>
      </c>
      <c r="CZ60">
        <f>AH60</f>
        <v>8.74</v>
      </c>
      <c r="DA60">
        <f>AL60</f>
        <v>6.77</v>
      </c>
      <c r="DB60">
        <f>ROUND((ROUND(AT60*CZ60,2)*1.15),6)</f>
        <v>1499.2090000000001</v>
      </c>
      <c r="DC60">
        <f>ROUND((ROUND(AT60*AG60,2)*1.15),6)</f>
        <v>0</v>
      </c>
    </row>
    <row r="61" spans="1:107" x14ac:dyDescent="0.2">
      <c r="A61">
        <f>ROW(Source!A33)</f>
        <v>33</v>
      </c>
      <c r="B61">
        <v>16856228</v>
      </c>
      <c r="C61">
        <v>16856348</v>
      </c>
      <c r="D61">
        <v>15430395</v>
      </c>
      <c r="E61">
        <v>1</v>
      </c>
      <c r="F61">
        <v>1</v>
      </c>
      <c r="G61">
        <v>1</v>
      </c>
      <c r="H61">
        <v>1</v>
      </c>
      <c r="I61" t="s">
        <v>316</v>
      </c>
      <c r="J61" t="s">
        <v>6</v>
      </c>
      <c r="K61" t="s">
        <v>317</v>
      </c>
      <c r="L61">
        <v>1191</v>
      </c>
      <c r="N61">
        <v>1013</v>
      </c>
      <c r="O61" t="s">
        <v>313</v>
      </c>
      <c r="P61" t="s">
        <v>313</v>
      </c>
      <c r="Q61">
        <v>1</v>
      </c>
      <c r="W61">
        <v>0</v>
      </c>
      <c r="X61">
        <v>-1417349443</v>
      </c>
      <c r="Y61">
        <v>4.2300000000000004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6.77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4.2300000000000004</v>
      </c>
      <c r="AU61" t="s">
        <v>6</v>
      </c>
      <c r="AV61">
        <v>2</v>
      </c>
      <c r="AW61">
        <v>2</v>
      </c>
      <c r="AX61">
        <v>16856361</v>
      </c>
      <c r="AY61">
        <v>1</v>
      </c>
      <c r="AZ61">
        <v>2048</v>
      </c>
      <c r="BA61">
        <v>73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Y61*Source!I33</f>
        <v>12.45312</v>
      </c>
      <c r="CY61">
        <f>AD61</f>
        <v>0</v>
      </c>
      <c r="CZ61">
        <f>AH61</f>
        <v>0</v>
      </c>
      <c r="DA61">
        <f>AL61</f>
        <v>1</v>
      </c>
      <c r="DB61">
        <f>ROUND(ROUND(AT61*CZ61,2),6)</f>
        <v>0</v>
      </c>
      <c r="DC61">
        <f>ROUND(ROUND(AT61*AG61,2),6)</f>
        <v>0</v>
      </c>
    </row>
    <row r="62" spans="1:107" x14ac:dyDescent="0.2">
      <c r="A62">
        <f>ROW(Source!A33)</f>
        <v>33</v>
      </c>
      <c r="B62">
        <v>16856228</v>
      </c>
      <c r="C62">
        <v>16856348</v>
      </c>
      <c r="D62">
        <v>15247974</v>
      </c>
      <c r="E62">
        <v>1</v>
      </c>
      <c r="F62">
        <v>1</v>
      </c>
      <c r="G62">
        <v>1</v>
      </c>
      <c r="H62">
        <v>2</v>
      </c>
      <c r="I62" t="s">
        <v>318</v>
      </c>
      <c r="J62" t="s">
        <v>319</v>
      </c>
      <c r="K62" t="s">
        <v>320</v>
      </c>
      <c r="L62">
        <v>1368</v>
      </c>
      <c r="N62">
        <v>1011</v>
      </c>
      <c r="O62" t="s">
        <v>321</v>
      </c>
      <c r="P62" t="s">
        <v>321</v>
      </c>
      <c r="Q62">
        <v>1</v>
      </c>
      <c r="W62">
        <v>0</v>
      </c>
      <c r="X62">
        <v>1188625873</v>
      </c>
      <c r="Y62">
        <v>0.82500000000000007</v>
      </c>
      <c r="AA62">
        <v>0</v>
      </c>
      <c r="AB62">
        <v>211.63</v>
      </c>
      <c r="AC62">
        <v>13.5</v>
      </c>
      <c r="AD62">
        <v>0</v>
      </c>
      <c r="AE62">
        <v>0</v>
      </c>
      <c r="AF62">
        <v>31.26</v>
      </c>
      <c r="AG62">
        <v>13.5</v>
      </c>
      <c r="AH62">
        <v>0</v>
      </c>
      <c r="AI62">
        <v>1</v>
      </c>
      <c r="AJ62">
        <v>6.77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0.66</v>
      </c>
      <c r="AU62" t="s">
        <v>56</v>
      </c>
      <c r="AV62">
        <v>0</v>
      </c>
      <c r="AW62">
        <v>2</v>
      </c>
      <c r="AX62">
        <v>16856362</v>
      </c>
      <c r="AY62">
        <v>1</v>
      </c>
      <c r="AZ62">
        <v>0</v>
      </c>
      <c r="BA62">
        <v>74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Y62*Source!I33</f>
        <v>2.4288000000000003</v>
      </c>
      <c r="CY62">
        <f>AB62</f>
        <v>211.63</v>
      </c>
      <c r="CZ62">
        <f>AF62</f>
        <v>31.26</v>
      </c>
      <c r="DA62">
        <f>AJ62</f>
        <v>6.77</v>
      </c>
      <c r="DB62">
        <f>ROUND((ROUND(AT62*CZ62,2)*1.25),6)</f>
        <v>25.787500000000001</v>
      </c>
      <c r="DC62">
        <f>ROUND((ROUND(AT62*AG62,2)*1.25),6)</f>
        <v>11.137499999999999</v>
      </c>
    </row>
    <row r="63" spans="1:107" x14ac:dyDescent="0.2">
      <c r="A63">
        <f>ROW(Source!A33)</f>
        <v>33</v>
      </c>
      <c r="B63">
        <v>16856228</v>
      </c>
      <c r="C63">
        <v>16856348</v>
      </c>
      <c r="D63">
        <v>15249073</v>
      </c>
      <c r="E63">
        <v>1</v>
      </c>
      <c r="F63">
        <v>1</v>
      </c>
      <c r="G63">
        <v>1</v>
      </c>
      <c r="H63">
        <v>2</v>
      </c>
      <c r="I63" t="s">
        <v>330</v>
      </c>
      <c r="J63" t="s">
        <v>331</v>
      </c>
      <c r="K63" t="s">
        <v>332</v>
      </c>
      <c r="L63">
        <v>1368</v>
      </c>
      <c r="N63">
        <v>1011</v>
      </c>
      <c r="O63" t="s">
        <v>321</v>
      </c>
      <c r="P63" t="s">
        <v>321</v>
      </c>
      <c r="Q63">
        <v>1</v>
      </c>
      <c r="W63">
        <v>0</v>
      </c>
      <c r="X63">
        <v>1372534845</v>
      </c>
      <c r="Y63">
        <v>4.4624999999999995</v>
      </c>
      <c r="AA63">
        <v>0</v>
      </c>
      <c r="AB63">
        <v>444.86</v>
      </c>
      <c r="AC63">
        <v>11.6</v>
      </c>
      <c r="AD63">
        <v>0</v>
      </c>
      <c r="AE63">
        <v>0</v>
      </c>
      <c r="AF63">
        <v>65.709999999999994</v>
      </c>
      <c r="AG63">
        <v>11.6</v>
      </c>
      <c r="AH63">
        <v>0</v>
      </c>
      <c r="AI63">
        <v>1</v>
      </c>
      <c r="AJ63">
        <v>6.77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3.57</v>
      </c>
      <c r="AU63" t="s">
        <v>56</v>
      </c>
      <c r="AV63">
        <v>0</v>
      </c>
      <c r="AW63">
        <v>2</v>
      </c>
      <c r="AX63">
        <v>16856363</v>
      </c>
      <c r="AY63">
        <v>1</v>
      </c>
      <c r="AZ63">
        <v>0</v>
      </c>
      <c r="BA63">
        <v>75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Y63*Source!I33</f>
        <v>13.137599999999999</v>
      </c>
      <c r="CY63">
        <f>AB63</f>
        <v>444.86</v>
      </c>
      <c r="CZ63">
        <f>AF63</f>
        <v>65.709999999999994</v>
      </c>
      <c r="DA63">
        <f>AJ63</f>
        <v>6.77</v>
      </c>
      <c r="DB63">
        <f>ROUND((ROUND(AT63*CZ63,2)*1.25),6)</f>
        <v>293.22500000000002</v>
      </c>
      <c r="DC63">
        <f>ROUND((ROUND(AT63*AG63,2)*1.25),6)</f>
        <v>51.762500000000003</v>
      </c>
    </row>
    <row r="64" spans="1:107" x14ac:dyDescent="0.2">
      <c r="A64">
        <f>ROW(Source!A33)</f>
        <v>33</v>
      </c>
      <c r="B64">
        <v>16856228</v>
      </c>
      <c r="C64">
        <v>16856348</v>
      </c>
      <c r="D64">
        <v>15167551</v>
      </c>
      <c r="E64">
        <v>1</v>
      </c>
      <c r="F64">
        <v>1</v>
      </c>
      <c r="G64">
        <v>1</v>
      </c>
      <c r="H64">
        <v>3</v>
      </c>
      <c r="I64" t="s">
        <v>379</v>
      </c>
      <c r="J64" t="s">
        <v>380</v>
      </c>
      <c r="K64" t="s">
        <v>381</v>
      </c>
      <c r="L64">
        <v>1301</v>
      </c>
      <c r="N64">
        <v>1003</v>
      </c>
      <c r="O64" t="s">
        <v>90</v>
      </c>
      <c r="P64" t="s">
        <v>90</v>
      </c>
      <c r="Q64">
        <v>1</v>
      </c>
      <c r="W64">
        <v>0</v>
      </c>
      <c r="X64">
        <v>751777312</v>
      </c>
      <c r="Y64">
        <v>253</v>
      </c>
      <c r="AA64">
        <v>43.19</v>
      </c>
      <c r="AB64">
        <v>0</v>
      </c>
      <c r="AC64">
        <v>0</v>
      </c>
      <c r="AD64">
        <v>0</v>
      </c>
      <c r="AE64">
        <v>6.38</v>
      </c>
      <c r="AF64">
        <v>0</v>
      </c>
      <c r="AG64">
        <v>0</v>
      </c>
      <c r="AH64">
        <v>0</v>
      </c>
      <c r="AI64">
        <v>6.77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253</v>
      </c>
      <c r="AU64" t="s">
        <v>6</v>
      </c>
      <c r="AV64">
        <v>0</v>
      </c>
      <c r="AW64">
        <v>2</v>
      </c>
      <c r="AX64">
        <v>16856364</v>
      </c>
      <c r="AY64">
        <v>1</v>
      </c>
      <c r="AZ64">
        <v>0</v>
      </c>
      <c r="BA64">
        <v>76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Y64*Source!I33</f>
        <v>744.83199999999999</v>
      </c>
      <c r="CY64">
        <f t="shared" ref="CY64:CY70" si="17">AA64</f>
        <v>43.19</v>
      </c>
      <c r="CZ64">
        <f t="shared" ref="CZ64:CZ70" si="18">AE64</f>
        <v>6.38</v>
      </c>
      <c r="DA64">
        <f t="shared" ref="DA64:DA70" si="19">AI64</f>
        <v>6.77</v>
      </c>
      <c r="DB64">
        <f t="shared" ref="DB64:DB70" si="20">ROUND(ROUND(AT64*CZ64,2),6)</f>
        <v>1614.14</v>
      </c>
      <c r="DC64">
        <f t="shared" ref="DC64:DC70" si="21">ROUND(ROUND(AT64*AG64,2),6)</f>
        <v>0</v>
      </c>
    </row>
    <row r="65" spans="1:107" x14ac:dyDescent="0.2">
      <c r="A65">
        <f>ROW(Source!A33)</f>
        <v>33</v>
      </c>
      <c r="B65">
        <v>16856228</v>
      </c>
      <c r="C65">
        <v>16856348</v>
      </c>
      <c r="D65">
        <v>15167552</v>
      </c>
      <c r="E65">
        <v>1</v>
      </c>
      <c r="F65">
        <v>1</v>
      </c>
      <c r="G65">
        <v>1</v>
      </c>
      <c r="H65">
        <v>3</v>
      </c>
      <c r="I65" t="s">
        <v>382</v>
      </c>
      <c r="J65" t="s">
        <v>383</v>
      </c>
      <c r="K65" t="s">
        <v>384</v>
      </c>
      <c r="L65">
        <v>1301</v>
      </c>
      <c r="N65">
        <v>1003</v>
      </c>
      <c r="O65" t="s">
        <v>90</v>
      </c>
      <c r="P65" t="s">
        <v>90</v>
      </c>
      <c r="Q65">
        <v>1</v>
      </c>
      <c r="W65">
        <v>0</v>
      </c>
      <c r="X65">
        <v>1744203244</v>
      </c>
      <c r="Y65">
        <v>59</v>
      </c>
      <c r="AA65">
        <v>53.82</v>
      </c>
      <c r="AB65">
        <v>0</v>
      </c>
      <c r="AC65">
        <v>0</v>
      </c>
      <c r="AD65">
        <v>0</v>
      </c>
      <c r="AE65">
        <v>7.95</v>
      </c>
      <c r="AF65">
        <v>0</v>
      </c>
      <c r="AG65">
        <v>0</v>
      </c>
      <c r="AH65">
        <v>0</v>
      </c>
      <c r="AI65">
        <v>6.77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59</v>
      </c>
      <c r="AU65" t="s">
        <v>6</v>
      </c>
      <c r="AV65">
        <v>0</v>
      </c>
      <c r="AW65">
        <v>2</v>
      </c>
      <c r="AX65">
        <v>16856365</v>
      </c>
      <c r="AY65">
        <v>1</v>
      </c>
      <c r="AZ65">
        <v>0</v>
      </c>
      <c r="BA65">
        <v>77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Y65*Source!I33</f>
        <v>173.696</v>
      </c>
      <c r="CY65">
        <f t="shared" si="17"/>
        <v>53.82</v>
      </c>
      <c r="CZ65">
        <f t="shared" si="18"/>
        <v>7.95</v>
      </c>
      <c r="DA65">
        <f t="shared" si="19"/>
        <v>6.77</v>
      </c>
      <c r="DB65">
        <f t="shared" si="20"/>
        <v>469.05</v>
      </c>
      <c r="DC65">
        <f t="shared" si="21"/>
        <v>0</v>
      </c>
    </row>
    <row r="66" spans="1:107" x14ac:dyDescent="0.2">
      <c r="A66">
        <f>ROW(Source!A33)</f>
        <v>33</v>
      </c>
      <c r="B66">
        <v>16856228</v>
      </c>
      <c r="C66">
        <v>16856348</v>
      </c>
      <c r="D66">
        <v>15167640</v>
      </c>
      <c r="E66">
        <v>1</v>
      </c>
      <c r="F66">
        <v>1</v>
      </c>
      <c r="G66">
        <v>1</v>
      </c>
      <c r="H66">
        <v>3</v>
      </c>
      <c r="I66" t="s">
        <v>385</v>
      </c>
      <c r="J66" t="s">
        <v>386</v>
      </c>
      <c r="K66" t="s">
        <v>387</v>
      </c>
      <c r="L66">
        <v>1302</v>
      </c>
      <c r="N66">
        <v>1003</v>
      </c>
      <c r="O66" t="s">
        <v>152</v>
      </c>
      <c r="P66" t="s">
        <v>152</v>
      </c>
      <c r="Q66">
        <v>10</v>
      </c>
      <c r="W66">
        <v>0</v>
      </c>
      <c r="X66">
        <v>-405326455</v>
      </c>
      <c r="Y66">
        <v>15.9</v>
      </c>
      <c r="AA66">
        <v>433.96</v>
      </c>
      <c r="AB66">
        <v>0</v>
      </c>
      <c r="AC66">
        <v>0</v>
      </c>
      <c r="AD66">
        <v>0</v>
      </c>
      <c r="AE66">
        <v>64.099999999999994</v>
      </c>
      <c r="AF66">
        <v>0</v>
      </c>
      <c r="AG66">
        <v>0</v>
      </c>
      <c r="AH66">
        <v>0</v>
      </c>
      <c r="AI66">
        <v>6.77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15.9</v>
      </c>
      <c r="AU66" t="s">
        <v>6</v>
      </c>
      <c r="AV66">
        <v>0</v>
      </c>
      <c r="AW66">
        <v>2</v>
      </c>
      <c r="AX66">
        <v>16856366</v>
      </c>
      <c r="AY66">
        <v>1</v>
      </c>
      <c r="AZ66">
        <v>0</v>
      </c>
      <c r="BA66">
        <v>78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Y66*Source!I33</f>
        <v>46.809600000000003</v>
      </c>
      <c r="CY66">
        <f t="shared" si="17"/>
        <v>433.96</v>
      </c>
      <c r="CZ66">
        <f t="shared" si="18"/>
        <v>64.099999999999994</v>
      </c>
      <c r="DA66">
        <f t="shared" si="19"/>
        <v>6.77</v>
      </c>
      <c r="DB66">
        <f t="shared" si="20"/>
        <v>1019.19</v>
      </c>
      <c r="DC66">
        <f t="shared" si="21"/>
        <v>0</v>
      </c>
    </row>
    <row r="67" spans="1:107" x14ac:dyDescent="0.2">
      <c r="A67">
        <f>ROW(Source!A33)</f>
        <v>33</v>
      </c>
      <c r="B67">
        <v>16856228</v>
      </c>
      <c r="C67">
        <v>16856348</v>
      </c>
      <c r="D67">
        <v>15170065</v>
      </c>
      <c r="E67">
        <v>1</v>
      </c>
      <c r="F67">
        <v>1</v>
      </c>
      <c r="G67">
        <v>1</v>
      </c>
      <c r="H67">
        <v>3</v>
      </c>
      <c r="I67" t="s">
        <v>388</v>
      </c>
      <c r="J67" t="s">
        <v>389</v>
      </c>
      <c r="K67" t="s">
        <v>390</v>
      </c>
      <c r="L67">
        <v>1358</v>
      </c>
      <c r="N67">
        <v>1010</v>
      </c>
      <c r="O67" t="s">
        <v>391</v>
      </c>
      <c r="P67" t="s">
        <v>391</v>
      </c>
      <c r="Q67">
        <v>10</v>
      </c>
      <c r="W67">
        <v>0</v>
      </c>
      <c r="X67">
        <v>-858120743</v>
      </c>
      <c r="Y67">
        <v>41.2</v>
      </c>
      <c r="AA67">
        <v>47.59</v>
      </c>
      <c r="AB67">
        <v>0</v>
      </c>
      <c r="AC67">
        <v>0</v>
      </c>
      <c r="AD67">
        <v>0</v>
      </c>
      <c r="AE67">
        <v>7.03</v>
      </c>
      <c r="AF67">
        <v>0</v>
      </c>
      <c r="AG67">
        <v>0</v>
      </c>
      <c r="AH67">
        <v>0</v>
      </c>
      <c r="AI67">
        <v>6.77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41.2</v>
      </c>
      <c r="AU67" t="s">
        <v>6</v>
      </c>
      <c r="AV67">
        <v>0</v>
      </c>
      <c r="AW67">
        <v>2</v>
      </c>
      <c r="AX67">
        <v>16856367</v>
      </c>
      <c r="AY67">
        <v>1</v>
      </c>
      <c r="AZ67">
        <v>0</v>
      </c>
      <c r="BA67">
        <v>79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Y67*Source!I33</f>
        <v>121.2928</v>
      </c>
      <c r="CY67">
        <f t="shared" si="17"/>
        <v>47.59</v>
      </c>
      <c r="CZ67">
        <f t="shared" si="18"/>
        <v>7.03</v>
      </c>
      <c r="DA67">
        <f t="shared" si="19"/>
        <v>6.77</v>
      </c>
      <c r="DB67">
        <f t="shared" si="20"/>
        <v>289.64</v>
      </c>
      <c r="DC67">
        <f t="shared" si="21"/>
        <v>0</v>
      </c>
    </row>
    <row r="68" spans="1:107" x14ac:dyDescent="0.2">
      <c r="A68">
        <f>ROW(Source!A33)</f>
        <v>33</v>
      </c>
      <c r="B68">
        <v>16856228</v>
      </c>
      <c r="C68">
        <v>16856348</v>
      </c>
      <c r="D68">
        <v>15197780</v>
      </c>
      <c r="E68">
        <v>1</v>
      </c>
      <c r="F68">
        <v>1</v>
      </c>
      <c r="G68">
        <v>1</v>
      </c>
      <c r="H68">
        <v>3</v>
      </c>
      <c r="I68" t="s">
        <v>392</v>
      </c>
      <c r="J68" t="s">
        <v>393</v>
      </c>
      <c r="K68" t="s">
        <v>394</v>
      </c>
      <c r="L68">
        <v>1355</v>
      </c>
      <c r="N68">
        <v>1010</v>
      </c>
      <c r="O68" t="s">
        <v>395</v>
      </c>
      <c r="P68" t="s">
        <v>395</v>
      </c>
      <c r="Q68">
        <v>100</v>
      </c>
      <c r="W68">
        <v>0</v>
      </c>
      <c r="X68">
        <v>1709713925</v>
      </c>
      <c r="Y68">
        <v>8</v>
      </c>
      <c r="AA68">
        <v>338.5</v>
      </c>
      <c r="AB68">
        <v>0</v>
      </c>
      <c r="AC68">
        <v>0</v>
      </c>
      <c r="AD68">
        <v>0</v>
      </c>
      <c r="AE68">
        <v>50</v>
      </c>
      <c r="AF68">
        <v>0</v>
      </c>
      <c r="AG68">
        <v>0</v>
      </c>
      <c r="AH68">
        <v>0</v>
      </c>
      <c r="AI68">
        <v>6.77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8</v>
      </c>
      <c r="AU68" t="s">
        <v>6</v>
      </c>
      <c r="AV68">
        <v>0</v>
      </c>
      <c r="AW68">
        <v>2</v>
      </c>
      <c r="AX68">
        <v>16856369</v>
      </c>
      <c r="AY68">
        <v>1</v>
      </c>
      <c r="AZ68">
        <v>0</v>
      </c>
      <c r="BA68">
        <v>81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Y68*Source!I33</f>
        <v>23.552</v>
      </c>
      <c r="CY68">
        <f t="shared" si="17"/>
        <v>338.5</v>
      </c>
      <c r="CZ68">
        <f t="shared" si="18"/>
        <v>50</v>
      </c>
      <c r="DA68">
        <f t="shared" si="19"/>
        <v>6.77</v>
      </c>
      <c r="DB68">
        <f t="shared" si="20"/>
        <v>400</v>
      </c>
      <c r="DC68">
        <f t="shared" si="21"/>
        <v>0</v>
      </c>
    </row>
    <row r="69" spans="1:107" x14ac:dyDescent="0.2">
      <c r="A69">
        <f>ROW(Source!A33)</f>
        <v>33</v>
      </c>
      <c r="B69">
        <v>16856228</v>
      </c>
      <c r="C69">
        <v>16856348</v>
      </c>
      <c r="D69">
        <v>15204239</v>
      </c>
      <c r="E69">
        <v>1</v>
      </c>
      <c r="F69">
        <v>1</v>
      </c>
      <c r="G69">
        <v>1</v>
      </c>
      <c r="H69">
        <v>3</v>
      </c>
      <c r="I69" t="s">
        <v>396</v>
      </c>
      <c r="J69" t="s">
        <v>397</v>
      </c>
      <c r="K69" t="s">
        <v>398</v>
      </c>
      <c r="L69">
        <v>1354</v>
      </c>
      <c r="N69">
        <v>1010</v>
      </c>
      <c r="O69" t="s">
        <v>166</v>
      </c>
      <c r="P69" t="s">
        <v>166</v>
      </c>
      <c r="Q69">
        <v>1</v>
      </c>
      <c r="W69">
        <v>0</v>
      </c>
      <c r="X69">
        <v>-1018551266</v>
      </c>
      <c r="Y69">
        <v>71</v>
      </c>
      <c r="AA69">
        <v>453.59</v>
      </c>
      <c r="AB69">
        <v>0</v>
      </c>
      <c r="AC69">
        <v>0</v>
      </c>
      <c r="AD69">
        <v>0</v>
      </c>
      <c r="AE69">
        <v>67</v>
      </c>
      <c r="AF69">
        <v>0</v>
      </c>
      <c r="AG69">
        <v>0</v>
      </c>
      <c r="AH69">
        <v>0</v>
      </c>
      <c r="AI69">
        <v>6.77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71</v>
      </c>
      <c r="AU69" t="s">
        <v>6</v>
      </c>
      <c r="AV69">
        <v>0</v>
      </c>
      <c r="AW69">
        <v>2</v>
      </c>
      <c r="AX69">
        <v>16856370</v>
      </c>
      <c r="AY69">
        <v>1</v>
      </c>
      <c r="AZ69">
        <v>0</v>
      </c>
      <c r="BA69">
        <v>82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Y69*Source!I33</f>
        <v>209.024</v>
      </c>
      <c r="CY69">
        <f t="shared" si="17"/>
        <v>453.59</v>
      </c>
      <c r="CZ69">
        <f t="shared" si="18"/>
        <v>67</v>
      </c>
      <c r="DA69">
        <f t="shared" si="19"/>
        <v>6.77</v>
      </c>
      <c r="DB69">
        <f t="shared" si="20"/>
        <v>4757</v>
      </c>
      <c r="DC69">
        <f t="shared" si="21"/>
        <v>0</v>
      </c>
    </row>
    <row r="70" spans="1:107" x14ac:dyDescent="0.2">
      <c r="A70">
        <f>ROW(Source!A33)</f>
        <v>33</v>
      </c>
      <c r="B70">
        <v>16856228</v>
      </c>
      <c r="C70">
        <v>16856348</v>
      </c>
      <c r="D70">
        <v>0</v>
      </c>
      <c r="E70">
        <v>0</v>
      </c>
      <c r="F70">
        <v>1</v>
      </c>
      <c r="G70">
        <v>1</v>
      </c>
      <c r="H70">
        <v>3</v>
      </c>
      <c r="I70" t="s">
        <v>62</v>
      </c>
      <c r="J70" t="s">
        <v>6</v>
      </c>
      <c r="K70" t="s">
        <v>63</v>
      </c>
      <c r="L70">
        <v>1327</v>
      </c>
      <c r="N70">
        <v>1005</v>
      </c>
      <c r="O70" t="s">
        <v>64</v>
      </c>
      <c r="P70" t="s">
        <v>64</v>
      </c>
      <c r="Q70">
        <v>1</v>
      </c>
      <c r="W70">
        <v>0</v>
      </c>
      <c r="X70">
        <v>1283265163</v>
      </c>
      <c r="Y70">
        <v>100</v>
      </c>
      <c r="AA70">
        <v>11984.46</v>
      </c>
      <c r="AB70">
        <v>0</v>
      </c>
      <c r="AC70">
        <v>0</v>
      </c>
      <c r="AD70">
        <v>0</v>
      </c>
      <c r="AE70">
        <v>1770.23</v>
      </c>
      <c r="AF70">
        <v>0</v>
      </c>
      <c r="AG70">
        <v>0</v>
      </c>
      <c r="AH70">
        <v>0</v>
      </c>
      <c r="AI70">
        <v>6.77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6</v>
      </c>
      <c r="AT70">
        <v>100</v>
      </c>
      <c r="AU70" t="s">
        <v>6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Y70*Source!I33</f>
        <v>294.39999999999998</v>
      </c>
      <c r="CY70">
        <f t="shared" si="17"/>
        <v>11984.46</v>
      </c>
      <c r="CZ70">
        <f t="shared" si="18"/>
        <v>1770.23</v>
      </c>
      <c r="DA70">
        <f t="shared" si="19"/>
        <v>6.77</v>
      </c>
      <c r="DB70">
        <f t="shared" si="20"/>
        <v>177023</v>
      </c>
      <c r="DC70">
        <f t="shared" si="21"/>
        <v>0</v>
      </c>
    </row>
    <row r="71" spans="1:107" x14ac:dyDescent="0.2">
      <c r="A71">
        <f>ROW(Source!A36)</f>
        <v>36</v>
      </c>
      <c r="B71">
        <v>16856227</v>
      </c>
      <c r="C71">
        <v>16856372</v>
      </c>
      <c r="D71">
        <v>15436014</v>
      </c>
      <c r="E71">
        <v>1</v>
      </c>
      <c r="F71">
        <v>1</v>
      </c>
      <c r="G71">
        <v>1</v>
      </c>
      <c r="H71">
        <v>1</v>
      </c>
      <c r="I71" t="s">
        <v>377</v>
      </c>
      <c r="J71" t="s">
        <v>6</v>
      </c>
      <c r="K71" t="s">
        <v>378</v>
      </c>
      <c r="L71">
        <v>1191</v>
      </c>
      <c r="N71">
        <v>1013</v>
      </c>
      <c r="O71" t="s">
        <v>313</v>
      </c>
      <c r="P71" t="s">
        <v>313</v>
      </c>
      <c r="Q71">
        <v>1</v>
      </c>
      <c r="W71">
        <v>0</v>
      </c>
      <c r="X71">
        <v>-784637506</v>
      </c>
      <c r="Y71">
        <v>167.57799999999997</v>
      </c>
      <c r="AA71">
        <v>0</v>
      </c>
      <c r="AB71">
        <v>0</v>
      </c>
      <c r="AC71">
        <v>0</v>
      </c>
      <c r="AD71">
        <v>8.74</v>
      </c>
      <c r="AE71">
        <v>0</v>
      </c>
      <c r="AF71">
        <v>0</v>
      </c>
      <c r="AG71">
        <v>0</v>
      </c>
      <c r="AH71">
        <v>8.74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145.72</v>
      </c>
      <c r="AU71" t="s">
        <v>57</v>
      </c>
      <c r="AV71">
        <v>1</v>
      </c>
      <c r="AW71">
        <v>2</v>
      </c>
      <c r="AX71">
        <v>16856384</v>
      </c>
      <c r="AY71">
        <v>1</v>
      </c>
      <c r="AZ71">
        <v>0</v>
      </c>
      <c r="BA71">
        <v>83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Y71*Source!I36</f>
        <v>103.86484439999998</v>
      </c>
      <c r="CY71">
        <f>AD71</f>
        <v>8.74</v>
      </c>
      <c r="CZ71">
        <f>AH71</f>
        <v>8.74</v>
      </c>
      <c r="DA71">
        <f>AL71</f>
        <v>1</v>
      </c>
      <c r="DB71">
        <f>ROUND((ROUND(AT71*CZ71,2)*1.15),6)</f>
        <v>1464.6285</v>
      </c>
      <c r="DC71">
        <f>ROUND((ROUND(AT71*AG71,2)*1.15),6)</f>
        <v>0</v>
      </c>
    </row>
    <row r="72" spans="1:107" x14ac:dyDescent="0.2">
      <c r="A72">
        <f>ROW(Source!A36)</f>
        <v>36</v>
      </c>
      <c r="B72">
        <v>16856227</v>
      </c>
      <c r="C72">
        <v>16856372</v>
      </c>
      <c r="D72">
        <v>15430395</v>
      </c>
      <c r="E72">
        <v>1</v>
      </c>
      <c r="F72">
        <v>1</v>
      </c>
      <c r="G72">
        <v>1</v>
      </c>
      <c r="H72">
        <v>1</v>
      </c>
      <c r="I72" t="s">
        <v>316</v>
      </c>
      <c r="J72" t="s">
        <v>6</v>
      </c>
      <c r="K72" t="s">
        <v>317</v>
      </c>
      <c r="L72">
        <v>1191</v>
      </c>
      <c r="N72">
        <v>1013</v>
      </c>
      <c r="O72" t="s">
        <v>313</v>
      </c>
      <c r="P72" t="s">
        <v>313</v>
      </c>
      <c r="Q72">
        <v>1</v>
      </c>
      <c r="W72">
        <v>0</v>
      </c>
      <c r="X72">
        <v>-1417349443</v>
      </c>
      <c r="Y72">
        <v>4.2300000000000004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4.2300000000000004</v>
      </c>
      <c r="AU72" t="s">
        <v>6</v>
      </c>
      <c r="AV72">
        <v>2</v>
      </c>
      <c r="AW72">
        <v>2</v>
      </c>
      <c r="AX72">
        <v>16856385</v>
      </c>
      <c r="AY72">
        <v>1</v>
      </c>
      <c r="AZ72">
        <v>2048</v>
      </c>
      <c r="BA72">
        <v>84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Y72*Source!I36</f>
        <v>2.6217540000000001</v>
      </c>
      <c r="CY72">
        <f>AD72</f>
        <v>0</v>
      </c>
      <c r="CZ72">
        <f>AH72</f>
        <v>0</v>
      </c>
      <c r="DA72">
        <f>AL72</f>
        <v>1</v>
      </c>
      <c r="DB72">
        <f>ROUND(ROUND(AT72*CZ72,2),6)</f>
        <v>0</v>
      </c>
      <c r="DC72">
        <f>ROUND(ROUND(AT72*AG72,2),6)</f>
        <v>0</v>
      </c>
    </row>
    <row r="73" spans="1:107" x14ac:dyDescent="0.2">
      <c r="A73">
        <f>ROW(Source!A36)</f>
        <v>36</v>
      </c>
      <c r="B73">
        <v>16856227</v>
      </c>
      <c r="C73">
        <v>16856372</v>
      </c>
      <c r="D73">
        <v>15247974</v>
      </c>
      <c r="E73">
        <v>1</v>
      </c>
      <c r="F73">
        <v>1</v>
      </c>
      <c r="G73">
        <v>1</v>
      </c>
      <c r="H73">
        <v>2</v>
      </c>
      <c r="I73" t="s">
        <v>318</v>
      </c>
      <c r="J73" t="s">
        <v>319</v>
      </c>
      <c r="K73" t="s">
        <v>320</v>
      </c>
      <c r="L73">
        <v>1368</v>
      </c>
      <c r="N73">
        <v>1011</v>
      </c>
      <c r="O73" t="s">
        <v>321</v>
      </c>
      <c r="P73" t="s">
        <v>321</v>
      </c>
      <c r="Q73">
        <v>1</v>
      </c>
      <c r="W73">
        <v>0</v>
      </c>
      <c r="X73">
        <v>1188625873</v>
      </c>
      <c r="Y73">
        <v>0.82500000000000007</v>
      </c>
      <c r="AA73">
        <v>0</v>
      </c>
      <c r="AB73">
        <v>31.26</v>
      </c>
      <c r="AC73">
        <v>13.5</v>
      </c>
      <c r="AD73">
        <v>0</v>
      </c>
      <c r="AE73">
        <v>0</v>
      </c>
      <c r="AF73">
        <v>31.26</v>
      </c>
      <c r="AG73">
        <v>13.5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0.66</v>
      </c>
      <c r="AU73" t="s">
        <v>56</v>
      </c>
      <c r="AV73">
        <v>0</v>
      </c>
      <c r="AW73">
        <v>2</v>
      </c>
      <c r="AX73">
        <v>16856386</v>
      </c>
      <c r="AY73">
        <v>1</v>
      </c>
      <c r="AZ73">
        <v>0</v>
      </c>
      <c r="BA73">
        <v>85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Y73*Source!I36</f>
        <v>0.51133500000000009</v>
      </c>
      <c r="CY73">
        <f>AB73</f>
        <v>31.26</v>
      </c>
      <c r="CZ73">
        <f>AF73</f>
        <v>31.26</v>
      </c>
      <c r="DA73">
        <f>AJ73</f>
        <v>1</v>
      </c>
      <c r="DB73">
        <f>ROUND((ROUND(AT73*CZ73,2)*1.25),6)</f>
        <v>25.787500000000001</v>
      </c>
      <c r="DC73">
        <f>ROUND((ROUND(AT73*AG73,2)*1.25),6)</f>
        <v>11.137499999999999</v>
      </c>
    </row>
    <row r="74" spans="1:107" x14ac:dyDescent="0.2">
      <c r="A74">
        <f>ROW(Source!A36)</f>
        <v>36</v>
      </c>
      <c r="B74">
        <v>16856227</v>
      </c>
      <c r="C74">
        <v>16856372</v>
      </c>
      <c r="D74">
        <v>15249073</v>
      </c>
      <c r="E74">
        <v>1</v>
      </c>
      <c r="F74">
        <v>1</v>
      </c>
      <c r="G74">
        <v>1</v>
      </c>
      <c r="H74">
        <v>2</v>
      </c>
      <c r="I74" t="s">
        <v>330</v>
      </c>
      <c r="J74" t="s">
        <v>331</v>
      </c>
      <c r="K74" t="s">
        <v>332</v>
      </c>
      <c r="L74">
        <v>1368</v>
      </c>
      <c r="N74">
        <v>1011</v>
      </c>
      <c r="O74" t="s">
        <v>321</v>
      </c>
      <c r="P74" t="s">
        <v>321</v>
      </c>
      <c r="Q74">
        <v>1</v>
      </c>
      <c r="W74">
        <v>0</v>
      </c>
      <c r="X74">
        <v>1372534845</v>
      </c>
      <c r="Y74">
        <v>4.4624999999999995</v>
      </c>
      <c r="AA74">
        <v>0</v>
      </c>
      <c r="AB74">
        <v>65.709999999999994</v>
      </c>
      <c r="AC74">
        <v>11.6</v>
      </c>
      <c r="AD74">
        <v>0</v>
      </c>
      <c r="AE74">
        <v>0</v>
      </c>
      <c r="AF74">
        <v>65.709999999999994</v>
      </c>
      <c r="AG74">
        <v>11.6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3.57</v>
      </c>
      <c r="AU74" t="s">
        <v>56</v>
      </c>
      <c r="AV74">
        <v>0</v>
      </c>
      <c r="AW74">
        <v>2</v>
      </c>
      <c r="AX74">
        <v>16856387</v>
      </c>
      <c r="AY74">
        <v>1</v>
      </c>
      <c r="AZ74">
        <v>0</v>
      </c>
      <c r="BA74">
        <v>86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Y74*Source!I36</f>
        <v>2.7658574999999996</v>
      </c>
      <c r="CY74">
        <f>AB74</f>
        <v>65.709999999999994</v>
      </c>
      <c r="CZ74">
        <f>AF74</f>
        <v>65.709999999999994</v>
      </c>
      <c r="DA74">
        <f>AJ74</f>
        <v>1</v>
      </c>
      <c r="DB74">
        <f>ROUND((ROUND(AT74*CZ74,2)*1.25),6)</f>
        <v>293.22500000000002</v>
      </c>
      <c r="DC74">
        <f>ROUND((ROUND(AT74*AG74,2)*1.25),6)</f>
        <v>51.762500000000003</v>
      </c>
    </row>
    <row r="75" spans="1:107" x14ac:dyDescent="0.2">
      <c r="A75">
        <f>ROW(Source!A36)</f>
        <v>36</v>
      </c>
      <c r="B75">
        <v>16856227</v>
      </c>
      <c r="C75">
        <v>16856372</v>
      </c>
      <c r="D75">
        <v>15167551</v>
      </c>
      <c r="E75">
        <v>1</v>
      </c>
      <c r="F75">
        <v>1</v>
      </c>
      <c r="G75">
        <v>1</v>
      </c>
      <c r="H75">
        <v>3</v>
      </c>
      <c r="I75" t="s">
        <v>379</v>
      </c>
      <c r="J75" t="s">
        <v>380</v>
      </c>
      <c r="K75" t="s">
        <v>381</v>
      </c>
      <c r="L75">
        <v>1301</v>
      </c>
      <c r="N75">
        <v>1003</v>
      </c>
      <c r="O75" t="s">
        <v>90</v>
      </c>
      <c r="P75" t="s">
        <v>90</v>
      </c>
      <c r="Q75">
        <v>1</v>
      </c>
      <c r="W75">
        <v>0</v>
      </c>
      <c r="X75">
        <v>751777312</v>
      </c>
      <c r="Y75">
        <v>244</v>
      </c>
      <c r="AA75">
        <v>6.38</v>
      </c>
      <c r="AB75">
        <v>0</v>
      </c>
      <c r="AC75">
        <v>0</v>
      </c>
      <c r="AD75">
        <v>0</v>
      </c>
      <c r="AE75">
        <v>6.38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244</v>
      </c>
      <c r="AU75" t="s">
        <v>6</v>
      </c>
      <c r="AV75">
        <v>0</v>
      </c>
      <c r="AW75">
        <v>2</v>
      </c>
      <c r="AX75">
        <v>16856388</v>
      </c>
      <c r="AY75">
        <v>1</v>
      </c>
      <c r="AZ75">
        <v>0</v>
      </c>
      <c r="BA75">
        <v>87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Y75*Source!I36</f>
        <v>151.2312</v>
      </c>
      <c r="CY75">
        <f t="shared" ref="CY75:CY81" si="22">AA75</f>
        <v>6.38</v>
      </c>
      <c r="CZ75">
        <f t="shared" ref="CZ75:CZ81" si="23">AE75</f>
        <v>6.38</v>
      </c>
      <c r="DA75">
        <f t="shared" ref="DA75:DA81" si="24">AI75</f>
        <v>1</v>
      </c>
      <c r="DB75">
        <f t="shared" ref="DB75:DB81" si="25">ROUND(ROUND(AT75*CZ75,2),6)</f>
        <v>1556.72</v>
      </c>
      <c r="DC75">
        <f t="shared" ref="DC75:DC81" si="26">ROUND(ROUND(AT75*AG75,2),6)</f>
        <v>0</v>
      </c>
    </row>
    <row r="76" spans="1:107" x14ac:dyDescent="0.2">
      <c r="A76">
        <f>ROW(Source!A36)</f>
        <v>36</v>
      </c>
      <c r="B76">
        <v>16856227</v>
      </c>
      <c r="C76">
        <v>16856372</v>
      </c>
      <c r="D76">
        <v>15167552</v>
      </c>
      <c r="E76">
        <v>1</v>
      </c>
      <c r="F76">
        <v>1</v>
      </c>
      <c r="G76">
        <v>1</v>
      </c>
      <c r="H76">
        <v>3</v>
      </c>
      <c r="I76" t="s">
        <v>382</v>
      </c>
      <c r="J76" t="s">
        <v>383</v>
      </c>
      <c r="K76" t="s">
        <v>384</v>
      </c>
      <c r="L76">
        <v>1301</v>
      </c>
      <c r="N76">
        <v>1003</v>
      </c>
      <c r="O76" t="s">
        <v>90</v>
      </c>
      <c r="P76" t="s">
        <v>90</v>
      </c>
      <c r="Q76">
        <v>1</v>
      </c>
      <c r="W76">
        <v>0</v>
      </c>
      <c r="X76">
        <v>1744203244</v>
      </c>
      <c r="Y76">
        <v>56</v>
      </c>
      <c r="AA76">
        <v>7.95</v>
      </c>
      <c r="AB76">
        <v>0</v>
      </c>
      <c r="AC76">
        <v>0</v>
      </c>
      <c r="AD76">
        <v>0</v>
      </c>
      <c r="AE76">
        <v>7.95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56</v>
      </c>
      <c r="AU76" t="s">
        <v>6</v>
      </c>
      <c r="AV76">
        <v>0</v>
      </c>
      <c r="AW76">
        <v>2</v>
      </c>
      <c r="AX76">
        <v>16856389</v>
      </c>
      <c r="AY76">
        <v>1</v>
      </c>
      <c r="AZ76">
        <v>0</v>
      </c>
      <c r="BA76">
        <v>88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Y76*Source!I36</f>
        <v>34.708800000000004</v>
      </c>
      <c r="CY76">
        <f t="shared" si="22"/>
        <v>7.95</v>
      </c>
      <c r="CZ76">
        <f t="shared" si="23"/>
        <v>7.95</v>
      </c>
      <c r="DA76">
        <f t="shared" si="24"/>
        <v>1</v>
      </c>
      <c r="DB76">
        <f t="shared" si="25"/>
        <v>445.2</v>
      </c>
      <c r="DC76">
        <f t="shared" si="26"/>
        <v>0</v>
      </c>
    </row>
    <row r="77" spans="1:107" x14ac:dyDescent="0.2">
      <c r="A77">
        <f>ROW(Source!A36)</f>
        <v>36</v>
      </c>
      <c r="B77">
        <v>16856227</v>
      </c>
      <c r="C77">
        <v>16856372</v>
      </c>
      <c r="D77">
        <v>15167640</v>
      </c>
      <c r="E77">
        <v>1</v>
      </c>
      <c r="F77">
        <v>1</v>
      </c>
      <c r="G77">
        <v>1</v>
      </c>
      <c r="H77">
        <v>3</v>
      </c>
      <c r="I77" t="s">
        <v>385</v>
      </c>
      <c r="J77" t="s">
        <v>386</v>
      </c>
      <c r="K77" t="s">
        <v>387</v>
      </c>
      <c r="L77">
        <v>1302</v>
      </c>
      <c r="N77">
        <v>1003</v>
      </c>
      <c r="O77" t="s">
        <v>152</v>
      </c>
      <c r="P77" t="s">
        <v>152</v>
      </c>
      <c r="Q77">
        <v>10</v>
      </c>
      <c r="W77">
        <v>0</v>
      </c>
      <c r="X77">
        <v>-405326455</v>
      </c>
      <c r="Y77">
        <v>15.6</v>
      </c>
      <c r="AA77">
        <v>64.099999999999994</v>
      </c>
      <c r="AB77">
        <v>0</v>
      </c>
      <c r="AC77">
        <v>0</v>
      </c>
      <c r="AD77">
        <v>0</v>
      </c>
      <c r="AE77">
        <v>64.099999999999994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15.6</v>
      </c>
      <c r="AU77" t="s">
        <v>6</v>
      </c>
      <c r="AV77">
        <v>0</v>
      </c>
      <c r="AW77">
        <v>2</v>
      </c>
      <c r="AX77">
        <v>16856390</v>
      </c>
      <c r="AY77">
        <v>1</v>
      </c>
      <c r="AZ77">
        <v>0</v>
      </c>
      <c r="BA77">
        <v>89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Y77*Source!I36</f>
        <v>9.6688799999999997</v>
      </c>
      <c r="CY77">
        <f t="shared" si="22"/>
        <v>64.099999999999994</v>
      </c>
      <c r="CZ77">
        <f t="shared" si="23"/>
        <v>64.099999999999994</v>
      </c>
      <c r="DA77">
        <f t="shared" si="24"/>
        <v>1</v>
      </c>
      <c r="DB77">
        <f t="shared" si="25"/>
        <v>999.96</v>
      </c>
      <c r="DC77">
        <f t="shared" si="26"/>
        <v>0</v>
      </c>
    </row>
    <row r="78" spans="1:107" x14ac:dyDescent="0.2">
      <c r="A78">
        <f>ROW(Source!A36)</f>
        <v>36</v>
      </c>
      <c r="B78">
        <v>16856227</v>
      </c>
      <c r="C78">
        <v>16856372</v>
      </c>
      <c r="D78">
        <v>15170065</v>
      </c>
      <c r="E78">
        <v>1</v>
      </c>
      <c r="F78">
        <v>1</v>
      </c>
      <c r="G78">
        <v>1</v>
      </c>
      <c r="H78">
        <v>3</v>
      </c>
      <c r="I78" t="s">
        <v>388</v>
      </c>
      <c r="J78" t="s">
        <v>389</v>
      </c>
      <c r="K78" t="s">
        <v>390</v>
      </c>
      <c r="L78">
        <v>1358</v>
      </c>
      <c r="N78">
        <v>1010</v>
      </c>
      <c r="O78" t="s">
        <v>391</v>
      </c>
      <c r="P78" t="s">
        <v>391</v>
      </c>
      <c r="Q78">
        <v>10</v>
      </c>
      <c r="W78">
        <v>0</v>
      </c>
      <c r="X78">
        <v>-858120743</v>
      </c>
      <c r="Y78">
        <v>38.9</v>
      </c>
      <c r="AA78">
        <v>7.03</v>
      </c>
      <c r="AB78">
        <v>0</v>
      </c>
      <c r="AC78">
        <v>0</v>
      </c>
      <c r="AD78">
        <v>0</v>
      </c>
      <c r="AE78">
        <v>7.03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38.9</v>
      </c>
      <c r="AU78" t="s">
        <v>6</v>
      </c>
      <c r="AV78">
        <v>0</v>
      </c>
      <c r="AW78">
        <v>2</v>
      </c>
      <c r="AX78">
        <v>16856391</v>
      </c>
      <c r="AY78">
        <v>1</v>
      </c>
      <c r="AZ78">
        <v>0</v>
      </c>
      <c r="BA78">
        <v>90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Y78*Source!I36</f>
        <v>24.110219999999998</v>
      </c>
      <c r="CY78">
        <f t="shared" si="22"/>
        <v>7.03</v>
      </c>
      <c r="CZ78">
        <f t="shared" si="23"/>
        <v>7.03</v>
      </c>
      <c r="DA78">
        <f t="shared" si="24"/>
        <v>1</v>
      </c>
      <c r="DB78">
        <f t="shared" si="25"/>
        <v>273.47000000000003</v>
      </c>
      <c r="DC78">
        <f t="shared" si="26"/>
        <v>0</v>
      </c>
    </row>
    <row r="79" spans="1:107" x14ac:dyDescent="0.2">
      <c r="A79">
        <f>ROW(Source!A36)</f>
        <v>36</v>
      </c>
      <c r="B79">
        <v>16856227</v>
      </c>
      <c r="C79">
        <v>16856372</v>
      </c>
      <c r="D79">
        <v>15197780</v>
      </c>
      <c r="E79">
        <v>1</v>
      </c>
      <c r="F79">
        <v>1</v>
      </c>
      <c r="G79">
        <v>1</v>
      </c>
      <c r="H79">
        <v>3</v>
      </c>
      <c r="I79" t="s">
        <v>392</v>
      </c>
      <c r="J79" t="s">
        <v>393</v>
      </c>
      <c r="K79" t="s">
        <v>394</v>
      </c>
      <c r="L79">
        <v>1355</v>
      </c>
      <c r="N79">
        <v>1010</v>
      </c>
      <c r="O79" t="s">
        <v>395</v>
      </c>
      <c r="P79" t="s">
        <v>395</v>
      </c>
      <c r="Q79">
        <v>100</v>
      </c>
      <c r="W79">
        <v>0</v>
      </c>
      <c r="X79">
        <v>1709713925</v>
      </c>
      <c r="Y79">
        <v>8</v>
      </c>
      <c r="AA79">
        <v>50</v>
      </c>
      <c r="AB79">
        <v>0</v>
      </c>
      <c r="AC79">
        <v>0</v>
      </c>
      <c r="AD79">
        <v>0</v>
      </c>
      <c r="AE79">
        <v>50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8</v>
      </c>
      <c r="AU79" t="s">
        <v>6</v>
      </c>
      <c r="AV79">
        <v>0</v>
      </c>
      <c r="AW79">
        <v>2</v>
      </c>
      <c r="AX79">
        <v>16856393</v>
      </c>
      <c r="AY79">
        <v>1</v>
      </c>
      <c r="AZ79">
        <v>0</v>
      </c>
      <c r="BA79">
        <v>92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Y79*Source!I36</f>
        <v>4.9584000000000001</v>
      </c>
      <c r="CY79">
        <f t="shared" si="22"/>
        <v>50</v>
      </c>
      <c r="CZ79">
        <f t="shared" si="23"/>
        <v>50</v>
      </c>
      <c r="DA79">
        <f t="shared" si="24"/>
        <v>1</v>
      </c>
      <c r="DB79">
        <f t="shared" si="25"/>
        <v>400</v>
      </c>
      <c r="DC79">
        <f t="shared" si="26"/>
        <v>0</v>
      </c>
    </row>
    <row r="80" spans="1:107" x14ac:dyDescent="0.2">
      <c r="A80">
        <f>ROW(Source!A36)</f>
        <v>36</v>
      </c>
      <c r="B80">
        <v>16856227</v>
      </c>
      <c r="C80">
        <v>16856372</v>
      </c>
      <c r="D80">
        <v>15204239</v>
      </c>
      <c r="E80">
        <v>1</v>
      </c>
      <c r="F80">
        <v>1</v>
      </c>
      <c r="G80">
        <v>1</v>
      </c>
      <c r="H80">
        <v>3</v>
      </c>
      <c r="I80" t="s">
        <v>396</v>
      </c>
      <c r="J80" t="s">
        <v>397</v>
      </c>
      <c r="K80" t="s">
        <v>398</v>
      </c>
      <c r="L80">
        <v>1354</v>
      </c>
      <c r="N80">
        <v>1010</v>
      </c>
      <c r="O80" t="s">
        <v>166</v>
      </c>
      <c r="P80" t="s">
        <v>166</v>
      </c>
      <c r="Q80">
        <v>1</v>
      </c>
      <c r="W80">
        <v>0</v>
      </c>
      <c r="X80">
        <v>-1018551266</v>
      </c>
      <c r="Y80">
        <v>69</v>
      </c>
      <c r="AA80">
        <v>67</v>
      </c>
      <c r="AB80">
        <v>0</v>
      </c>
      <c r="AC80">
        <v>0</v>
      </c>
      <c r="AD80">
        <v>0</v>
      </c>
      <c r="AE80">
        <v>67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69</v>
      </c>
      <c r="AU80" t="s">
        <v>6</v>
      </c>
      <c r="AV80">
        <v>0</v>
      </c>
      <c r="AW80">
        <v>2</v>
      </c>
      <c r="AX80">
        <v>16856394</v>
      </c>
      <c r="AY80">
        <v>1</v>
      </c>
      <c r="AZ80">
        <v>0</v>
      </c>
      <c r="BA80">
        <v>93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Y80*Source!I36</f>
        <v>42.766199999999998</v>
      </c>
      <c r="CY80">
        <f t="shared" si="22"/>
        <v>67</v>
      </c>
      <c r="CZ80">
        <f t="shared" si="23"/>
        <v>67</v>
      </c>
      <c r="DA80">
        <f t="shared" si="24"/>
        <v>1</v>
      </c>
      <c r="DB80">
        <f t="shared" si="25"/>
        <v>4623</v>
      </c>
      <c r="DC80">
        <f t="shared" si="26"/>
        <v>0</v>
      </c>
    </row>
    <row r="81" spans="1:107" x14ac:dyDescent="0.2">
      <c r="A81">
        <f>ROW(Source!A36)</f>
        <v>36</v>
      </c>
      <c r="B81">
        <v>16856227</v>
      </c>
      <c r="C81">
        <v>16856372</v>
      </c>
      <c r="D81">
        <v>0</v>
      </c>
      <c r="E81">
        <v>0</v>
      </c>
      <c r="F81">
        <v>1</v>
      </c>
      <c r="G81">
        <v>1</v>
      </c>
      <c r="H81">
        <v>3</v>
      </c>
      <c r="I81" t="s">
        <v>62</v>
      </c>
      <c r="J81" t="s">
        <v>6</v>
      </c>
      <c r="K81" t="s">
        <v>71</v>
      </c>
      <c r="L81">
        <v>1327</v>
      </c>
      <c r="N81">
        <v>1005</v>
      </c>
      <c r="O81" t="s">
        <v>64</v>
      </c>
      <c r="P81" t="s">
        <v>64</v>
      </c>
      <c r="Q81">
        <v>1</v>
      </c>
      <c r="W81">
        <v>0</v>
      </c>
      <c r="X81">
        <v>97305372</v>
      </c>
      <c r="Y81">
        <v>100.01613399999999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6</v>
      </c>
      <c r="AT81">
        <v>100.01613399999999</v>
      </c>
      <c r="AU81" t="s">
        <v>6</v>
      </c>
      <c r="AV81">
        <v>0</v>
      </c>
      <c r="AW81">
        <v>1</v>
      </c>
      <c r="AX81">
        <v>-1</v>
      </c>
      <c r="AY81">
        <v>0</v>
      </c>
      <c r="AZ81">
        <v>0</v>
      </c>
      <c r="BA81" t="s">
        <v>6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Y81*Source!I36</f>
        <v>61.989999853199997</v>
      </c>
      <c r="CY81">
        <f t="shared" si="22"/>
        <v>0</v>
      </c>
      <c r="CZ81">
        <f t="shared" si="23"/>
        <v>0</v>
      </c>
      <c r="DA81">
        <f t="shared" si="24"/>
        <v>1</v>
      </c>
      <c r="DB81">
        <f t="shared" si="25"/>
        <v>0</v>
      </c>
      <c r="DC81">
        <f t="shared" si="26"/>
        <v>0</v>
      </c>
    </row>
    <row r="82" spans="1:107" x14ac:dyDescent="0.2">
      <c r="A82">
        <f>ROW(Source!A37)</f>
        <v>37</v>
      </c>
      <c r="B82">
        <v>16856228</v>
      </c>
      <c r="C82">
        <v>16856372</v>
      </c>
      <c r="D82">
        <v>15436014</v>
      </c>
      <c r="E82">
        <v>1</v>
      </c>
      <c r="F82">
        <v>1</v>
      </c>
      <c r="G82">
        <v>1</v>
      </c>
      <c r="H82">
        <v>1</v>
      </c>
      <c r="I82" t="s">
        <v>377</v>
      </c>
      <c r="J82" t="s">
        <v>6</v>
      </c>
      <c r="K82" t="s">
        <v>378</v>
      </c>
      <c r="L82">
        <v>1191</v>
      </c>
      <c r="N82">
        <v>1013</v>
      </c>
      <c r="O82" t="s">
        <v>313</v>
      </c>
      <c r="P82" t="s">
        <v>313</v>
      </c>
      <c r="Q82">
        <v>1</v>
      </c>
      <c r="W82">
        <v>0</v>
      </c>
      <c r="X82">
        <v>-784637506</v>
      </c>
      <c r="Y82">
        <v>167.57799999999997</v>
      </c>
      <c r="AA82">
        <v>0</v>
      </c>
      <c r="AB82">
        <v>0</v>
      </c>
      <c r="AC82">
        <v>0</v>
      </c>
      <c r="AD82">
        <v>59.17</v>
      </c>
      <c r="AE82">
        <v>0</v>
      </c>
      <c r="AF82">
        <v>0</v>
      </c>
      <c r="AG82">
        <v>0</v>
      </c>
      <c r="AH82">
        <v>8.74</v>
      </c>
      <c r="AI82">
        <v>1</v>
      </c>
      <c r="AJ82">
        <v>1</v>
      </c>
      <c r="AK82">
        <v>1</v>
      </c>
      <c r="AL82">
        <v>6.77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145.72</v>
      </c>
      <c r="AU82" t="s">
        <v>57</v>
      </c>
      <c r="AV82">
        <v>1</v>
      </c>
      <c r="AW82">
        <v>2</v>
      </c>
      <c r="AX82">
        <v>16856384</v>
      </c>
      <c r="AY82">
        <v>1</v>
      </c>
      <c r="AZ82">
        <v>0</v>
      </c>
      <c r="BA82">
        <v>94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Y82*Source!I37</f>
        <v>103.86484439999998</v>
      </c>
      <c r="CY82">
        <f>AD82</f>
        <v>59.17</v>
      </c>
      <c r="CZ82">
        <f>AH82</f>
        <v>8.74</v>
      </c>
      <c r="DA82">
        <f>AL82</f>
        <v>6.77</v>
      </c>
      <c r="DB82">
        <f>ROUND((ROUND(AT82*CZ82,2)*1.15),6)</f>
        <v>1464.6285</v>
      </c>
      <c r="DC82">
        <f>ROUND((ROUND(AT82*AG82,2)*1.15),6)</f>
        <v>0</v>
      </c>
    </row>
    <row r="83" spans="1:107" x14ac:dyDescent="0.2">
      <c r="A83">
        <f>ROW(Source!A37)</f>
        <v>37</v>
      </c>
      <c r="B83">
        <v>16856228</v>
      </c>
      <c r="C83">
        <v>16856372</v>
      </c>
      <c r="D83">
        <v>15430395</v>
      </c>
      <c r="E83">
        <v>1</v>
      </c>
      <c r="F83">
        <v>1</v>
      </c>
      <c r="G83">
        <v>1</v>
      </c>
      <c r="H83">
        <v>1</v>
      </c>
      <c r="I83" t="s">
        <v>316</v>
      </c>
      <c r="J83" t="s">
        <v>6</v>
      </c>
      <c r="K83" t="s">
        <v>317</v>
      </c>
      <c r="L83">
        <v>1191</v>
      </c>
      <c r="N83">
        <v>1013</v>
      </c>
      <c r="O83" t="s">
        <v>313</v>
      </c>
      <c r="P83" t="s">
        <v>313</v>
      </c>
      <c r="Q83">
        <v>1</v>
      </c>
      <c r="W83">
        <v>0</v>
      </c>
      <c r="X83">
        <v>-1417349443</v>
      </c>
      <c r="Y83">
        <v>4.2300000000000004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6.77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4.2300000000000004</v>
      </c>
      <c r="AU83" t="s">
        <v>6</v>
      </c>
      <c r="AV83">
        <v>2</v>
      </c>
      <c r="AW83">
        <v>2</v>
      </c>
      <c r="AX83">
        <v>16856385</v>
      </c>
      <c r="AY83">
        <v>1</v>
      </c>
      <c r="AZ83">
        <v>2048</v>
      </c>
      <c r="BA83">
        <v>95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Y83*Source!I37</f>
        <v>2.6217540000000001</v>
      </c>
      <c r="CY83">
        <f>AD83</f>
        <v>0</v>
      </c>
      <c r="CZ83">
        <f>AH83</f>
        <v>0</v>
      </c>
      <c r="DA83">
        <f>AL83</f>
        <v>1</v>
      </c>
      <c r="DB83">
        <f>ROUND(ROUND(AT83*CZ83,2),6)</f>
        <v>0</v>
      </c>
      <c r="DC83">
        <f>ROUND(ROUND(AT83*AG83,2),6)</f>
        <v>0</v>
      </c>
    </row>
    <row r="84" spans="1:107" x14ac:dyDescent="0.2">
      <c r="A84">
        <f>ROW(Source!A37)</f>
        <v>37</v>
      </c>
      <c r="B84">
        <v>16856228</v>
      </c>
      <c r="C84">
        <v>16856372</v>
      </c>
      <c r="D84">
        <v>15247974</v>
      </c>
      <c r="E84">
        <v>1</v>
      </c>
      <c r="F84">
        <v>1</v>
      </c>
      <c r="G84">
        <v>1</v>
      </c>
      <c r="H84">
        <v>2</v>
      </c>
      <c r="I84" t="s">
        <v>318</v>
      </c>
      <c r="J84" t="s">
        <v>319</v>
      </c>
      <c r="K84" t="s">
        <v>320</v>
      </c>
      <c r="L84">
        <v>1368</v>
      </c>
      <c r="N84">
        <v>1011</v>
      </c>
      <c r="O84" t="s">
        <v>321</v>
      </c>
      <c r="P84" t="s">
        <v>321</v>
      </c>
      <c r="Q84">
        <v>1</v>
      </c>
      <c r="W84">
        <v>0</v>
      </c>
      <c r="X84">
        <v>1188625873</v>
      </c>
      <c r="Y84">
        <v>0.82500000000000007</v>
      </c>
      <c r="AA84">
        <v>0</v>
      </c>
      <c r="AB84">
        <v>211.63</v>
      </c>
      <c r="AC84">
        <v>13.5</v>
      </c>
      <c r="AD84">
        <v>0</v>
      </c>
      <c r="AE84">
        <v>0</v>
      </c>
      <c r="AF84">
        <v>31.26</v>
      </c>
      <c r="AG84">
        <v>13.5</v>
      </c>
      <c r="AH84">
        <v>0</v>
      </c>
      <c r="AI84">
        <v>1</v>
      </c>
      <c r="AJ84">
        <v>6.77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0.66</v>
      </c>
      <c r="AU84" t="s">
        <v>56</v>
      </c>
      <c r="AV84">
        <v>0</v>
      </c>
      <c r="AW84">
        <v>2</v>
      </c>
      <c r="AX84">
        <v>16856386</v>
      </c>
      <c r="AY84">
        <v>1</v>
      </c>
      <c r="AZ84">
        <v>0</v>
      </c>
      <c r="BA84">
        <v>96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Y84*Source!I37</f>
        <v>0.51133500000000009</v>
      </c>
      <c r="CY84">
        <f>AB84</f>
        <v>211.63</v>
      </c>
      <c r="CZ84">
        <f>AF84</f>
        <v>31.26</v>
      </c>
      <c r="DA84">
        <f>AJ84</f>
        <v>6.77</v>
      </c>
      <c r="DB84">
        <f>ROUND((ROUND(AT84*CZ84,2)*1.25),6)</f>
        <v>25.787500000000001</v>
      </c>
      <c r="DC84">
        <f>ROUND((ROUND(AT84*AG84,2)*1.25),6)</f>
        <v>11.137499999999999</v>
      </c>
    </row>
    <row r="85" spans="1:107" x14ac:dyDescent="0.2">
      <c r="A85">
        <f>ROW(Source!A37)</f>
        <v>37</v>
      </c>
      <c r="B85">
        <v>16856228</v>
      </c>
      <c r="C85">
        <v>16856372</v>
      </c>
      <c r="D85">
        <v>15249073</v>
      </c>
      <c r="E85">
        <v>1</v>
      </c>
      <c r="F85">
        <v>1</v>
      </c>
      <c r="G85">
        <v>1</v>
      </c>
      <c r="H85">
        <v>2</v>
      </c>
      <c r="I85" t="s">
        <v>330</v>
      </c>
      <c r="J85" t="s">
        <v>331</v>
      </c>
      <c r="K85" t="s">
        <v>332</v>
      </c>
      <c r="L85">
        <v>1368</v>
      </c>
      <c r="N85">
        <v>1011</v>
      </c>
      <c r="O85" t="s">
        <v>321</v>
      </c>
      <c r="P85" t="s">
        <v>321</v>
      </c>
      <c r="Q85">
        <v>1</v>
      </c>
      <c r="W85">
        <v>0</v>
      </c>
      <c r="X85">
        <v>1372534845</v>
      </c>
      <c r="Y85">
        <v>4.4624999999999995</v>
      </c>
      <c r="AA85">
        <v>0</v>
      </c>
      <c r="AB85">
        <v>444.86</v>
      </c>
      <c r="AC85">
        <v>11.6</v>
      </c>
      <c r="AD85">
        <v>0</v>
      </c>
      <c r="AE85">
        <v>0</v>
      </c>
      <c r="AF85">
        <v>65.709999999999994</v>
      </c>
      <c r="AG85">
        <v>11.6</v>
      </c>
      <c r="AH85">
        <v>0</v>
      </c>
      <c r="AI85">
        <v>1</v>
      </c>
      <c r="AJ85">
        <v>6.77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3.57</v>
      </c>
      <c r="AU85" t="s">
        <v>56</v>
      </c>
      <c r="AV85">
        <v>0</v>
      </c>
      <c r="AW85">
        <v>2</v>
      </c>
      <c r="AX85">
        <v>16856387</v>
      </c>
      <c r="AY85">
        <v>1</v>
      </c>
      <c r="AZ85">
        <v>0</v>
      </c>
      <c r="BA85">
        <v>97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Y85*Source!I37</f>
        <v>2.7658574999999996</v>
      </c>
      <c r="CY85">
        <f>AB85</f>
        <v>444.86</v>
      </c>
      <c r="CZ85">
        <f>AF85</f>
        <v>65.709999999999994</v>
      </c>
      <c r="DA85">
        <f>AJ85</f>
        <v>6.77</v>
      </c>
      <c r="DB85">
        <f>ROUND((ROUND(AT85*CZ85,2)*1.25),6)</f>
        <v>293.22500000000002</v>
      </c>
      <c r="DC85">
        <f>ROUND((ROUND(AT85*AG85,2)*1.25),6)</f>
        <v>51.762500000000003</v>
      </c>
    </row>
    <row r="86" spans="1:107" x14ac:dyDescent="0.2">
      <c r="A86">
        <f>ROW(Source!A37)</f>
        <v>37</v>
      </c>
      <c r="B86">
        <v>16856228</v>
      </c>
      <c r="C86">
        <v>16856372</v>
      </c>
      <c r="D86">
        <v>15167551</v>
      </c>
      <c r="E86">
        <v>1</v>
      </c>
      <c r="F86">
        <v>1</v>
      </c>
      <c r="G86">
        <v>1</v>
      </c>
      <c r="H86">
        <v>3</v>
      </c>
      <c r="I86" t="s">
        <v>379</v>
      </c>
      <c r="J86" t="s">
        <v>380</v>
      </c>
      <c r="K86" t="s">
        <v>381</v>
      </c>
      <c r="L86">
        <v>1301</v>
      </c>
      <c r="N86">
        <v>1003</v>
      </c>
      <c r="O86" t="s">
        <v>90</v>
      </c>
      <c r="P86" t="s">
        <v>90</v>
      </c>
      <c r="Q86">
        <v>1</v>
      </c>
      <c r="W86">
        <v>0</v>
      </c>
      <c r="X86">
        <v>751777312</v>
      </c>
      <c r="Y86">
        <v>244</v>
      </c>
      <c r="AA86">
        <v>43.19</v>
      </c>
      <c r="AB86">
        <v>0</v>
      </c>
      <c r="AC86">
        <v>0</v>
      </c>
      <c r="AD86">
        <v>0</v>
      </c>
      <c r="AE86">
        <v>6.38</v>
      </c>
      <c r="AF86">
        <v>0</v>
      </c>
      <c r="AG86">
        <v>0</v>
      </c>
      <c r="AH86">
        <v>0</v>
      </c>
      <c r="AI86">
        <v>6.77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244</v>
      </c>
      <c r="AU86" t="s">
        <v>6</v>
      </c>
      <c r="AV86">
        <v>0</v>
      </c>
      <c r="AW86">
        <v>2</v>
      </c>
      <c r="AX86">
        <v>16856388</v>
      </c>
      <c r="AY86">
        <v>1</v>
      </c>
      <c r="AZ86">
        <v>0</v>
      </c>
      <c r="BA86">
        <v>98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Y86*Source!I37</f>
        <v>151.2312</v>
      </c>
      <c r="CY86">
        <f t="shared" ref="CY86:CY92" si="27">AA86</f>
        <v>43.19</v>
      </c>
      <c r="CZ86">
        <f t="shared" ref="CZ86:CZ92" si="28">AE86</f>
        <v>6.38</v>
      </c>
      <c r="DA86">
        <f t="shared" ref="DA86:DA92" si="29">AI86</f>
        <v>6.77</v>
      </c>
      <c r="DB86">
        <f t="shared" ref="DB86:DB92" si="30">ROUND(ROUND(AT86*CZ86,2),6)</f>
        <v>1556.72</v>
      </c>
      <c r="DC86">
        <f t="shared" ref="DC86:DC92" si="31">ROUND(ROUND(AT86*AG86,2),6)</f>
        <v>0</v>
      </c>
    </row>
    <row r="87" spans="1:107" x14ac:dyDescent="0.2">
      <c r="A87">
        <f>ROW(Source!A37)</f>
        <v>37</v>
      </c>
      <c r="B87">
        <v>16856228</v>
      </c>
      <c r="C87">
        <v>16856372</v>
      </c>
      <c r="D87">
        <v>15167552</v>
      </c>
      <c r="E87">
        <v>1</v>
      </c>
      <c r="F87">
        <v>1</v>
      </c>
      <c r="G87">
        <v>1</v>
      </c>
      <c r="H87">
        <v>3</v>
      </c>
      <c r="I87" t="s">
        <v>382</v>
      </c>
      <c r="J87" t="s">
        <v>383</v>
      </c>
      <c r="K87" t="s">
        <v>384</v>
      </c>
      <c r="L87">
        <v>1301</v>
      </c>
      <c r="N87">
        <v>1003</v>
      </c>
      <c r="O87" t="s">
        <v>90</v>
      </c>
      <c r="P87" t="s">
        <v>90</v>
      </c>
      <c r="Q87">
        <v>1</v>
      </c>
      <c r="W87">
        <v>0</v>
      </c>
      <c r="X87">
        <v>1744203244</v>
      </c>
      <c r="Y87">
        <v>56</v>
      </c>
      <c r="AA87">
        <v>53.82</v>
      </c>
      <c r="AB87">
        <v>0</v>
      </c>
      <c r="AC87">
        <v>0</v>
      </c>
      <c r="AD87">
        <v>0</v>
      </c>
      <c r="AE87">
        <v>7.95</v>
      </c>
      <c r="AF87">
        <v>0</v>
      </c>
      <c r="AG87">
        <v>0</v>
      </c>
      <c r="AH87">
        <v>0</v>
      </c>
      <c r="AI87">
        <v>6.77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56</v>
      </c>
      <c r="AU87" t="s">
        <v>6</v>
      </c>
      <c r="AV87">
        <v>0</v>
      </c>
      <c r="AW87">
        <v>2</v>
      </c>
      <c r="AX87">
        <v>16856389</v>
      </c>
      <c r="AY87">
        <v>1</v>
      </c>
      <c r="AZ87">
        <v>0</v>
      </c>
      <c r="BA87">
        <v>99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Y87*Source!I37</f>
        <v>34.708800000000004</v>
      </c>
      <c r="CY87">
        <f t="shared" si="27"/>
        <v>53.82</v>
      </c>
      <c r="CZ87">
        <f t="shared" si="28"/>
        <v>7.95</v>
      </c>
      <c r="DA87">
        <f t="shared" si="29"/>
        <v>6.77</v>
      </c>
      <c r="DB87">
        <f t="shared" si="30"/>
        <v>445.2</v>
      </c>
      <c r="DC87">
        <f t="shared" si="31"/>
        <v>0</v>
      </c>
    </row>
    <row r="88" spans="1:107" x14ac:dyDescent="0.2">
      <c r="A88">
        <f>ROW(Source!A37)</f>
        <v>37</v>
      </c>
      <c r="B88">
        <v>16856228</v>
      </c>
      <c r="C88">
        <v>16856372</v>
      </c>
      <c r="D88">
        <v>15167640</v>
      </c>
      <c r="E88">
        <v>1</v>
      </c>
      <c r="F88">
        <v>1</v>
      </c>
      <c r="G88">
        <v>1</v>
      </c>
      <c r="H88">
        <v>3</v>
      </c>
      <c r="I88" t="s">
        <v>385</v>
      </c>
      <c r="J88" t="s">
        <v>386</v>
      </c>
      <c r="K88" t="s">
        <v>387</v>
      </c>
      <c r="L88">
        <v>1302</v>
      </c>
      <c r="N88">
        <v>1003</v>
      </c>
      <c r="O88" t="s">
        <v>152</v>
      </c>
      <c r="P88" t="s">
        <v>152</v>
      </c>
      <c r="Q88">
        <v>10</v>
      </c>
      <c r="W88">
        <v>0</v>
      </c>
      <c r="X88">
        <v>-405326455</v>
      </c>
      <c r="Y88">
        <v>15.6</v>
      </c>
      <c r="AA88">
        <v>433.96</v>
      </c>
      <c r="AB88">
        <v>0</v>
      </c>
      <c r="AC88">
        <v>0</v>
      </c>
      <c r="AD88">
        <v>0</v>
      </c>
      <c r="AE88">
        <v>64.099999999999994</v>
      </c>
      <c r="AF88">
        <v>0</v>
      </c>
      <c r="AG88">
        <v>0</v>
      </c>
      <c r="AH88">
        <v>0</v>
      </c>
      <c r="AI88">
        <v>6.77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15.6</v>
      </c>
      <c r="AU88" t="s">
        <v>6</v>
      </c>
      <c r="AV88">
        <v>0</v>
      </c>
      <c r="AW88">
        <v>2</v>
      </c>
      <c r="AX88">
        <v>16856390</v>
      </c>
      <c r="AY88">
        <v>1</v>
      </c>
      <c r="AZ88">
        <v>0</v>
      </c>
      <c r="BA88">
        <v>100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Y88*Source!I37</f>
        <v>9.6688799999999997</v>
      </c>
      <c r="CY88">
        <f t="shared" si="27"/>
        <v>433.96</v>
      </c>
      <c r="CZ88">
        <f t="shared" si="28"/>
        <v>64.099999999999994</v>
      </c>
      <c r="DA88">
        <f t="shared" si="29"/>
        <v>6.77</v>
      </c>
      <c r="DB88">
        <f t="shared" si="30"/>
        <v>999.96</v>
      </c>
      <c r="DC88">
        <f t="shared" si="31"/>
        <v>0</v>
      </c>
    </row>
    <row r="89" spans="1:107" x14ac:dyDescent="0.2">
      <c r="A89">
        <f>ROW(Source!A37)</f>
        <v>37</v>
      </c>
      <c r="B89">
        <v>16856228</v>
      </c>
      <c r="C89">
        <v>16856372</v>
      </c>
      <c r="D89">
        <v>15170065</v>
      </c>
      <c r="E89">
        <v>1</v>
      </c>
      <c r="F89">
        <v>1</v>
      </c>
      <c r="G89">
        <v>1</v>
      </c>
      <c r="H89">
        <v>3</v>
      </c>
      <c r="I89" t="s">
        <v>388</v>
      </c>
      <c r="J89" t="s">
        <v>389</v>
      </c>
      <c r="K89" t="s">
        <v>390</v>
      </c>
      <c r="L89">
        <v>1358</v>
      </c>
      <c r="N89">
        <v>1010</v>
      </c>
      <c r="O89" t="s">
        <v>391</v>
      </c>
      <c r="P89" t="s">
        <v>391</v>
      </c>
      <c r="Q89">
        <v>10</v>
      </c>
      <c r="W89">
        <v>0</v>
      </c>
      <c r="X89">
        <v>-858120743</v>
      </c>
      <c r="Y89">
        <v>38.9</v>
      </c>
      <c r="AA89">
        <v>47.59</v>
      </c>
      <c r="AB89">
        <v>0</v>
      </c>
      <c r="AC89">
        <v>0</v>
      </c>
      <c r="AD89">
        <v>0</v>
      </c>
      <c r="AE89">
        <v>7.03</v>
      </c>
      <c r="AF89">
        <v>0</v>
      </c>
      <c r="AG89">
        <v>0</v>
      </c>
      <c r="AH89">
        <v>0</v>
      </c>
      <c r="AI89">
        <v>6.77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38.9</v>
      </c>
      <c r="AU89" t="s">
        <v>6</v>
      </c>
      <c r="AV89">
        <v>0</v>
      </c>
      <c r="AW89">
        <v>2</v>
      </c>
      <c r="AX89">
        <v>16856391</v>
      </c>
      <c r="AY89">
        <v>1</v>
      </c>
      <c r="AZ89">
        <v>0</v>
      </c>
      <c r="BA89">
        <v>101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Y89*Source!I37</f>
        <v>24.110219999999998</v>
      </c>
      <c r="CY89">
        <f t="shared" si="27"/>
        <v>47.59</v>
      </c>
      <c r="CZ89">
        <f t="shared" si="28"/>
        <v>7.03</v>
      </c>
      <c r="DA89">
        <f t="shared" si="29"/>
        <v>6.77</v>
      </c>
      <c r="DB89">
        <f t="shared" si="30"/>
        <v>273.47000000000003</v>
      </c>
      <c r="DC89">
        <f t="shared" si="31"/>
        <v>0</v>
      </c>
    </row>
    <row r="90" spans="1:107" x14ac:dyDescent="0.2">
      <c r="A90">
        <f>ROW(Source!A37)</f>
        <v>37</v>
      </c>
      <c r="B90">
        <v>16856228</v>
      </c>
      <c r="C90">
        <v>16856372</v>
      </c>
      <c r="D90">
        <v>15197780</v>
      </c>
      <c r="E90">
        <v>1</v>
      </c>
      <c r="F90">
        <v>1</v>
      </c>
      <c r="G90">
        <v>1</v>
      </c>
      <c r="H90">
        <v>3</v>
      </c>
      <c r="I90" t="s">
        <v>392</v>
      </c>
      <c r="J90" t="s">
        <v>393</v>
      </c>
      <c r="K90" t="s">
        <v>394</v>
      </c>
      <c r="L90">
        <v>1355</v>
      </c>
      <c r="N90">
        <v>1010</v>
      </c>
      <c r="O90" t="s">
        <v>395</v>
      </c>
      <c r="P90" t="s">
        <v>395</v>
      </c>
      <c r="Q90">
        <v>100</v>
      </c>
      <c r="W90">
        <v>0</v>
      </c>
      <c r="X90">
        <v>1709713925</v>
      </c>
      <c r="Y90">
        <v>8</v>
      </c>
      <c r="AA90">
        <v>338.5</v>
      </c>
      <c r="AB90">
        <v>0</v>
      </c>
      <c r="AC90">
        <v>0</v>
      </c>
      <c r="AD90">
        <v>0</v>
      </c>
      <c r="AE90">
        <v>50</v>
      </c>
      <c r="AF90">
        <v>0</v>
      </c>
      <c r="AG90">
        <v>0</v>
      </c>
      <c r="AH90">
        <v>0</v>
      </c>
      <c r="AI90">
        <v>6.77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8</v>
      </c>
      <c r="AU90" t="s">
        <v>6</v>
      </c>
      <c r="AV90">
        <v>0</v>
      </c>
      <c r="AW90">
        <v>2</v>
      </c>
      <c r="AX90">
        <v>16856393</v>
      </c>
      <c r="AY90">
        <v>1</v>
      </c>
      <c r="AZ90">
        <v>0</v>
      </c>
      <c r="BA90">
        <v>103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Y90*Source!I37</f>
        <v>4.9584000000000001</v>
      </c>
      <c r="CY90">
        <f t="shared" si="27"/>
        <v>338.5</v>
      </c>
      <c r="CZ90">
        <f t="shared" si="28"/>
        <v>50</v>
      </c>
      <c r="DA90">
        <f t="shared" si="29"/>
        <v>6.77</v>
      </c>
      <c r="DB90">
        <f t="shared" si="30"/>
        <v>400</v>
      </c>
      <c r="DC90">
        <f t="shared" si="31"/>
        <v>0</v>
      </c>
    </row>
    <row r="91" spans="1:107" x14ac:dyDescent="0.2">
      <c r="A91">
        <f>ROW(Source!A37)</f>
        <v>37</v>
      </c>
      <c r="B91">
        <v>16856228</v>
      </c>
      <c r="C91">
        <v>16856372</v>
      </c>
      <c r="D91">
        <v>15204239</v>
      </c>
      <c r="E91">
        <v>1</v>
      </c>
      <c r="F91">
        <v>1</v>
      </c>
      <c r="G91">
        <v>1</v>
      </c>
      <c r="H91">
        <v>3</v>
      </c>
      <c r="I91" t="s">
        <v>396</v>
      </c>
      <c r="J91" t="s">
        <v>397</v>
      </c>
      <c r="K91" t="s">
        <v>398</v>
      </c>
      <c r="L91">
        <v>1354</v>
      </c>
      <c r="N91">
        <v>1010</v>
      </c>
      <c r="O91" t="s">
        <v>166</v>
      </c>
      <c r="P91" t="s">
        <v>166</v>
      </c>
      <c r="Q91">
        <v>1</v>
      </c>
      <c r="W91">
        <v>0</v>
      </c>
      <c r="X91">
        <v>-1018551266</v>
      </c>
      <c r="Y91">
        <v>69</v>
      </c>
      <c r="AA91">
        <v>453.59</v>
      </c>
      <c r="AB91">
        <v>0</v>
      </c>
      <c r="AC91">
        <v>0</v>
      </c>
      <c r="AD91">
        <v>0</v>
      </c>
      <c r="AE91">
        <v>67</v>
      </c>
      <c r="AF91">
        <v>0</v>
      </c>
      <c r="AG91">
        <v>0</v>
      </c>
      <c r="AH91">
        <v>0</v>
      </c>
      <c r="AI91">
        <v>6.77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69</v>
      </c>
      <c r="AU91" t="s">
        <v>6</v>
      </c>
      <c r="AV91">
        <v>0</v>
      </c>
      <c r="AW91">
        <v>2</v>
      </c>
      <c r="AX91">
        <v>16856394</v>
      </c>
      <c r="AY91">
        <v>1</v>
      </c>
      <c r="AZ91">
        <v>0</v>
      </c>
      <c r="BA91">
        <v>104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Y91*Source!I37</f>
        <v>42.766199999999998</v>
      </c>
      <c r="CY91">
        <f t="shared" si="27"/>
        <v>453.59</v>
      </c>
      <c r="CZ91">
        <f t="shared" si="28"/>
        <v>67</v>
      </c>
      <c r="DA91">
        <f t="shared" si="29"/>
        <v>6.77</v>
      </c>
      <c r="DB91">
        <f t="shared" si="30"/>
        <v>4623</v>
      </c>
      <c r="DC91">
        <f t="shared" si="31"/>
        <v>0</v>
      </c>
    </row>
    <row r="92" spans="1:107" x14ac:dyDescent="0.2">
      <c r="A92">
        <f>ROW(Source!A37)</f>
        <v>37</v>
      </c>
      <c r="B92">
        <v>16856228</v>
      </c>
      <c r="C92">
        <v>16856372</v>
      </c>
      <c r="D92">
        <v>0</v>
      </c>
      <c r="E92">
        <v>0</v>
      </c>
      <c r="F92">
        <v>1</v>
      </c>
      <c r="G92">
        <v>1</v>
      </c>
      <c r="H92">
        <v>3</v>
      </c>
      <c r="I92" t="s">
        <v>62</v>
      </c>
      <c r="J92" t="s">
        <v>6</v>
      </c>
      <c r="K92" t="s">
        <v>71</v>
      </c>
      <c r="L92">
        <v>1327</v>
      </c>
      <c r="N92">
        <v>1005</v>
      </c>
      <c r="O92" t="s">
        <v>64</v>
      </c>
      <c r="P92" t="s">
        <v>64</v>
      </c>
      <c r="Q92">
        <v>1</v>
      </c>
      <c r="W92">
        <v>0</v>
      </c>
      <c r="X92">
        <v>97305372</v>
      </c>
      <c r="Y92">
        <v>100.01613399999999</v>
      </c>
      <c r="AA92">
        <v>10595.66</v>
      </c>
      <c r="AB92">
        <v>0</v>
      </c>
      <c r="AC92">
        <v>0</v>
      </c>
      <c r="AD92">
        <v>0</v>
      </c>
      <c r="AE92">
        <v>1565.09</v>
      </c>
      <c r="AF92">
        <v>0</v>
      </c>
      <c r="AG92">
        <v>0</v>
      </c>
      <c r="AH92">
        <v>0</v>
      </c>
      <c r="AI92">
        <v>6.77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6</v>
      </c>
      <c r="AT92">
        <v>100.01613399999999</v>
      </c>
      <c r="AU92" t="s">
        <v>6</v>
      </c>
      <c r="AV92">
        <v>0</v>
      </c>
      <c r="AW92">
        <v>1</v>
      </c>
      <c r="AX92">
        <v>-1</v>
      </c>
      <c r="AY92">
        <v>0</v>
      </c>
      <c r="AZ92">
        <v>0</v>
      </c>
      <c r="BA92" t="s">
        <v>6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Y92*Source!I37</f>
        <v>61.989999853199997</v>
      </c>
      <c r="CY92">
        <f t="shared" si="27"/>
        <v>10595.66</v>
      </c>
      <c r="CZ92">
        <f t="shared" si="28"/>
        <v>1565.09</v>
      </c>
      <c r="DA92">
        <f t="shared" si="29"/>
        <v>6.77</v>
      </c>
      <c r="DB92">
        <f t="shared" si="30"/>
        <v>156534.25</v>
      </c>
      <c r="DC92">
        <f t="shared" si="31"/>
        <v>0</v>
      </c>
    </row>
    <row r="93" spans="1:107" x14ac:dyDescent="0.2">
      <c r="A93">
        <f>ROW(Source!A40)</f>
        <v>40</v>
      </c>
      <c r="B93">
        <v>16856227</v>
      </c>
      <c r="C93">
        <v>16856396</v>
      </c>
      <c r="D93">
        <v>15436014</v>
      </c>
      <c r="E93">
        <v>1</v>
      </c>
      <c r="F93">
        <v>1</v>
      </c>
      <c r="G93">
        <v>1</v>
      </c>
      <c r="H93">
        <v>1</v>
      </c>
      <c r="I93" t="s">
        <v>377</v>
      </c>
      <c r="J93" t="s">
        <v>6</v>
      </c>
      <c r="K93" t="s">
        <v>378</v>
      </c>
      <c r="L93">
        <v>1191</v>
      </c>
      <c r="N93">
        <v>1013</v>
      </c>
      <c r="O93" t="s">
        <v>313</v>
      </c>
      <c r="P93" t="s">
        <v>313</v>
      </c>
      <c r="Q93">
        <v>1</v>
      </c>
      <c r="W93">
        <v>0</v>
      </c>
      <c r="X93">
        <v>-784637506</v>
      </c>
      <c r="Y93">
        <v>158.0445</v>
      </c>
      <c r="AA93">
        <v>0</v>
      </c>
      <c r="AB93">
        <v>0</v>
      </c>
      <c r="AC93">
        <v>0</v>
      </c>
      <c r="AD93">
        <v>8.74</v>
      </c>
      <c r="AE93">
        <v>0</v>
      </c>
      <c r="AF93">
        <v>0</v>
      </c>
      <c r="AG93">
        <v>0</v>
      </c>
      <c r="AH93">
        <v>8.74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137.43</v>
      </c>
      <c r="AU93" t="s">
        <v>57</v>
      </c>
      <c r="AV93">
        <v>1</v>
      </c>
      <c r="AW93">
        <v>2</v>
      </c>
      <c r="AX93">
        <v>16856409</v>
      </c>
      <c r="AY93">
        <v>1</v>
      </c>
      <c r="AZ93">
        <v>0</v>
      </c>
      <c r="BA93">
        <v>105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Y93*Source!I40</f>
        <v>10.478350349999999</v>
      </c>
      <c r="CY93">
        <f>AD93</f>
        <v>8.74</v>
      </c>
      <c r="CZ93">
        <f>AH93</f>
        <v>8.74</v>
      </c>
      <c r="DA93">
        <f>AL93</f>
        <v>1</v>
      </c>
      <c r="DB93">
        <f>ROUND((ROUND(AT93*CZ93,2)*1.15),6)</f>
        <v>1381.3109999999999</v>
      </c>
      <c r="DC93">
        <f>ROUND((ROUND(AT93*AG93,2)*1.15),6)</f>
        <v>0</v>
      </c>
    </row>
    <row r="94" spans="1:107" x14ac:dyDescent="0.2">
      <c r="A94">
        <f>ROW(Source!A40)</f>
        <v>40</v>
      </c>
      <c r="B94">
        <v>16856227</v>
      </c>
      <c r="C94">
        <v>16856396</v>
      </c>
      <c r="D94">
        <v>15430395</v>
      </c>
      <c r="E94">
        <v>1</v>
      </c>
      <c r="F94">
        <v>1</v>
      </c>
      <c r="G94">
        <v>1</v>
      </c>
      <c r="H94">
        <v>1</v>
      </c>
      <c r="I94" t="s">
        <v>316</v>
      </c>
      <c r="J94" t="s">
        <v>6</v>
      </c>
      <c r="K94" t="s">
        <v>317</v>
      </c>
      <c r="L94">
        <v>1191</v>
      </c>
      <c r="N94">
        <v>1013</v>
      </c>
      <c r="O94" t="s">
        <v>313</v>
      </c>
      <c r="P94" t="s">
        <v>313</v>
      </c>
      <c r="Q94">
        <v>1</v>
      </c>
      <c r="W94">
        <v>0</v>
      </c>
      <c r="X94">
        <v>-1417349443</v>
      </c>
      <c r="Y94">
        <v>4.2300000000000004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4.2300000000000004</v>
      </c>
      <c r="AU94" t="s">
        <v>6</v>
      </c>
      <c r="AV94">
        <v>2</v>
      </c>
      <c r="AW94">
        <v>2</v>
      </c>
      <c r="AX94">
        <v>16856410</v>
      </c>
      <c r="AY94">
        <v>1</v>
      </c>
      <c r="AZ94">
        <v>2048</v>
      </c>
      <c r="BA94">
        <v>106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Y94*Source!I40</f>
        <v>0.280449</v>
      </c>
      <c r="CY94">
        <f>AD94</f>
        <v>0</v>
      </c>
      <c r="CZ94">
        <f>AH94</f>
        <v>0</v>
      </c>
      <c r="DA94">
        <f>AL94</f>
        <v>1</v>
      </c>
      <c r="DB94">
        <f>ROUND(ROUND(AT94*CZ94,2),6)</f>
        <v>0</v>
      </c>
      <c r="DC94">
        <f>ROUND(ROUND(AT94*AG94,2),6)</f>
        <v>0</v>
      </c>
    </row>
    <row r="95" spans="1:107" x14ac:dyDescent="0.2">
      <c r="A95">
        <f>ROW(Source!A40)</f>
        <v>40</v>
      </c>
      <c r="B95">
        <v>16856227</v>
      </c>
      <c r="C95">
        <v>16856396</v>
      </c>
      <c r="D95">
        <v>15247974</v>
      </c>
      <c r="E95">
        <v>1</v>
      </c>
      <c r="F95">
        <v>1</v>
      </c>
      <c r="G95">
        <v>1</v>
      </c>
      <c r="H95">
        <v>2</v>
      </c>
      <c r="I95" t="s">
        <v>318</v>
      </c>
      <c r="J95" t="s">
        <v>319</v>
      </c>
      <c r="K95" t="s">
        <v>320</v>
      </c>
      <c r="L95">
        <v>1368</v>
      </c>
      <c r="N95">
        <v>1011</v>
      </c>
      <c r="O95" t="s">
        <v>321</v>
      </c>
      <c r="P95" t="s">
        <v>321</v>
      </c>
      <c r="Q95">
        <v>1</v>
      </c>
      <c r="W95">
        <v>0</v>
      </c>
      <c r="X95">
        <v>1188625873</v>
      </c>
      <c r="Y95">
        <v>0.82500000000000007</v>
      </c>
      <c r="AA95">
        <v>0</v>
      </c>
      <c r="AB95">
        <v>31.26</v>
      </c>
      <c r="AC95">
        <v>13.5</v>
      </c>
      <c r="AD95">
        <v>0</v>
      </c>
      <c r="AE95">
        <v>0</v>
      </c>
      <c r="AF95">
        <v>31.26</v>
      </c>
      <c r="AG95">
        <v>13.5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0.66</v>
      </c>
      <c r="AU95" t="s">
        <v>56</v>
      </c>
      <c r="AV95">
        <v>0</v>
      </c>
      <c r="AW95">
        <v>2</v>
      </c>
      <c r="AX95">
        <v>16856411</v>
      </c>
      <c r="AY95">
        <v>1</v>
      </c>
      <c r="AZ95">
        <v>0</v>
      </c>
      <c r="BA95">
        <v>107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Y95*Source!I40</f>
        <v>5.4697500000000003E-2</v>
      </c>
      <c r="CY95">
        <f>AB95</f>
        <v>31.26</v>
      </c>
      <c r="CZ95">
        <f>AF95</f>
        <v>31.26</v>
      </c>
      <c r="DA95">
        <f>AJ95</f>
        <v>1</v>
      </c>
      <c r="DB95">
        <f>ROUND((ROUND(AT95*CZ95,2)*1.25),6)</f>
        <v>25.787500000000001</v>
      </c>
      <c r="DC95">
        <f>ROUND((ROUND(AT95*AG95,2)*1.25),6)</f>
        <v>11.137499999999999</v>
      </c>
    </row>
    <row r="96" spans="1:107" x14ac:dyDescent="0.2">
      <c r="A96">
        <f>ROW(Source!A40)</f>
        <v>40</v>
      </c>
      <c r="B96">
        <v>16856227</v>
      </c>
      <c r="C96">
        <v>16856396</v>
      </c>
      <c r="D96">
        <v>15249073</v>
      </c>
      <c r="E96">
        <v>1</v>
      </c>
      <c r="F96">
        <v>1</v>
      </c>
      <c r="G96">
        <v>1</v>
      </c>
      <c r="H96">
        <v>2</v>
      </c>
      <c r="I96" t="s">
        <v>330</v>
      </c>
      <c r="J96" t="s">
        <v>331</v>
      </c>
      <c r="K96" t="s">
        <v>332</v>
      </c>
      <c r="L96">
        <v>1368</v>
      </c>
      <c r="N96">
        <v>1011</v>
      </c>
      <c r="O96" t="s">
        <v>321</v>
      </c>
      <c r="P96" t="s">
        <v>321</v>
      </c>
      <c r="Q96">
        <v>1</v>
      </c>
      <c r="W96">
        <v>0</v>
      </c>
      <c r="X96">
        <v>1372534845</v>
      </c>
      <c r="Y96">
        <v>4.4624999999999995</v>
      </c>
      <c r="AA96">
        <v>0</v>
      </c>
      <c r="AB96">
        <v>65.709999999999994</v>
      </c>
      <c r="AC96">
        <v>11.6</v>
      </c>
      <c r="AD96">
        <v>0</v>
      </c>
      <c r="AE96">
        <v>0</v>
      </c>
      <c r="AF96">
        <v>65.709999999999994</v>
      </c>
      <c r="AG96">
        <v>11.6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3.57</v>
      </c>
      <c r="AU96" t="s">
        <v>56</v>
      </c>
      <c r="AV96">
        <v>0</v>
      </c>
      <c r="AW96">
        <v>2</v>
      </c>
      <c r="AX96">
        <v>16856412</v>
      </c>
      <c r="AY96">
        <v>1</v>
      </c>
      <c r="AZ96">
        <v>0</v>
      </c>
      <c r="BA96">
        <v>108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Y96*Source!I40</f>
        <v>0.29586374999999998</v>
      </c>
      <c r="CY96">
        <f>AB96</f>
        <v>65.709999999999994</v>
      </c>
      <c r="CZ96">
        <f>AF96</f>
        <v>65.709999999999994</v>
      </c>
      <c r="DA96">
        <f>AJ96</f>
        <v>1</v>
      </c>
      <c r="DB96">
        <f>ROUND((ROUND(AT96*CZ96,2)*1.25),6)</f>
        <v>293.22500000000002</v>
      </c>
      <c r="DC96">
        <f>ROUND((ROUND(AT96*AG96,2)*1.25),6)</f>
        <v>51.762500000000003</v>
      </c>
    </row>
    <row r="97" spans="1:107" x14ac:dyDescent="0.2">
      <c r="A97">
        <f>ROW(Source!A40)</f>
        <v>40</v>
      </c>
      <c r="B97">
        <v>16856227</v>
      </c>
      <c r="C97">
        <v>16856396</v>
      </c>
      <c r="D97">
        <v>15167551</v>
      </c>
      <c r="E97">
        <v>1</v>
      </c>
      <c r="F97">
        <v>1</v>
      </c>
      <c r="G97">
        <v>1</v>
      </c>
      <c r="H97">
        <v>3</v>
      </c>
      <c r="I97" t="s">
        <v>379</v>
      </c>
      <c r="J97" t="s">
        <v>380</v>
      </c>
      <c r="K97" t="s">
        <v>381</v>
      </c>
      <c r="L97">
        <v>1301</v>
      </c>
      <c r="N97">
        <v>1003</v>
      </c>
      <c r="O97" t="s">
        <v>90</v>
      </c>
      <c r="P97" t="s">
        <v>90</v>
      </c>
      <c r="Q97">
        <v>1</v>
      </c>
      <c r="W97">
        <v>0</v>
      </c>
      <c r="X97">
        <v>751777312</v>
      </c>
      <c r="Y97">
        <v>230</v>
      </c>
      <c r="AA97">
        <v>6.38</v>
      </c>
      <c r="AB97">
        <v>0</v>
      </c>
      <c r="AC97">
        <v>0</v>
      </c>
      <c r="AD97">
        <v>0</v>
      </c>
      <c r="AE97">
        <v>6.38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230</v>
      </c>
      <c r="AU97" t="s">
        <v>6</v>
      </c>
      <c r="AV97">
        <v>0</v>
      </c>
      <c r="AW97">
        <v>2</v>
      </c>
      <c r="AX97">
        <v>16856413</v>
      </c>
      <c r="AY97">
        <v>1</v>
      </c>
      <c r="AZ97">
        <v>0</v>
      </c>
      <c r="BA97">
        <v>109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Y97*Source!I40</f>
        <v>15.248999999999999</v>
      </c>
      <c r="CY97">
        <f t="shared" ref="CY97:CY104" si="32">AA97</f>
        <v>6.38</v>
      </c>
      <c r="CZ97">
        <f t="shared" ref="CZ97:CZ104" si="33">AE97</f>
        <v>6.38</v>
      </c>
      <c r="DA97">
        <f t="shared" ref="DA97:DA104" si="34">AI97</f>
        <v>1</v>
      </c>
      <c r="DB97">
        <f t="shared" ref="DB97:DB104" si="35">ROUND(ROUND(AT97*CZ97,2),6)</f>
        <v>1467.4</v>
      </c>
      <c r="DC97">
        <f t="shared" ref="DC97:DC104" si="36">ROUND(ROUND(AT97*AG97,2),6)</f>
        <v>0</v>
      </c>
    </row>
    <row r="98" spans="1:107" x14ac:dyDescent="0.2">
      <c r="A98">
        <f>ROW(Source!A40)</f>
        <v>40</v>
      </c>
      <c r="B98">
        <v>16856227</v>
      </c>
      <c r="C98">
        <v>16856396</v>
      </c>
      <c r="D98">
        <v>15167552</v>
      </c>
      <c r="E98">
        <v>1</v>
      </c>
      <c r="F98">
        <v>1</v>
      </c>
      <c r="G98">
        <v>1</v>
      </c>
      <c r="H98">
        <v>3</v>
      </c>
      <c r="I98" t="s">
        <v>382</v>
      </c>
      <c r="J98" t="s">
        <v>383</v>
      </c>
      <c r="K98" t="s">
        <v>384</v>
      </c>
      <c r="L98">
        <v>1301</v>
      </c>
      <c r="N98">
        <v>1003</v>
      </c>
      <c r="O98" t="s">
        <v>90</v>
      </c>
      <c r="P98" t="s">
        <v>90</v>
      </c>
      <c r="Q98">
        <v>1</v>
      </c>
      <c r="W98">
        <v>0</v>
      </c>
      <c r="X98">
        <v>1744203244</v>
      </c>
      <c r="Y98">
        <v>50</v>
      </c>
      <c r="AA98">
        <v>7.95</v>
      </c>
      <c r="AB98">
        <v>0</v>
      </c>
      <c r="AC98">
        <v>0</v>
      </c>
      <c r="AD98">
        <v>0</v>
      </c>
      <c r="AE98">
        <v>7.95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50</v>
      </c>
      <c r="AU98" t="s">
        <v>6</v>
      </c>
      <c r="AV98">
        <v>0</v>
      </c>
      <c r="AW98">
        <v>2</v>
      </c>
      <c r="AX98">
        <v>16856414</v>
      </c>
      <c r="AY98">
        <v>1</v>
      </c>
      <c r="AZ98">
        <v>0</v>
      </c>
      <c r="BA98">
        <v>110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Y98*Source!I40</f>
        <v>3.3149999999999999</v>
      </c>
      <c r="CY98">
        <f t="shared" si="32"/>
        <v>7.95</v>
      </c>
      <c r="CZ98">
        <f t="shared" si="33"/>
        <v>7.95</v>
      </c>
      <c r="DA98">
        <f t="shared" si="34"/>
        <v>1</v>
      </c>
      <c r="DB98">
        <f t="shared" si="35"/>
        <v>397.5</v>
      </c>
      <c r="DC98">
        <f t="shared" si="36"/>
        <v>0</v>
      </c>
    </row>
    <row r="99" spans="1:107" x14ac:dyDescent="0.2">
      <c r="A99">
        <f>ROW(Source!A40)</f>
        <v>40</v>
      </c>
      <c r="B99">
        <v>16856227</v>
      </c>
      <c r="C99">
        <v>16856396</v>
      </c>
      <c r="D99">
        <v>15167640</v>
      </c>
      <c r="E99">
        <v>1</v>
      </c>
      <c r="F99">
        <v>1</v>
      </c>
      <c r="G99">
        <v>1</v>
      </c>
      <c r="H99">
        <v>3</v>
      </c>
      <c r="I99" t="s">
        <v>385</v>
      </c>
      <c r="J99" t="s">
        <v>386</v>
      </c>
      <c r="K99" t="s">
        <v>387</v>
      </c>
      <c r="L99">
        <v>1302</v>
      </c>
      <c r="N99">
        <v>1003</v>
      </c>
      <c r="O99" t="s">
        <v>152</v>
      </c>
      <c r="P99" t="s">
        <v>152</v>
      </c>
      <c r="Q99">
        <v>10</v>
      </c>
      <c r="W99">
        <v>0</v>
      </c>
      <c r="X99">
        <v>-405326455</v>
      </c>
      <c r="Y99">
        <v>15</v>
      </c>
      <c r="AA99">
        <v>64.099999999999994</v>
      </c>
      <c r="AB99">
        <v>0</v>
      </c>
      <c r="AC99">
        <v>0</v>
      </c>
      <c r="AD99">
        <v>0</v>
      </c>
      <c r="AE99">
        <v>64.099999999999994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15</v>
      </c>
      <c r="AU99" t="s">
        <v>6</v>
      </c>
      <c r="AV99">
        <v>0</v>
      </c>
      <c r="AW99">
        <v>2</v>
      </c>
      <c r="AX99">
        <v>16856415</v>
      </c>
      <c r="AY99">
        <v>1</v>
      </c>
      <c r="AZ99">
        <v>0</v>
      </c>
      <c r="BA99">
        <v>111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Y99*Source!I40</f>
        <v>0.99449999999999994</v>
      </c>
      <c r="CY99">
        <f t="shared" si="32"/>
        <v>64.099999999999994</v>
      </c>
      <c r="CZ99">
        <f t="shared" si="33"/>
        <v>64.099999999999994</v>
      </c>
      <c r="DA99">
        <f t="shared" si="34"/>
        <v>1</v>
      </c>
      <c r="DB99">
        <f t="shared" si="35"/>
        <v>961.5</v>
      </c>
      <c r="DC99">
        <f t="shared" si="36"/>
        <v>0</v>
      </c>
    </row>
    <row r="100" spans="1:107" x14ac:dyDescent="0.2">
      <c r="A100">
        <f>ROW(Source!A40)</f>
        <v>40</v>
      </c>
      <c r="B100">
        <v>16856227</v>
      </c>
      <c r="C100">
        <v>16856396</v>
      </c>
      <c r="D100">
        <v>15170065</v>
      </c>
      <c r="E100">
        <v>1</v>
      </c>
      <c r="F100">
        <v>1</v>
      </c>
      <c r="G100">
        <v>1</v>
      </c>
      <c r="H100">
        <v>3</v>
      </c>
      <c r="I100" t="s">
        <v>388</v>
      </c>
      <c r="J100" t="s">
        <v>389</v>
      </c>
      <c r="K100" t="s">
        <v>390</v>
      </c>
      <c r="L100">
        <v>1358</v>
      </c>
      <c r="N100">
        <v>1010</v>
      </c>
      <c r="O100" t="s">
        <v>391</v>
      </c>
      <c r="P100" t="s">
        <v>391</v>
      </c>
      <c r="Q100">
        <v>10</v>
      </c>
      <c r="W100">
        <v>0</v>
      </c>
      <c r="X100">
        <v>-858120743</v>
      </c>
      <c r="Y100">
        <v>30</v>
      </c>
      <c r="AA100">
        <v>7.03</v>
      </c>
      <c r="AB100">
        <v>0</v>
      </c>
      <c r="AC100">
        <v>0</v>
      </c>
      <c r="AD100">
        <v>0</v>
      </c>
      <c r="AE100">
        <v>7.03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30</v>
      </c>
      <c r="AU100" t="s">
        <v>6</v>
      </c>
      <c r="AV100">
        <v>0</v>
      </c>
      <c r="AW100">
        <v>2</v>
      </c>
      <c r="AX100">
        <v>16856416</v>
      </c>
      <c r="AY100">
        <v>1</v>
      </c>
      <c r="AZ100">
        <v>0</v>
      </c>
      <c r="BA100">
        <v>112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Y100*Source!I40</f>
        <v>1.9889999999999999</v>
      </c>
      <c r="CY100">
        <f t="shared" si="32"/>
        <v>7.03</v>
      </c>
      <c r="CZ100">
        <f t="shared" si="33"/>
        <v>7.03</v>
      </c>
      <c r="DA100">
        <f t="shared" si="34"/>
        <v>1</v>
      </c>
      <c r="DB100">
        <f t="shared" si="35"/>
        <v>210.9</v>
      </c>
      <c r="DC100">
        <f t="shared" si="36"/>
        <v>0</v>
      </c>
    </row>
    <row r="101" spans="1:107" x14ac:dyDescent="0.2">
      <c r="A101">
        <f>ROW(Source!A40)</f>
        <v>40</v>
      </c>
      <c r="B101">
        <v>16856227</v>
      </c>
      <c r="C101">
        <v>16856396</v>
      </c>
      <c r="D101">
        <v>15162466</v>
      </c>
      <c r="E101">
        <v>17</v>
      </c>
      <c r="F101">
        <v>1</v>
      </c>
      <c r="G101">
        <v>1</v>
      </c>
      <c r="H101">
        <v>3</v>
      </c>
      <c r="I101" t="s">
        <v>78</v>
      </c>
      <c r="J101" t="s">
        <v>6</v>
      </c>
      <c r="K101" t="s">
        <v>79</v>
      </c>
      <c r="L101">
        <v>1327</v>
      </c>
      <c r="N101">
        <v>1005</v>
      </c>
      <c r="O101" t="s">
        <v>64</v>
      </c>
      <c r="P101" t="s">
        <v>64</v>
      </c>
      <c r="Q101">
        <v>1</v>
      </c>
      <c r="W101">
        <v>0</v>
      </c>
      <c r="X101">
        <v>1219964505</v>
      </c>
      <c r="Y101">
        <v>100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6</v>
      </c>
      <c r="AT101">
        <v>100</v>
      </c>
      <c r="AU101" t="s">
        <v>6</v>
      </c>
      <c r="AV101">
        <v>0</v>
      </c>
      <c r="AW101">
        <v>2</v>
      </c>
      <c r="AX101">
        <v>16856417</v>
      </c>
      <c r="AY101">
        <v>1</v>
      </c>
      <c r="AZ101">
        <v>0</v>
      </c>
      <c r="BA101">
        <v>113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Y101*Source!I40</f>
        <v>6.63</v>
      </c>
      <c r="CY101">
        <f t="shared" si="32"/>
        <v>0</v>
      </c>
      <c r="CZ101">
        <f t="shared" si="33"/>
        <v>0</v>
      </c>
      <c r="DA101">
        <f t="shared" si="34"/>
        <v>1</v>
      </c>
      <c r="DB101">
        <f t="shared" si="35"/>
        <v>0</v>
      </c>
      <c r="DC101">
        <f t="shared" si="36"/>
        <v>0</v>
      </c>
    </row>
    <row r="102" spans="1:107" x14ac:dyDescent="0.2">
      <c r="A102">
        <f>ROW(Source!A40)</f>
        <v>40</v>
      </c>
      <c r="B102">
        <v>16856227</v>
      </c>
      <c r="C102">
        <v>16856396</v>
      </c>
      <c r="D102">
        <v>15197780</v>
      </c>
      <c r="E102">
        <v>1</v>
      </c>
      <c r="F102">
        <v>1</v>
      </c>
      <c r="G102">
        <v>1</v>
      </c>
      <c r="H102">
        <v>3</v>
      </c>
      <c r="I102" t="s">
        <v>392</v>
      </c>
      <c r="J102" t="s">
        <v>393</v>
      </c>
      <c r="K102" t="s">
        <v>394</v>
      </c>
      <c r="L102">
        <v>1355</v>
      </c>
      <c r="N102">
        <v>1010</v>
      </c>
      <c r="O102" t="s">
        <v>395</v>
      </c>
      <c r="P102" t="s">
        <v>395</v>
      </c>
      <c r="Q102">
        <v>100</v>
      </c>
      <c r="W102">
        <v>0</v>
      </c>
      <c r="X102">
        <v>1709713925</v>
      </c>
      <c r="Y102">
        <v>8</v>
      </c>
      <c r="AA102">
        <v>50</v>
      </c>
      <c r="AB102">
        <v>0</v>
      </c>
      <c r="AC102">
        <v>0</v>
      </c>
      <c r="AD102">
        <v>0</v>
      </c>
      <c r="AE102">
        <v>50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8</v>
      </c>
      <c r="AU102" t="s">
        <v>6</v>
      </c>
      <c r="AV102">
        <v>0</v>
      </c>
      <c r="AW102">
        <v>2</v>
      </c>
      <c r="AX102">
        <v>16856418</v>
      </c>
      <c r="AY102">
        <v>1</v>
      </c>
      <c r="AZ102">
        <v>0</v>
      </c>
      <c r="BA102">
        <v>114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Y102*Source!I40</f>
        <v>0.53039999999999998</v>
      </c>
      <c r="CY102">
        <f t="shared" si="32"/>
        <v>50</v>
      </c>
      <c r="CZ102">
        <f t="shared" si="33"/>
        <v>50</v>
      </c>
      <c r="DA102">
        <f t="shared" si="34"/>
        <v>1</v>
      </c>
      <c r="DB102">
        <f t="shared" si="35"/>
        <v>400</v>
      </c>
      <c r="DC102">
        <f t="shared" si="36"/>
        <v>0</v>
      </c>
    </row>
    <row r="103" spans="1:107" x14ac:dyDescent="0.2">
      <c r="A103">
        <f>ROW(Source!A40)</f>
        <v>40</v>
      </c>
      <c r="B103">
        <v>16856227</v>
      </c>
      <c r="C103">
        <v>16856396</v>
      </c>
      <c r="D103">
        <v>15204239</v>
      </c>
      <c r="E103">
        <v>1</v>
      </c>
      <c r="F103">
        <v>1</v>
      </c>
      <c r="G103">
        <v>1</v>
      </c>
      <c r="H103">
        <v>3</v>
      </c>
      <c r="I103" t="s">
        <v>396</v>
      </c>
      <c r="J103" t="s">
        <v>397</v>
      </c>
      <c r="K103" t="s">
        <v>398</v>
      </c>
      <c r="L103">
        <v>1354</v>
      </c>
      <c r="N103">
        <v>1010</v>
      </c>
      <c r="O103" t="s">
        <v>166</v>
      </c>
      <c r="P103" t="s">
        <v>166</v>
      </c>
      <c r="Q103">
        <v>1</v>
      </c>
      <c r="W103">
        <v>0</v>
      </c>
      <c r="X103">
        <v>-1018551266</v>
      </c>
      <c r="Y103">
        <v>66</v>
      </c>
      <c r="AA103">
        <v>67</v>
      </c>
      <c r="AB103">
        <v>0</v>
      </c>
      <c r="AC103">
        <v>0</v>
      </c>
      <c r="AD103">
        <v>0</v>
      </c>
      <c r="AE103">
        <v>67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66</v>
      </c>
      <c r="AU103" t="s">
        <v>6</v>
      </c>
      <c r="AV103">
        <v>0</v>
      </c>
      <c r="AW103">
        <v>2</v>
      </c>
      <c r="AX103">
        <v>16856419</v>
      </c>
      <c r="AY103">
        <v>1</v>
      </c>
      <c r="AZ103">
        <v>0</v>
      </c>
      <c r="BA103">
        <v>115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Y103*Source!I40</f>
        <v>4.3757999999999999</v>
      </c>
      <c r="CY103">
        <f t="shared" si="32"/>
        <v>67</v>
      </c>
      <c r="CZ103">
        <f t="shared" si="33"/>
        <v>67</v>
      </c>
      <c r="DA103">
        <f t="shared" si="34"/>
        <v>1</v>
      </c>
      <c r="DB103">
        <f t="shared" si="35"/>
        <v>4422</v>
      </c>
      <c r="DC103">
        <f t="shared" si="36"/>
        <v>0</v>
      </c>
    </row>
    <row r="104" spans="1:107" x14ac:dyDescent="0.2">
      <c r="A104">
        <f>ROW(Source!A40)</f>
        <v>40</v>
      </c>
      <c r="B104">
        <v>16856227</v>
      </c>
      <c r="C104">
        <v>16856396</v>
      </c>
      <c r="D104">
        <v>0</v>
      </c>
      <c r="E104">
        <v>0</v>
      </c>
      <c r="F104">
        <v>1</v>
      </c>
      <c r="G104">
        <v>1</v>
      </c>
      <c r="H104">
        <v>3</v>
      </c>
      <c r="I104" t="s">
        <v>62</v>
      </c>
      <c r="J104" t="s">
        <v>6</v>
      </c>
      <c r="K104" t="s">
        <v>81</v>
      </c>
      <c r="L104">
        <v>1327</v>
      </c>
      <c r="N104">
        <v>1005</v>
      </c>
      <c r="O104" t="s">
        <v>64</v>
      </c>
      <c r="P104" t="s">
        <v>64</v>
      </c>
      <c r="Q104">
        <v>1</v>
      </c>
      <c r="W104">
        <v>0</v>
      </c>
      <c r="X104">
        <v>2091989820</v>
      </c>
      <c r="Y104">
        <v>100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</v>
      </c>
      <c r="AT104">
        <v>100</v>
      </c>
      <c r="AU104" t="s">
        <v>6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Y104*Source!I40</f>
        <v>6.63</v>
      </c>
      <c r="CY104">
        <f t="shared" si="32"/>
        <v>0</v>
      </c>
      <c r="CZ104">
        <f t="shared" si="33"/>
        <v>0</v>
      </c>
      <c r="DA104">
        <f t="shared" si="34"/>
        <v>1</v>
      </c>
      <c r="DB104">
        <f t="shared" si="35"/>
        <v>0</v>
      </c>
      <c r="DC104">
        <f t="shared" si="36"/>
        <v>0</v>
      </c>
    </row>
    <row r="105" spans="1:107" x14ac:dyDescent="0.2">
      <c r="A105">
        <f>ROW(Source!A41)</f>
        <v>41</v>
      </c>
      <c r="B105">
        <v>16856228</v>
      </c>
      <c r="C105">
        <v>16856396</v>
      </c>
      <c r="D105">
        <v>15436014</v>
      </c>
      <c r="E105">
        <v>1</v>
      </c>
      <c r="F105">
        <v>1</v>
      </c>
      <c r="G105">
        <v>1</v>
      </c>
      <c r="H105">
        <v>1</v>
      </c>
      <c r="I105" t="s">
        <v>377</v>
      </c>
      <c r="J105" t="s">
        <v>6</v>
      </c>
      <c r="K105" t="s">
        <v>378</v>
      </c>
      <c r="L105">
        <v>1191</v>
      </c>
      <c r="N105">
        <v>1013</v>
      </c>
      <c r="O105" t="s">
        <v>313</v>
      </c>
      <c r="P105" t="s">
        <v>313</v>
      </c>
      <c r="Q105">
        <v>1</v>
      </c>
      <c r="W105">
        <v>0</v>
      </c>
      <c r="X105">
        <v>-784637506</v>
      </c>
      <c r="Y105">
        <v>158.0445</v>
      </c>
      <c r="AA105">
        <v>0</v>
      </c>
      <c r="AB105">
        <v>0</v>
      </c>
      <c r="AC105">
        <v>0</v>
      </c>
      <c r="AD105">
        <v>59.17</v>
      </c>
      <c r="AE105">
        <v>0</v>
      </c>
      <c r="AF105">
        <v>0</v>
      </c>
      <c r="AG105">
        <v>0</v>
      </c>
      <c r="AH105">
        <v>8.74</v>
      </c>
      <c r="AI105">
        <v>1</v>
      </c>
      <c r="AJ105">
        <v>1</v>
      </c>
      <c r="AK105">
        <v>1</v>
      </c>
      <c r="AL105">
        <v>6.77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6</v>
      </c>
      <c r="AT105">
        <v>137.43</v>
      </c>
      <c r="AU105" t="s">
        <v>57</v>
      </c>
      <c r="AV105">
        <v>1</v>
      </c>
      <c r="AW105">
        <v>2</v>
      </c>
      <c r="AX105">
        <v>16856409</v>
      </c>
      <c r="AY105">
        <v>1</v>
      </c>
      <c r="AZ105">
        <v>0</v>
      </c>
      <c r="BA105">
        <v>116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Y105*Source!I41</f>
        <v>10.478350349999999</v>
      </c>
      <c r="CY105">
        <f>AD105</f>
        <v>59.17</v>
      </c>
      <c r="CZ105">
        <f>AH105</f>
        <v>8.74</v>
      </c>
      <c r="DA105">
        <f>AL105</f>
        <v>6.77</v>
      </c>
      <c r="DB105">
        <f>ROUND((ROUND(AT105*CZ105,2)*1.15),6)</f>
        <v>1381.3109999999999</v>
      </c>
      <c r="DC105">
        <f>ROUND((ROUND(AT105*AG105,2)*1.15),6)</f>
        <v>0</v>
      </c>
    </row>
    <row r="106" spans="1:107" x14ac:dyDescent="0.2">
      <c r="A106">
        <f>ROW(Source!A41)</f>
        <v>41</v>
      </c>
      <c r="B106">
        <v>16856228</v>
      </c>
      <c r="C106">
        <v>16856396</v>
      </c>
      <c r="D106">
        <v>15430395</v>
      </c>
      <c r="E106">
        <v>1</v>
      </c>
      <c r="F106">
        <v>1</v>
      </c>
      <c r="G106">
        <v>1</v>
      </c>
      <c r="H106">
        <v>1</v>
      </c>
      <c r="I106" t="s">
        <v>316</v>
      </c>
      <c r="J106" t="s">
        <v>6</v>
      </c>
      <c r="K106" t="s">
        <v>317</v>
      </c>
      <c r="L106">
        <v>1191</v>
      </c>
      <c r="N106">
        <v>1013</v>
      </c>
      <c r="O106" t="s">
        <v>313</v>
      </c>
      <c r="P106" t="s">
        <v>313</v>
      </c>
      <c r="Q106">
        <v>1</v>
      </c>
      <c r="W106">
        <v>0</v>
      </c>
      <c r="X106">
        <v>-1417349443</v>
      </c>
      <c r="Y106">
        <v>4.2300000000000004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6.77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4.2300000000000004</v>
      </c>
      <c r="AU106" t="s">
        <v>6</v>
      </c>
      <c r="AV106">
        <v>2</v>
      </c>
      <c r="AW106">
        <v>2</v>
      </c>
      <c r="AX106">
        <v>16856410</v>
      </c>
      <c r="AY106">
        <v>1</v>
      </c>
      <c r="AZ106">
        <v>2048</v>
      </c>
      <c r="BA106">
        <v>117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Y106*Source!I41</f>
        <v>0.280449</v>
      </c>
      <c r="CY106">
        <f>AD106</f>
        <v>0</v>
      </c>
      <c r="CZ106">
        <f>AH106</f>
        <v>0</v>
      </c>
      <c r="DA106">
        <f>AL106</f>
        <v>1</v>
      </c>
      <c r="DB106">
        <f>ROUND(ROUND(AT106*CZ106,2),6)</f>
        <v>0</v>
      </c>
      <c r="DC106">
        <f>ROUND(ROUND(AT106*AG106,2),6)</f>
        <v>0</v>
      </c>
    </row>
    <row r="107" spans="1:107" x14ac:dyDescent="0.2">
      <c r="A107">
        <f>ROW(Source!A41)</f>
        <v>41</v>
      </c>
      <c r="B107">
        <v>16856228</v>
      </c>
      <c r="C107">
        <v>16856396</v>
      </c>
      <c r="D107">
        <v>15247974</v>
      </c>
      <c r="E107">
        <v>1</v>
      </c>
      <c r="F107">
        <v>1</v>
      </c>
      <c r="G107">
        <v>1</v>
      </c>
      <c r="H107">
        <v>2</v>
      </c>
      <c r="I107" t="s">
        <v>318</v>
      </c>
      <c r="J107" t="s">
        <v>319</v>
      </c>
      <c r="K107" t="s">
        <v>320</v>
      </c>
      <c r="L107">
        <v>1368</v>
      </c>
      <c r="N107">
        <v>1011</v>
      </c>
      <c r="O107" t="s">
        <v>321</v>
      </c>
      <c r="P107" t="s">
        <v>321</v>
      </c>
      <c r="Q107">
        <v>1</v>
      </c>
      <c r="W107">
        <v>0</v>
      </c>
      <c r="X107">
        <v>1188625873</v>
      </c>
      <c r="Y107">
        <v>0.82500000000000007</v>
      </c>
      <c r="AA107">
        <v>0</v>
      </c>
      <c r="AB107">
        <v>211.63</v>
      </c>
      <c r="AC107">
        <v>13.5</v>
      </c>
      <c r="AD107">
        <v>0</v>
      </c>
      <c r="AE107">
        <v>0</v>
      </c>
      <c r="AF107">
        <v>31.26</v>
      </c>
      <c r="AG107">
        <v>13.5</v>
      </c>
      <c r="AH107">
        <v>0</v>
      </c>
      <c r="AI107">
        <v>1</v>
      </c>
      <c r="AJ107">
        <v>6.77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0.66</v>
      </c>
      <c r="AU107" t="s">
        <v>56</v>
      </c>
      <c r="AV107">
        <v>0</v>
      </c>
      <c r="AW107">
        <v>2</v>
      </c>
      <c r="AX107">
        <v>16856411</v>
      </c>
      <c r="AY107">
        <v>1</v>
      </c>
      <c r="AZ107">
        <v>0</v>
      </c>
      <c r="BA107">
        <v>118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Y107*Source!I41</f>
        <v>5.4697500000000003E-2</v>
      </c>
      <c r="CY107">
        <f>AB107</f>
        <v>211.63</v>
      </c>
      <c r="CZ107">
        <f>AF107</f>
        <v>31.26</v>
      </c>
      <c r="DA107">
        <f>AJ107</f>
        <v>6.77</v>
      </c>
      <c r="DB107">
        <f>ROUND((ROUND(AT107*CZ107,2)*1.25),6)</f>
        <v>25.787500000000001</v>
      </c>
      <c r="DC107">
        <f>ROUND((ROUND(AT107*AG107,2)*1.25),6)</f>
        <v>11.137499999999999</v>
      </c>
    </row>
    <row r="108" spans="1:107" x14ac:dyDescent="0.2">
      <c r="A108">
        <f>ROW(Source!A41)</f>
        <v>41</v>
      </c>
      <c r="B108">
        <v>16856228</v>
      </c>
      <c r="C108">
        <v>16856396</v>
      </c>
      <c r="D108">
        <v>15249073</v>
      </c>
      <c r="E108">
        <v>1</v>
      </c>
      <c r="F108">
        <v>1</v>
      </c>
      <c r="G108">
        <v>1</v>
      </c>
      <c r="H108">
        <v>2</v>
      </c>
      <c r="I108" t="s">
        <v>330</v>
      </c>
      <c r="J108" t="s">
        <v>331</v>
      </c>
      <c r="K108" t="s">
        <v>332</v>
      </c>
      <c r="L108">
        <v>1368</v>
      </c>
      <c r="N108">
        <v>1011</v>
      </c>
      <c r="O108" t="s">
        <v>321</v>
      </c>
      <c r="P108" t="s">
        <v>321</v>
      </c>
      <c r="Q108">
        <v>1</v>
      </c>
      <c r="W108">
        <v>0</v>
      </c>
      <c r="X108">
        <v>1372534845</v>
      </c>
      <c r="Y108">
        <v>4.4624999999999995</v>
      </c>
      <c r="AA108">
        <v>0</v>
      </c>
      <c r="AB108">
        <v>444.86</v>
      </c>
      <c r="AC108">
        <v>11.6</v>
      </c>
      <c r="AD108">
        <v>0</v>
      </c>
      <c r="AE108">
        <v>0</v>
      </c>
      <c r="AF108">
        <v>65.709999999999994</v>
      </c>
      <c r="AG108">
        <v>11.6</v>
      </c>
      <c r="AH108">
        <v>0</v>
      </c>
      <c r="AI108">
        <v>1</v>
      </c>
      <c r="AJ108">
        <v>6.77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3.57</v>
      </c>
      <c r="AU108" t="s">
        <v>56</v>
      </c>
      <c r="AV108">
        <v>0</v>
      </c>
      <c r="AW108">
        <v>2</v>
      </c>
      <c r="AX108">
        <v>16856412</v>
      </c>
      <c r="AY108">
        <v>1</v>
      </c>
      <c r="AZ108">
        <v>0</v>
      </c>
      <c r="BA108">
        <v>119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Y108*Source!I41</f>
        <v>0.29586374999999998</v>
      </c>
      <c r="CY108">
        <f>AB108</f>
        <v>444.86</v>
      </c>
      <c r="CZ108">
        <f>AF108</f>
        <v>65.709999999999994</v>
      </c>
      <c r="DA108">
        <f>AJ108</f>
        <v>6.77</v>
      </c>
      <c r="DB108">
        <f>ROUND((ROUND(AT108*CZ108,2)*1.25),6)</f>
        <v>293.22500000000002</v>
      </c>
      <c r="DC108">
        <f>ROUND((ROUND(AT108*AG108,2)*1.25),6)</f>
        <v>51.762500000000003</v>
      </c>
    </row>
    <row r="109" spans="1:107" x14ac:dyDescent="0.2">
      <c r="A109">
        <f>ROW(Source!A41)</f>
        <v>41</v>
      </c>
      <c r="B109">
        <v>16856228</v>
      </c>
      <c r="C109">
        <v>16856396</v>
      </c>
      <c r="D109">
        <v>15167551</v>
      </c>
      <c r="E109">
        <v>1</v>
      </c>
      <c r="F109">
        <v>1</v>
      </c>
      <c r="G109">
        <v>1</v>
      </c>
      <c r="H109">
        <v>3</v>
      </c>
      <c r="I109" t="s">
        <v>379</v>
      </c>
      <c r="J109" t="s">
        <v>380</v>
      </c>
      <c r="K109" t="s">
        <v>381</v>
      </c>
      <c r="L109">
        <v>1301</v>
      </c>
      <c r="N109">
        <v>1003</v>
      </c>
      <c r="O109" t="s">
        <v>90</v>
      </c>
      <c r="P109" t="s">
        <v>90</v>
      </c>
      <c r="Q109">
        <v>1</v>
      </c>
      <c r="W109">
        <v>0</v>
      </c>
      <c r="X109">
        <v>751777312</v>
      </c>
      <c r="Y109">
        <v>230</v>
      </c>
      <c r="AA109">
        <v>43.19</v>
      </c>
      <c r="AB109">
        <v>0</v>
      </c>
      <c r="AC109">
        <v>0</v>
      </c>
      <c r="AD109">
        <v>0</v>
      </c>
      <c r="AE109">
        <v>6.38</v>
      </c>
      <c r="AF109">
        <v>0</v>
      </c>
      <c r="AG109">
        <v>0</v>
      </c>
      <c r="AH109">
        <v>0</v>
      </c>
      <c r="AI109">
        <v>6.77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230</v>
      </c>
      <c r="AU109" t="s">
        <v>6</v>
      </c>
      <c r="AV109">
        <v>0</v>
      </c>
      <c r="AW109">
        <v>2</v>
      </c>
      <c r="AX109">
        <v>16856413</v>
      </c>
      <c r="AY109">
        <v>1</v>
      </c>
      <c r="AZ109">
        <v>0</v>
      </c>
      <c r="BA109">
        <v>120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Y109*Source!I41</f>
        <v>15.248999999999999</v>
      </c>
      <c r="CY109">
        <f t="shared" ref="CY109:CY116" si="37">AA109</f>
        <v>43.19</v>
      </c>
      <c r="CZ109">
        <f t="shared" ref="CZ109:CZ116" si="38">AE109</f>
        <v>6.38</v>
      </c>
      <c r="DA109">
        <f t="shared" ref="DA109:DA116" si="39">AI109</f>
        <v>6.77</v>
      </c>
      <c r="DB109">
        <f t="shared" ref="DB109:DB116" si="40">ROUND(ROUND(AT109*CZ109,2),6)</f>
        <v>1467.4</v>
      </c>
      <c r="DC109">
        <f t="shared" ref="DC109:DC116" si="41">ROUND(ROUND(AT109*AG109,2),6)</f>
        <v>0</v>
      </c>
    </row>
    <row r="110" spans="1:107" x14ac:dyDescent="0.2">
      <c r="A110">
        <f>ROW(Source!A41)</f>
        <v>41</v>
      </c>
      <c r="B110">
        <v>16856228</v>
      </c>
      <c r="C110">
        <v>16856396</v>
      </c>
      <c r="D110">
        <v>15167552</v>
      </c>
      <c r="E110">
        <v>1</v>
      </c>
      <c r="F110">
        <v>1</v>
      </c>
      <c r="G110">
        <v>1</v>
      </c>
      <c r="H110">
        <v>3</v>
      </c>
      <c r="I110" t="s">
        <v>382</v>
      </c>
      <c r="J110" t="s">
        <v>383</v>
      </c>
      <c r="K110" t="s">
        <v>384</v>
      </c>
      <c r="L110">
        <v>1301</v>
      </c>
      <c r="N110">
        <v>1003</v>
      </c>
      <c r="O110" t="s">
        <v>90</v>
      </c>
      <c r="P110" t="s">
        <v>90</v>
      </c>
      <c r="Q110">
        <v>1</v>
      </c>
      <c r="W110">
        <v>0</v>
      </c>
      <c r="X110">
        <v>1744203244</v>
      </c>
      <c r="Y110">
        <v>50</v>
      </c>
      <c r="AA110">
        <v>53.82</v>
      </c>
      <c r="AB110">
        <v>0</v>
      </c>
      <c r="AC110">
        <v>0</v>
      </c>
      <c r="AD110">
        <v>0</v>
      </c>
      <c r="AE110">
        <v>7.95</v>
      </c>
      <c r="AF110">
        <v>0</v>
      </c>
      <c r="AG110">
        <v>0</v>
      </c>
      <c r="AH110">
        <v>0</v>
      </c>
      <c r="AI110">
        <v>6.77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50</v>
      </c>
      <c r="AU110" t="s">
        <v>6</v>
      </c>
      <c r="AV110">
        <v>0</v>
      </c>
      <c r="AW110">
        <v>2</v>
      </c>
      <c r="AX110">
        <v>16856414</v>
      </c>
      <c r="AY110">
        <v>1</v>
      </c>
      <c r="AZ110">
        <v>0</v>
      </c>
      <c r="BA110">
        <v>121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Y110*Source!I41</f>
        <v>3.3149999999999999</v>
      </c>
      <c r="CY110">
        <f t="shared" si="37"/>
        <v>53.82</v>
      </c>
      <c r="CZ110">
        <f t="shared" si="38"/>
        <v>7.95</v>
      </c>
      <c r="DA110">
        <f t="shared" si="39"/>
        <v>6.77</v>
      </c>
      <c r="DB110">
        <f t="shared" si="40"/>
        <v>397.5</v>
      </c>
      <c r="DC110">
        <f t="shared" si="41"/>
        <v>0</v>
      </c>
    </row>
    <row r="111" spans="1:107" x14ac:dyDescent="0.2">
      <c r="A111">
        <f>ROW(Source!A41)</f>
        <v>41</v>
      </c>
      <c r="B111">
        <v>16856228</v>
      </c>
      <c r="C111">
        <v>16856396</v>
      </c>
      <c r="D111">
        <v>15167640</v>
      </c>
      <c r="E111">
        <v>1</v>
      </c>
      <c r="F111">
        <v>1</v>
      </c>
      <c r="G111">
        <v>1</v>
      </c>
      <c r="H111">
        <v>3</v>
      </c>
      <c r="I111" t="s">
        <v>385</v>
      </c>
      <c r="J111" t="s">
        <v>386</v>
      </c>
      <c r="K111" t="s">
        <v>387</v>
      </c>
      <c r="L111">
        <v>1302</v>
      </c>
      <c r="N111">
        <v>1003</v>
      </c>
      <c r="O111" t="s">
        <v>152</v>
      </c>
      <c r="P111" t="s">
        <v>152</v>
      </c>
      <c r="Q111">
        <v>10</v>
      </c>
      <c r="W111">
        <v>0</v>
      </c>
      <c r="X111">
        <v>-405326455</v>
      </c>
      <c r="Y111">
        <v>15</v>
      </c>
      <c r="AA111">
        <v>433.96</v>
      </c>
      <c r="AB111">
        <v>0</v>
      </c>
      <c r="AC111">
        <v>0</v>
      </c>
      <c r="AD111">
        <v>0</v>
      </c>
      <c r="AE111">
        <v>64.099999999999994</v>
      </c>
      <c r="AF111">
        <v>0</v>
      </c>
      <c r="AG111">
        <v>0</v>
      </c>
      <c r="AH111">
        <v>0</v>
      </c>
      <c r="AI111">
        <v>6.77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15</v>
      </c>
      <c r="AU111" t="s">
        <v>6</v>
      </c>
      <c r="AV111">
        <v>0</v>
      </c>
      <c r="AW111">
        <v>2</v>
      </c>
      <c r="AX111">
        <v>16856415</v>
      </c>
      <c r="AY111">
        <v>1</v>
      </c>
      <c r="AZ111">
        <v>0</v>
      </c>
      <c r="BA111">
        <v>122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Y111*Source!I41</f>
        <v>0.99449999999999994</v>
      </c>
      <c r="CY111">
        <f t="shared" si="37"/>
        <v>433.96</v>
      </c>
      <c r="CZ111">
        <f t="shared" si="38"/>
        <v>64.099999999999994</v>
      </c>
      <c r="DA111">
        <f t="shared" si="39"/>
        <v>6.77</v>
      </c>
      <c r="DB111">
        <f t="shared" si="40"/>
        <v>961.5</v>
      </c>
      <c r="DC111">
        <f t="shared" si="41"/>
        <v>0</v>
      </c>
    </row>
    <row r="112" spans="1:107" x14ac:dyDescent="0.2">
      <c r="A112">
        <f>ROW(Source!A41)</f>
        <v>41</v>
      </c>
      <c r="B112">
        <v>16856228</v>
      </c>
      <c r="C112">
        <v>16856396</v>
      </c>
      <c r="D112">
        <v>15170065</v>
      </c>
      <c r="E112">
        <v>1</v>
      </c>
      <c r="F112">
        <v>1</v>
      </c>
      <c r="G112">
        <v>1</v>
      </c>
      <c r="H112">
        <v>3</v>
      </c>
      <c r="I112" t="s">
        <v>388</v>
      </c>
      <c r="J112" t="s">
        <v>389</v>
      </c>
      <c r="K112" t="s">
        <v>390</v>
      </c>
      <c r="L112">
        <v>1358</v>
      </c>
      <c r="N112">
        <v>1010</v>
      </c>
      <c r="O112" t="s">
        <v>391</v>
      </c>
      <c r="P112" t="s">
        <v>391</v>
      </c>
      <c r="Q112">
        <v>10</v>
      </c>
      <c r="W112">
        <v>0</v>
      </c>
      <c r="X112">
        <v>-858120743</v>
      </c>
      <c r="Y112">
        <v>30</v>
      </c>
      <c r="AA112">
        <v>47.59</v>
      </c>
      <c r="AB112">
        <v>0</v>
      </c>
      <c r="AC112">
        <v>0</v>
      </c>
      <c r="AD112">
        <v>0</v>
      </c>
      <c r="AE112">
        <v>7.03</v>
      </c>
      <c r="AF112">
        <v>0</v>
      </c>
      <c r="AG112">
        <v>0</v>
      </c>
      <c r="AH112">
        <v>0</v>
      </c>
      <c r="AI112">
        <v>6.77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30</v>
      </c>
      <c r="AU112" t="s">
        <v>6</v>
      </c>
      <c r="AV112">
        <v>0</v>
      </c>
      <c r="AW112">
        <v>2</v>
      </c>
      <c r="AX112">
        <v>16856416</v>
      </c>
      <c r="AY112">
        <v>1</v>
      </c>
      <c r="AZ112">
        <v>0</v>
      </c>
      <c r="BA112">
        <v>123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Y112*Source!I41</f>
        <v>1.9889999999999999</v>
      </c>
      <c r="CY112">
        <f t="shared" si="37"/>
        <v>47.59</v>
      </c>
      <c r="CZ112">
        <f t="shared" si="38"/>
        <v>7.03</v>
      </c>
      <c r="DA112">
        <f t="shared" si="39"/>
        <v>6.77</v>
      </c>
      <c r="DB112">
        <f t="shared" si="40"/>
        <v>210.9</v>
      </c>
      <c r="DC112">
        <f t="shared" si="41"/>
        <v>0</v>
      </c>
    </row>
    <row r="113" spans="1:107" x14ac:dyDescent="0.2">
      <c r="A113">
        <f>ROW(Source!A41)</f>
        <v>41</v>
      </c>
      <c r="B113">
        <v>16856228</v>
      </c>
      <c r="C113">
        <v>16856396</v>
      </c>
      <c r="D113">
        <v>15162466</v>
      </c>
      <c r="E113">
        <v>17</v>
      </c>
      <c r="F113">
        <v>1</v>
      </c>
      <c r="G113">
        <v>1</v>
      </c>
      <c r="H113">
        <v>3</v>
      </c>
      <c r="I113" t="s">
        <v>78</v>
      </c>
      <c r="J113" t="s">
        <v>6</v>
      </c>
      <c r="K113" t="s">
        <v>79</v>
      </c>
      <c r="L113">
        <v>1327</v>
      </c>
      <c r="N113">
        <v>1005</v>
      </c>
      <c r="O113" t="s">
        <v>64</v>
      </c>
      <c r="P113" t="s">
        <v>64</v>
      </c>
      <c r="Q113">
        <v>1</v>
      </c>
      <c r="W113">
        <v>0</v>
      </c>
      <c r="X113">
        <v>1219964505</v>
      </c>
      <c r="Y113">
        <v>100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6.77</v>
      </c>
      <c r="AJ113">
        <v>1</v>
      </c>
      <c r="AK113">
        <v>1</v>
      </c>
      <c r="AL113">
        <v>1</v>
      </c>
      <c r="AN113">
        <v>0</v>
      </c>
      <c r="AO113">
        <v>0</v>
      </c>
      <c r="AP113">
        <v>0</v>
      </c>
      <c r="AQ113">
        <v>0</v>
      </c>
      <c r="AR113">
        <v>0</v>
      </c>
      <c r="AS113" t="s">
        <v>6</v>
      </c>
      <c r="AT113">
        <v>100</v>
      </c>
      <c r="AU113" t="s">
        <v>6</v>
      </c>
      <c r="AV113">
        <v>0</v>
      </c>
      <c r="AW113">
        <v>2</v>
      </c>
      <c r="AX113">
        <v>16856417</v>
      </c>
      <c r="AY113">
        <v>1</v>
      </c>
      <c r="AZ113">
        <v>0</v>
      </c>
      <c r="BA113">
        <v>124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Y113*Source!I41</f>
        <v>6.63</v>
      </c>
      <c r="CY113">
        <f t="shared" si="37"/>
        <v>0</v>
      </c>
      <c r="CZ113">
        <f t="shared" si="38"/>
        <v>0</v>
      </c>
      <c r="DA113">
        <f t="shared" si="39"/>
        <v>6.77</v>
      </c>
      <c r="DB113">
        <f t="shared" si="40"/>
        <v>0</v>
      </c>
      <c r="DC113">
        <f t="shared" si="41"/>
        <v>0</v>
      </c>
    </row>
    <row r="114" spans="1:107" x14ac:dyDescent="0.2">
      <c r="A114">
        <f>ROW(Source!A41)</f>
        <v>41</v>
      </c>
      <c r="B114">
        <v>16856228</v>
      </c>
      <c r="C114">
        <v>16856396</v>
      </c>
      <c r="D114">
        <v>15197780</v>
      </c>
      <c r="E114">
        <v>1</v>
      </c>
      <c r="F114">
        <v>1</v>
      </c>
      <c r="G114">
        <v>1</v>
      </c>
      <c r="H114">
        <v>3</v>
      </c>
      <c r="I114" t="s">
        <v>392</v>
      </c>
      <c r="J114" t="s">
        <v>393</v>
      </c>
      <c r="K114" t="s">
        <v>394</v>
      </c>
      <c r="L114">
        <v>1355</v>
      </c>
      <c r="N114">
        <v>1010</v>
      </c>
      <c r="O114" t="s">
        <v>395</v>
      </c>
      <c r="P114" t="s">
        <v>395</v>
      </c>
      <c r="Q114">
        <v>100</v>
      </c>
      <c r="W114">
        <v>0</v>
      </c>
      <c r="X114">
        <v>1709713925</v>
      </c>
      <c r="Y114">
        <v>8</v>
      </c>
      <c r="AA114">
        <v>338.5</v>
      </c>
      <c r="AB114">
        <v>0</v>
      </c>
      <c r="AC114">
        <v>0</v>
      </c>
      <c r="AD114">
        <v>0</v>
      </c>
      <c r="AE114">
        <v>50</v>
      </c>
      <c r="AF114">
        <v>0</v>
      </c>
      <c r="AG114">
        <v>0</v>
      </c>
      <c r="AH114">
        <v>0</v>
      </c>
      <c r="AI114">
        <v>6.77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8</v>
      </c>
      <c r="AU114" t="s">
        <v>6</v>
      </c>
      <c r="AV114">
        <v>0</v>
      </c>
      <c r="AW114">
        <v>2</v>
      </c>
      <c r="AX114">
        <v>16856418</v>
      </c>
      <c r="AY114">
        <v>1</v>
      </c>
      <c r="AZ114">
        <v>0</v>
      </c>
      <c r="BA114">
        <v>125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Y114*Source!I41</f>
        <v>0.53039999999999998</v>
      </c>
      <c r="CY114">
        <f t="shared" si="37"/>
        <v>338.5</v>
      </c>
      <c r="CZ114">
        <f t="shared" si="38"/>
        <v>50</v>
      </c>
      <c r="DA114">
        <f t="shared" si="39"/>
        <v>6.77</v>
      </c>
      <c r="DB114">
        <f t="shared" si="40"/>
        <v>400</v>
      </c>
      <c r="DC114">
        <f t="shared" si="41"/>
        <v>0</v>
      </c>
    </row>
    <row r="115" spans="1:107" x14ac:dyDescent="0.2">
      <c r="A115">
        <f>ROW(Source!A41)</f>
        <v>41</v>
      </c>
      <c r="B115">
        <v>16856228</v>
      </c>
      <c r="C115">
        <v>16856396</v>
      </c>
      <c r="D115">
        <v>15204239</v>
      </c>
      <c r="E115">
        <v>1</v>
      </c>
      <c r="F115">
        <v>1</v>
      </c>
      <c r="G115">
        <v>1</v>
      </c>
      <c r="H115">
        <v>3</v>
      </c>
      <c r="I115" t="s">
        <v>396</v>
      </c>
      <c r="J115" t="s">
        <v>397</v>
      </c>
      <c r="K115" t="s">
        <v>398</v>
      </c>
      <c r="L115">
        <v>1354</v>
      </c>
      <c r="N115">
        <v>1010</v>
      </c>
      <c r="O115" t="s">
        <v>166</v>
      </c>
      <c r="P115" t="s">
        <v>166</v>
      </c>
      <c r="Q115">
        <v>1</v>
      </c>
      <c r="W115">
        <v>0</v>
      </c>
      <c r="X115">
        <v>-1018551266</v>
      </c>
      <c r="Y115">
        <v>66</v>
      </c>
      <c r="AA115">
        <v>453.59</v>
      </c>
      <c r="AB115">
        <v>0</v>
      </c>
      <c r="AC115">
        <v>0</v>
      </c>
      <c r="AD115">
        <v>0</v>
      </c>
      <c r="AE115">
        <v>67</v>
      </c>
      <c r="AF115">
        <v>0</v>
      </c>
      <c r="AG115">
        <v>0</v>
      </c>
      <c r="AH115">
        <v>0</v>
      </c>
      <c r="AI115">
        <v>6.77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66</v>
      </c>
      <c r="AU115" t="s">
        <v>6</v>
      </c>
      <c r="AV115">
        <v>0</v>
      </c>
      <c r="AW115">
        <v>2</v>
      </c>
      <c r="AX115">
        <v>16856419</v>
      </c>
      <c r="AY115">
        <v>1</v>
      </c>
      <c r="AZ115">
        <v>0</v>
      </c>
      <c r="BA115">
        <v>126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Y115*Source!I41</f>
        <v>4.3757999999999999</v>
      </c>
      <c r="CY115">
        <f t="shared" si="37"/>
        <v>453.59</v>
      </c>
      <c r="CZ115">
        <f t="shared" si="38"/>
        <v>67</v>
      </c>
      <c r="DA115">
        <f t="shared" si="39"/>
        <v>6.77</v>
      </c>
      <c r="DB115">
        <f t="shared" si="40"/>
        <v>4422</v>
      </c>
      <c r="DC115">
        <f t="shared" si="41"/>
        <v>0</v>
      </c>
    </row>
    <row r="116" spans="1:107" x14ac:dyDescent="0.2">
      <c r="A116">
        <f>ROW(Source!A41)</f>
        <v>41</v>
      </c>
      <c r="B116">
        <v>16856228</v>
      </c>
      <c r="C116">
        <v>16856396</v>
      </c>
      <c r="D116">
        <v>0</v>
      </c>
      <c r="E116">
        <v>0</v>
      </c>
      <c r="F116">
        <v>1</v>
      </c>
      <c r="G116">
        <v>1</v>
      </c>
      <c r="H116">
        <v>3</v>
      </c>
      <c r="I116" t="s">
        <v>62</v>
      </c>
      <c r="J116" t="s">
        <v>6</v>
      </c>
      <c r="K116" t="s">
        <v>81</v>
      </c>
      <c r="L116">
        <v>1327</v>
      </c>
      <c r="N116">
        <v>1005</v>
      </c>
      <c r="O116" t="s">
        <v>64</v>
      </c>
      <c r="P116" t="s">
        <v>64</v>
      </c>
      <c r="Q116">
        <v>1</v>
      </c>
      <c r="W116">
        <v>0</v>
      </c>
      <c r="X116">
        <v>2091989820</v>
      </c>
      <c r="Y116">
        <v>100</v>
      </c>
      <c r="AA116">
        <v>5510.44</v>
      </c>
      <c r="AB116">
        <v>0</v>
      </c>
      <c r="AC116">
        <v>0</v>
      </c>
      <c r="AD116">
        <v>0</v>
      </c>
      <c r="AE116">
        <v>813.95</v>
      </c>
      <c r="AF116">
        <v>0</v>
      </c>
      <c r="AG116">
        <v>0</v>
      </c>
      <c r="AH116">
        <v>0</v>
      </c>
      <c r="AI116">
        <v>6.77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</v>
      </c>
      <c r="AT116">
        <v>100</v>
      </c>
      <c r="AU116" t="s">
        <v>6</v>
      </c>
      <c r="AV116">
        <v>0</v>
      </c>
      <c r="AW116">
        <v>1</v>
      </c>
      <c r="AX116">
        <v>-1</v>
      </c>
      <c r="AY116">
        <v>0</v>
      </c>
      <c r="AZ116">
        <v>0</v>
      </c>
      <c r="BA116" t="s">
        <v>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Y116*Source!I41</f>
        <v>6.63</v>
      </c>
      <c r="CY116">
        <f t="shared" si="37"/>
        <v>5510.44</v>
      </c>
      <c r="CZ116">
        <f t="shared" si="38"/>
        <v>813.95</v>
      </c>
      <c r="DA116">
        <f t="shared" si="39"/>
        <v>6.77</v>
      </c>
      <c r="DB116">
        <f t="shared" si="40"/>
        <v>81395</v>
      </c>
      <c r="DC116">
        <f t="shared" si="41"/>
        <v>0</v>
      </c>
    </row>
    <row r="117" spans="1:107" x14ac:dyDescent="0.2">
      <c r="A117">
        <f>ROW(Source!A46)</f>
        <v>46</v>
      </c>
      <c r="B117">
        <v>16856227</v>
      </c>
      <c r="C117">
        <v>16856422</v>
      </c>
      <c r="D117">
        <v>15430767</v>
      </c>
      <c r="E117">
        <v>1</v>
      </c>
      <c r="F117">
        <v>1</v>
      </c>
      <c r="G117">
        <v>1</v>
      </c>
      <c r="H117">
        <v>1</v>
      </c>
      <c r="I117" t="s">
        <v>399</v>
      </c>
      <c r="J117" t="s">
        <v>6</v>
      </c>
      <c r="K117" t="s">
        <v>400</v>
      </c>
      <c r="L117">
        <v>1191</v>
      </c>
      <c r="N117">
        <v>1013</v>
      </c>
      <c r="O117" t="s">
        <v>313</v>
      </c>
      <c r="P117" t="s">
        <v>313</v>
      </c>
      <c r="Q117">
        <v>1</v>
      </c>
      <c r="W117">
        <v>0</v>
      </c>
      <c r="X117">
        <v>-400197608</v>
      </c>
      <c r="Y117">
        <v>24.368500000000001</v>
      </c>
      <c r="AA117">
        <v>0</v>
      </c>
      <c r="AB117">
        <v>0</v>
      </c>
      <c r="AC117">
        <v>0</v>
      </c>
      <c r="AD117">
        <v>8.5299999999999994</v>
      </c>
      <c r="AE117">
        <v>0</v>
      </c>
      <c r="AF117">
        <v>0</v>
      </c>
      <c r="AG117">
        <v>0</v>
      </c>
      <c r="AH117">
        <v>8.5299999999999994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21.19</v>
      </c>
      <c r="AU117" t="s">
        <v>57</v>
      </c>
      <c r="AV117">
        <v>1</v>
      </c>
      <c r="AW117">
        <v>2</v>
      </c>
      <c r="AX117">
        <v>16856430</v>
      </c>
      <c r="AY117">
        <v>1</v>
      </c>
      <c r="AZ117">
        <v>0</v>
      </c>
      <c r="BA117">
        <v>127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Y117*Source!I46</f>
        <v>50.496405700000004</v>
      </c>
      <c r="CY117">
        <f>AD117</f>
        <v>8.5299999999999994</v>
      </c>
      <c r="CZ117">
        <f>AH117</f>
        <v>8.5299999999999994</v>
      </c>
      <c r="DA117">
        <f>AL117</f>
        <v>1</v>
      </c>
      <c r="DB117">
        <f>ROUND((ROUND(AT117*CZ117,2)*1.15),6)</f>
        <v>207.86250000000001</v>
      </c>
      <c r="DC117">
        <f>ROUND((ROUND(AT117*AG117,2)*1.15),6)</f>
        <v>0</v>
      </c>
    </row>
    <row r="118" spans="1:107" x14ac:dyDescent="0.2">
      <c r="A118">
        <f>ROW(Source!A46)</f>
        <v>46</v>
      </c>
      <c r="B118">
        <v>16856227</v>
      </c>
      <c r="C118">
        <v>16856422</v>
      </c>
      <c r="D118">
        <v>15430395</v>
      </c>
      <c r="E118">
        <v>1</v>
      </c>
      <c r="F118">
        <v>1</v>
      </c>
      <c r="G118">
        <v>1</v>
      </c>
      <c r="H118">
        <v>1</v>
      </c>
      <c r="I118" t="s">
        <v>316</v>
      </c>
      <c r="J118" t="s">
        <v>6</v>
      </c>
      <c r="K118" t="s">
        <v>317</v>
      </c>
      <c r="L118">
        <v>1191</v>
      </c>
      <c r="N118">
        <v>1013</v>
      </c>
      <c r="O118" t="s">
        <v>313</v>
      </c>
      <c r="P118" t="s">
        <v>313</v>
      </c>
      <c r="Q118">
        <v>1</v>
      </c>
      <c r="W118">
        <v>0</v>
      </c>
      <c r="X118">
        <v>-1417349443</v>
      </c>
      <c r="Y118">
        <v>0.19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0.19</v>
      </c>
      <c r="AU118" t="s">
        <v>6</v>
      </c>
      <c r="AV118">
        <v>2</v>
      </c>
      <c r="AW118">
        <v>2</v>
      </c>
      <c r="AX118">
        <v>16856431</v>
      </c>
      <c r="AY118">
        <v>1</v>
      </c>
      <c r="AZ118">
        <v>2048</v>
      </c>
      <c r="BA118">
        <v>128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Y118*Source!I46</f>
        <v>0.39371800000000001</v>
      </c>
      <c r="CY118">
        <f>AD118</f>
        <v>0</v>
      </c>
      <c r="CZ118">
        <f>AH118</f>
        <v>0</v>
      </c>
      <c r="DA118">
        <f>AL118</f>
        <v>1</v>
      </c>
      <c r="DB118">
        <f>ROUND(ROUND(AT118*CZ118,2),6)</f>
        <v>0</v>
      </c>
      <c r="DC118">
        <f>ROUND(ROUND(AT118*AG118,2),6)</f>
        <v>0</v>
      </c>
    </row>
    <row r="119" spans="1:107" x14ac:dyDescent="0.2">
      <c r="A119">
        <f>ROW(Source!A46)</f>
        <v>46</v>
      </c>
      <c r="B119">
        <v>16856227</v>
      </c>
      <c r="C119">
        <v>16856422</v>
      </c>
      <c r="D119">
        <v>15247974</v>
      </c>
      <c r="E119">
        <v>1</v>
      </c>
      <c r="F119">
        <v>1</v>
      </c>
      <c r="G119">
        <v>1</v>
      </c>
      <c r="H119">
        <v>2</v>
      </c>
      <c r="I119" t="s">
        <v>318</v>
      </c>
      <c r="J119" t="s">
        <v>319</v>
      </c>
      <c r="K119" t="s">
        <v>320</v>
      </c>
      <c r="L119">
        <v>1368</v>
      </c>
      <c r="N119">
        <v>1011</v>
      </c>
      <c r="O119" t="s">
        <v>321</v>
      </c>
      <c r="P119" t="s">
        <v>321</v>
      </c>
      <c r="Q119">
        <v>1</v>
      </c>
      <c r="W119">
        <v>0</v>
      </c>
      <c r="X119">
        <v>1188625873</v>
      </c>
      <c r="Y119">
        <v>0.05</v>
      </c>
      <c r="AA119">
        <v>0</v>
      </c>
      <c r="AB119">
        <v>31.26</v>
      </c>
      <c r="AC119">
        <v>13.5</v>
      </c>
      <c r="AD119">
        <v>0</v>
      </c>
      <c r="AE119">
        <v>0</v>
      </c>
      <c r="AF119">
        <v>31.26</v>
      </c>
      <c r="AG119">
        <v>13.5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0.04</v>
      </c>
      <c r="AU119" t="s">
        <v>56</v>
      </c>
      <c r="AV119">
        <v>0</v>
      </c>
      <c r="AW119">
        <v>2</v>
      </c>
      <c r="AX119">
        <v>16856432</v>
      </c>
      <c r="AY119">
        <v>1</v>
      </c>
      <c r="AZ119">
        <v>0</v>
      </c>
      <c r="BA119">
        <v>129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Y119*Source!I46</f>
        <v>0.10361000000000001</v>
      </c>
      <c r="CY119">
        <f>AB119</f>
        <v>31.26</v>
      </c>
      <c r="CZ119">
        <f>AF119</f>
        <v>31.26</v>
      </c>
      <c r="DA119">
        <f>AJ119</f>
        <v>1</v>
      </c>
      <c r="DB119">
        <f>ROUND((ROUND(AT119*CZ119,2)*1.25),6)</f>
        <v>1.5625</v>
      </c>
      <c r="DC119">
        <f>ROUND((ROUND(AT119*AG119,2)*1.25),6)</f>
        <v>0.67500000000000004</v>
      </c>
    </row>
    <row r="120" spans="1:107" x14ac:dyDescent="0.2">
      <c r="A120">
        <f>ROW(Source!A46)</f>
        <v>46</v>
      </c>
      <c r="B120">
        <v>16856227</v>
      </c>
      <c r="C120">
        <v>16856422</v>
      </c>
      <c r="D120">
        <v>15249073</v>
      </c>
      <c r="E120">
        <v>1</v>
      </c>
      <c r="F120">
        <v>1</v>
      </c>
      <c r="G120">
        <v>1</v>
      </c>
      <c r="H120">
        <v>2</v>
      </c>
      <c r="I120" t="s">
        <v>330</v>
      </c>
      <c r="J120" t="s">
        <v>331</v>
      </c>
      <c r="K120" t="s">
        <v>332</v>
      </c>
      <c r="L120">
        <v>1368</v>
      </c>
      <c r="N120">
        <v>1011</v>
      </c>
      <c r="O120" t="s">
        <v>321</v>
      </c>
      <c r="P120" t="s">
        <v>321</v>
      </c>
      <c r="Q120">
        <v>1</v>
      </c>
      <c r="W120">
        <v>0</v>
      </c>
      <c r="X120">
        <v>1372534845</v>
      </c>
      <c r="Y120">
        <v>0.1875</v>
      </c>
      <c r="AA120">
        <v>0</v>
      </c>
      <c r="AB120">
        <v>65.709999999999994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0.15</v>
      </c>
      <c r="AU120" t="s">
        <v>56</v>
      </c>
      <c r="AV120">
        <v>0</v>
      </c>
      <c r="AW120">
        <v>2</v>
      </c>
      <c r="AX120">
        <v>16856433</v>
      </c>
      <c r="AY120">
        <v>1</v>
      </c>
      <c r="AZ120">
        <v>0</v>
      </c>
      <c r="BA120">
        <v>130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Y120*Source!I46</f>
        <v>0.38853749999999998</v>
      </c>
      <c r="CY120">
        <f>AB120</f>
        <v>65.709999999999994</v>
      </c>
      <c r="CZ120">
        <f>AF120</f>
        <v>65.709999999999994</v>
      </c>
      <c r="DA120">
        <f>AJ120</f>
        <v>1</v>
      </c>
      <c r="DB120">
        <f>ROUND((ROUND(AT120*CZ120,2)*1.25),6)</f>
        <v>12.324999999999999</v>
      </c>
      <c r="DC120">
        <f>ROUND((ROUND(AT120*AG120,2)*1.25),6)</f>
        <v>2.1749999999999998</v>
      </c>
    </row>
    <row r="121" spans="1:107" x14ac:dyDescent="0.2">
      <c r="A121">
        <f>ROW(Source!A46)</f>
        <v>46</v>
      </c>
      <c r="B121">
        <v>16856227</v>
      </c>
      <c r="C121">
        <v>16856422</v>
      </c>
      <c r="D121">
        <v>15197630</v>
      </c>
      <c r="E121">
        <v>1</v>
      </c>
      <c r="F121">
        <v>1</v>
      </c>
      <c r="G121">
        <v>1</v>
      </c>
      <c r="H121">
        <v>3</v>
      </c>
      <c r="I121" t="s">
        <v>88</v>
      </c>
      <c r="J121" t="s">
        <v>91</v>
      </c>
      <c r="K121" t="s">
        <v>89</v>
      </c>
      <c r="L121">
        <v>1301</v>
      </c>
      <c r="N121">
        <v>1003</v>
      </c>
      <c r="O121" t="s">
        <v>90</v>
      </c>
      <c r="P121" t="s">
        <v>90</v>
      </c>
      <c r="Q121">
        <v>1</v>
      </c>
      <c r="W121">
        <v>0</v>
      </c>
      <c r="X121">
        <v>1369221803</v>
      </c>
      <c r="Y121">
        <v>100</v>
      </c>
      <c r="AA121">
        <v>64.349999999999994</v>
      </c>
      <c r="AB121">
        <v>0</v>
      </c>
      <c r="AC121">
        <v>0</v>
      </c>
      <c r="AD121">
        <v>0</v>
      </c>
      <c r="AE121">
        <v>64.349999999999994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6</v>
      </c>
      <c r="AT121">
        <v>100</v>
      </c>
      <c r="AU121" t="s">
        <v>6</v>
      </c>
      <c r="AV121">
        <v>0</v>
      </c>
      <c r="AW121">
        <v>1</v>
      </c>
      <c r="AX121">
        <v>-1</v>
      </c>
      <c r="AY121">
        <v>0</v>
      </c>
      <c r="AZ121">
        <v>0</v>
      </c>
      <c r="BA121" t="s">
        <v>6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Y121*Source!I46</f>
        <v>207.22</v>
      </c>
      <c r="CY121">
        <f>AA121</f>
        <v>64.349999999999994</v>
      </c>
      <c r="CZ121">
        <f>AE121</f>
        <v>64.349999999999994</v>
      </c>
      <c r="DA121">
        <f>AI121</f>
        <v>1</v>
      </c>
      <c r="DB121">
        <f>ROUND(ROUND(AT121*CZ121,2),6)</f>
        <v>6435</v>
      </c>
      <c r="DC121">
        <f>ROUND(ROUND(AT121*AG121,2),6)</f>
        <v>0</v>
      </c>
    </row>
    <row r="122" spans="1:107" x14ac:dyDescent="0.2">
      <c r="A122">
        <f>ROW(Source!A46)</f>
        <v>46</v>
      </c>
      <c r="B122">
        <v>16856227</v>
      </c>
      <c r="C122">
        <v>16856422</v>
      </c>
      <c r="D122">
        <v>15197780</v>
      </c>
      <c r="E122">
        <v>1</v>
      </c>
      <c r="F122">
        <v>1</v>
      </c>
      <c r="G122">
        <v>1</v>
      </c>
      <c r="H122">
        <v>3</v>
      </c>
      <c r="I122" t="s">
        <v>392</v>
      </c>
      <c r="J122" t="s">
        <v>393</v>
      </c>
      <c r="K122" t="s">
        <v>394</v>
      </c>
      <c r="L122">
        <v>1355</v>
      </c>
      <c r="N122">
        <v>1010</v>
      </c>
      <c r="O122" t="s">
        <v>395</v>
      </c>
      <c r="P122" t="s">
        <v>395</v>
      </c>
      <c r="Q122">
        <v>100</v>
      </c>
      <c r="W122">
        <v>0</v>
      </c>
      <c r="X122">
        <v>1709713925</v>
      </c>
      <c r="Y122">
        <v>4</v>
      </c>
      <c r="AA122">
        <v>50</v>
      </c>
      <c r="AB122">
        <v>0</v>
      </c>
      <c r="AC122">
        <v>0</v>
      </c>
      <c r="AD122">
        <v>0</v>
      </c>
      <c r="AE122">
        <v>50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4</v>
      </c>
      <c r="AU122" t="s">
        <v>6</v>
      </c>
      <c r="AV122">
        <v>0</v>
      </c>
      <c r="AW122">
        <v>2</v>
      </c>
      <c r="AX122">
        <v>16856435</v>
      </c>
      <c r="AY122">
        <v>1</v>
      </c>
      <c r="AZ122">
        <v>0</v>
      </c>
      <c r="BA122">
        <v>132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Y122*Source!I46</f>
        <v>8.2888000000000002</v>
      </c>
      <c r="CY122">
        <f>AA122</f>
        <v>50</v>
      </c>
      <c r="CZ122">
        <f>AE122</f>
        <v>50</v>
      </c>
      <c r="DA122">
        <f>AI122</f>
        <v>1</v>
      </c>
      <c r="DB122">
        <f>ROUND(ROUND(AT122*CZ122,2),6)</f>
        <v>200</v>
      </c>
      <c r="DC122">
        <f>ROUND(ROUND(AT122*AG122,2),6)</f>
        <v>0</v>
      </c>
    </row>
    <row r="123" spans="1:107" x14ac:dyDescent="0.2">
      <c r="A123">
        <f>ROW(Source!A46)</f>
        <v>46</v>
      </c>
      <c r="B123">
        <v>16856227</v>
      </c>
      <c r="C123">
        <v>16856422</v>
      </c>
      <c r="D123">
        <v>15204239</v>
      </c>
      <c r="E123">
        <v>1</v>
      </c>
      <c r="F123">
        <v>1</v>
      </c>
      <c r="G123">
        <v>1</v>
      </c>
      <c r="H123">
        <v>3</v>
      </c>
      <c r="I123" t="s">
        <v>396</v>
      </c>
      <c r="J123" t="s">
        <v>397</v>
      </c>
      <c r="K123" t="s">
        <v>398</v>
      </c>
      <c r="L123">
        <v>1354</v>
      </c>
      <c r="N123">
        <v>1010</v>
      </c>
      <c r="O123" t="s">
        <v>166</v>
      </c>
      <c r="P123" t="s">
        <v>166</v>
      </c>
      <c r="Q123">
        <v>1</v>
      </c>
      <c r="W123">
        <v>0</v>
      </c>
      <c r="X123">
        <v>-1018551266</v>
      </c>
      <c r="Y123">
        <v>56.6</v>
      </c>
      <c r="AA123">
        <v>67</v>
      </c>
      <c r="AB123">
        <v>0</v>
      </c>
      <c r="AC123">
        <v>0</v>
      </c>
      <c r="AD123">
        <v>0</v>
      </c>
      <c r="AE123">
        <v>67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56.6</v>
      </c>
      <c r="AU123" t="s">
        <v>6</v>
      </c>
      <c r="AV123">
        <v>0</v>
      </c>
      <c r="AW123">
        <v>2</v>
      </c>
      <c r="AX123">
        <v>16856436</v>
      </c>
      <c r="AY123">
        <v>1</v>
      </c>
      <c r="AZ123">
        <v>0</v>
      </c>
      <c r="BA123">
        <v>133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Y123*Source!I46</f>
        <v>117.28652000000001</v>
      </c>
      <c r="CY123">
        <f>AA123</f>
        <v>67</v>
      </c>
      <c r="CZ123">
        <f>AE123</f>
        <v>67</v>
      </c>
      <c r="DA123">
        <f>AI123</f>
        <v>1</v>
      </c>
      <c r="DB123">
        <f>ROUND(ROUND(AT123*CZ123,2),6)</f>
        <v>3792.2</v>
      </c>
      <c r="DC123">
        <f>ROUND(ROUND(AT123*AG123,2),6)</f>
        <v>0</v>
      </c>
    </row>
    <row r="124" spans="1:107" x14ac:dyDescent="0.2">
      <c r="A124">
        <f>ROW(Source!A47)</f>
        <v>47</v>
      </c>
      <c r="B124">
        <v>16856228</v>
      </c>
      <c r="C124">
        <v>16856422</v>
      </c>
      <c r="D124">
        <v>15430767</v>
      </c>
      <c r="E124">
        <v>1</v>
      </c>
      <c r="F124">
        <v>1</v>
      </c>
      <c r="G124">
        <v>1</v>
      </c>
      <c r="H124">
        <v>1</v>
      </c>
      <c r="I124" t="s">
        <v>399</v>
      </c>
      <c r="J124" t="s">
        <v>6</v>
      </c>
      <c r="K124" t="s">
        <v>400</v>
      </c>
      <c r="L124">
        <v>1191</v>
      </c>
      <c r="N124">
        <v>1013</v>
      </c>
      <c r="O124" t="s">
        <v>313</v>
      </c>
      <c r="P124" t="s">
        <v>313</v>
      </c>
      <c r="Q124">
        <v>1</v>
      </c>
      <c r="W124">
        <v>0</v>
      </c>
      <c r="X124">
        <v>-400197608</v>
      </c>
      <c r="Y124">
        <v>24.368500000000001</v>
      </c>
      <c r="AA124">
        <v>0</v>
      </c>
      <c r="AB124">
        <v>0</v>
      </c>
      <c r="AC124">
        <v>0</v>
      </c>
      <c r="AD124">
        <v>57.75</v>
      </c>
      <c r="AE124">
        <v>0</v>
      </c>
      <c r="AF124">
        <v>0</v>
      </c>
      <c r="AG124">
        <v>0</v>
      </c>
      <c r="AH124">
        <v>8.5299999999999994</v>
      </c>
      <c r="AI124">
        <v>1</v>
      </c>
      <c r="AJ124">
        <v>1</v>
      </c>
      <c r="AK124">
        <v>1</v>
      </c>
      <c r="AL124">
        <v>6.77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21.19</v>
      </c>
      <c r="AU124" t="s">
        <v>57</v>
      </c>
      <c r="AV124">
        <v>1</v>
      </c>
      <c r="AW124">
        <v>2</v>
      </c>
      <c r="AX124">
        <v>16856430</v>
      </c>
      <c r="AY124">
        <v>1</v>
      </c>
      <c r="AZ124">
        <v>0</v>
      </c>
      <c r="BA124">
        <v>134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Y124*Source!I47</f>
        <v>50.496405700000004</v>
      </c>
      <c r="CY124">
        <f>AD124</f>
        <v>57.75</v>
      </c>
      <c r="CZ124">
        <f>AH124</f>
        <v>8.5299999999999994</v>
      </c>
      <c r="DA124">
        <f>AL124</f>
        <v>6.77</v>
      </c>
      <c r="DB124">
        <f>ROUND((ROUND(AT124*CZ124,2)*1.15),6)</f>
        <v>207.86250000000001</v>
      </c>
      <c r="DC124">
        <f>ROUND((ROUND(AT124*AG124,2)*1.15),6)</f>
        <v>0</v>
      </c>
    </row>
    <row r="125" spans="1:107" x14ac:dyDescent="0.2">
      <c r="A125">
        <f>ROW(Source!A47)</f>
        <v>47</v>
      </c>
      <c r="B125">
        <v>16856228</v>
      </c>
      <c r="C125">
        <v>16856422</v>
      </c>
      <c r="D125">
        <v>15430395</v>
      </c>
      <c r="E125">
        <v>1</v>
      </c>
      <c r="F125">
        <v>1</v>
      </c>
      <c r="G125">
        <v>1</v>
      </c>
      <c r="H125">
        <v>1</v>
      </c>
      <c r="I125" t="s">
        <v>316</v>
      </c>
      <c r="J125" t="s">
        <v>6</v>
      </c>
      <c r="K125" t="s">
        <v>317</v>
      </c>
      <c r="L125">
        <v>1191</v>
      </c>
      <c r="N125">
        <v>1013</v>
      </c>
      <c r="O125" t="s">
        <v>313</v>
      </c>
      <c r="P125" t="s">
        <v>313</v>
      </c>
      <c r="Q125">
        <v>1</v>
      </c>
      <c r="W125">
        <v>0</v>
      </c>
      <c r="X125">
        <v>-1417349443</v>
      </c>
      <c r="Y125">
        <v>0.19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6.77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0.19</v>
      </c>
      <c r="AU125" t="s">
        <v>6</v>
      </c>
      <c r="AV125">
        <v>2</v>
      </c>
      <c r="AW125">
        <v>2</v>
      </c>
      <c r="AX125">
        <v>16856431</v>
      </c>
      <c r="AY125">
        <v>1</v>
      </c>
      <c r="AZ125">
        <v>2048</v>
      </c>
      <c r="BA125">
        <v>135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Y125*Source!I47</f>
        <v>0.39371800000000001</v>
      </c>
      <c r="CY125">
        <f>AD125</f>
        <v>0</v>
      </c>
      <c r="CZ125">
        <f>AH125</f>
        <v>0</v>
      </c>
      <c r="DA125">
        <f>AL125</f>
        <v>1</v>
      </c>
      <c r="DB125">
        <f>ROUND(ROUND(AT125*CZ125,2),6)</f>
        <v>0</v>
      </c>
      <c r="DC125">
        <f>ROUND(ROUND(AT125*AG125,2),6)</f>
        <v>0</v>
      </c>
    </row>
    <row r="126" spans="1:107" x14ac:dyDescent="0.2">
      <c r="A126">
        <f>ROW(Source!A47)</f>
        <v>47</v>
      </c>
      <c r="B126">
        <v>16856228</v>
      </c>
      <c r="C126">
        <v>16856422</v>
      </c>
      <c r="D126">
        <v>15247974</v>
      </c>
      <c r="E126">
        <v>1</v>
      </c>
      <c r="F126">
        <v>1</v>
      </c>
      <c r="G126">
        <v>1</v>
      </c>
      <c r="H126">
        <v>2</v>
      </c>
      <c r="I126" t="s">
        <v>318</v>
      </c>
      <c r="J126" t="s">
        <v>319</v>
      </c>
      <c r="K126" t="s">
        <v>320</v>
      </c>
      <c r="L126">
        <v>1368</v>
      </c>
      <c r="N126">
        <v>1011</v>
      </c>
      <c r="O126" t="s">
        <v>321</v>
      </c>
      <c r="P126" t="s">
        <v>321</v>
      </c>
      <c r="Q126">
        <v>1</v>
      </c>
      <c r="W126">
        <v>0</v>
      </c>
      <c r="X126">
        <v>1188625873</v>
      </c>
      <c r="Y126">
        <v>0.05</v>
      </c>
      <c r="AA126">
        <v>0</v>
      </c>
      <c r="AB126">
        <v>211.63</v>
      </c>
      <c r="AC126">
        <v>13.5</v>
      </c>
      <c r="AD126">
        <v>0</v>
      </c>
      <c r="AE126">
        <v>0</v>
      </c>
      <c r="AF126">
        <v>31.26</v>
      </c>
      <c r="AG126">
        <v>13.5</v>
      </c>
      <c r="AH126">
        <v>0</v>
      </c>
      <c r="AI126">
        <v>1</v>
      </c>
      <c r="AJ126">
        <v>6.77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0.04</v>
      </c>
      <c r="AU126" t="s">
        <v>56</v>
      </c>
      <c r="AV126">
        <v>0</v>
      </c>
      <c r="AW126">
        <v>2</v>
      </c>
      <c r="AX126">
        <v>16856432</v>
      </c>
      <c r="AY126">
        <v>1</v>
      </c>
      <c r="AZ126">
        <v>0</v>
      </c>
      <c r="BA126">
        <v>136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Y126*Source!I47</f>
        <v>0.10361000000000001</v>
      </c>
      <c r="CY126">
        <f>AB126</f>
        <v>211.63</v>
      </c>
      <c r="CZ126">
        <f>AF126</f>
        <v>31.26</v>
      </c>
      <c r="DA126">
        <f>AJ126</f>
        <v>6.77</v>
      </c>
      <c r="DB126">
        <f>ROUND((ROUND(AT126*CZ126,2)*1.25),6)</f>
        <v>1.5625</v>
      </c>
      <c r="DC126">
        <f>ROUND((ROUND(AT126*AG126,2)*1.25),6)</f>
        <v>0.67500000000000004</v>
      </c>
    </row>
    <row r="127" spans="1:107" x14ac:dyDescent="0.2">
      <c r="A127">
        <f>ROW(Source!A47)</f>
        <v>47</v>
      </c>
      <c r="B127">
        <v>16856228</v>
      </c>
      <c r="C127">
        <v>16856422</v>
      </c>
      <c r="D127">
        <v>15249073</v>
      </c>
      <c r="E127">
        <v>1</v>
      </c>
      <c r="F127">
        <v>1</v>
      </c>
      <c r="G127">
        <v>1</v>
      </c>
      <c r="H127">
        <v>2</v>
      </c>
      <c r="I127" t="s">
        <v>330</v>
      </c>
      <c r="J127" t="s">
        <v>331</v>
      </c>
      <c r="K127" t="s">
        <v>332</v>
      </c>
      <c r="L127">
        <v>1368</v>
      </c>
      <c r="N127">
        <v>1011</v>
      </c>
      <c r="O127" t="s">
        <v>321</v>
      </c>
      <c r="P127" t="s">
        <v>321</v>
      </c>
      <c r="Q127">
        <v>1</v>
      </c>
      <c r="W127">
        <v>0</v>
      </c>
      <c r="X127">
        <v>1372534845</v>
      </c>
      <c r="Y127">
        <v>0.1875</v>
      </c>
      <c r="AA127">
        <v>0</v>
      </c>
      <c r="AB127">
        <v>444.86</v>
      </c>
      <c r="AC127">
        <v>11.6</v>
      </c>
      <c r="AD127">
        <v>0</v>
      </c>
      <c r="AE127">
        <v>0</v>
      </c>
      <c r="AF127">
        <v>65.709999999999994</v>
      </c>
      <c r="AG127">
        <v>11.6</v>
      </c>
      <c r="AH127">
        <v>0</v>
      </c>
      <c r="AI127">
        <v>1</v>
      </c>
      <c r="AJ127">
        <v>6.77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0.15</v>
      </c>
      <c r="AU127" t="s">
        <v>56</v>
      </c>
      <c r="AV127">
        <v>0</v>
      </c>
      <c r="AW127">
        <v>2</v>
      </c>
      <c r="AX127">
        <v>16856433</v>
      </c>
      <c r="AY127">
        <v>1</v>
      </c>
      <c r="AZ127">
        <v>0</v>
      </c>
      <c r="BA127">
        <v>137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Y127*Source!I47</f>
        <v>0.38853749999999998</v>
      </c>
      <c r="CY127">
        <f>AB127</f>
        <v>444.86</v>
      </c>
      <c r="CZ127">
        <f>AF127</f>
        <v>65.709999999999994</v>
      </c>
      <c r="DA127">
        <f>AJ127</f>
        <v>6.77</v>
      </c>
      <c r="DB127">
        <f>ROUND((ROUND(AT127*CZ127,2)*1.25),6)</f>
        <v>12.324999999999999</v>
      </c>
      <c r="DC127">
        <f>ROUND((ROUND(AT127*AG127,2)*1.25),6)</f>
        <v>2.1749999999999998</v>
      </c>
    </row>
    <row r="128" spans="1:107" x14ac:dyDescent="0.2">
      <c r="A128">
        <f>ROW(Source!A47)</f>
        <v>47</v>
      </c>
      <c r="B128">
        <v>16856228</v>
      </c>
      <c r="C128">
        <v>16856422</v>
      </c>
      <c r="D128">
        <v>15197630</v>
      </c>
      <c r="E128">
        <v>1</v>
      </c>
      <c r="F128">
        <v>1</v>
      </c>
      <c r="G128">
        <v>1</v>
      </c>
      <c r="H128">
        <v>3</v>
      </c>
      <c r="I128" t="s">
        <v>88</v>
      </c>
      <c r="J128" t="s">
        <v>91</v>
      </c>
      <c r="K128" t="s">
        <v>89</v>
      </c>
      <c r="L128">
        <v>1301</v>
      </c>
      <c r="N128">
        <v>1003</v>
      </c>
      <c r="O128" t="s">
        <v>90</v>
      </c>
      <c r="P128" t="s">
        <v>90</v>
      </c>
      <c r="Q128">
        <v>1</v>
      </c>
      <c r="W128">
        <v>0</v>
      </c>
      <c r="X128">
        <v>1369221803</v>
      </c>
      <c r="Y128">
        <v>100</v>
      </c>
      <c r="AA128">
        <v>435.65</v>
      </c>
      <c r="AB128">
        <v>0</v>
      </c>
      <c r="AC128">
        <v>0</v>
      </c>
      <c r="AD128">
        <v>0</v>
      </c>
      <c r="AE128">
        <v>64.349999999999994</v>
      </c>
      <c r="AF128">
        <v>0</v>
      </c>
      <c r="AG128">
        <v>0</v>
      </c>
      <c r="AH128">
        <v>0</v>
      </c>
      <c r="AI128">
        <v>6.77</v>
      </c>
      <c r="AJ128">
        <v>1</v>
      </c>
      <c r="AK128">
        <v>1</v>
      </c>
      <c r="AL128">
        <v>1</v>
      </c>
      <c r="AN128">
        <v>0</v>
      </c>
      <c r="AO128">
        <v>0</v>
      </c>
      <c r="AP128">
        <v>0</v>
      </c>
      <c r="AQ128">
        <v>0</v>
      </c>
      <c r="AR128">
        <v>0</v>
      </c>
      <c r="AS128" t="s">
        <v>6</v>
      </c>
      <c r="AT128">
        <v>100</v>
      </c>
      <c r="AU128" t="s">
        <v>6</v>
      </c>
      <c r="AV128">
        <v>0</v>
      </c>
      <c r="AW128">
        <v>1</v>
      </c>
      <c r="AX128">
        <v>-1</v>
      </c>
      <c r="AY128">
        <v>0</v>
      </c>
      <c r="AZ128">
        <v>0</v>
      </c>
      <c r="BA128" t="s">
        <v>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Y128*Source!I47</f>
        <v>207.22</v>
      </c>
      <c r="CY128">
        <f>AA128</f>
        <v>435.65</v>
      </c>
      <c r="CZ128">
        <f>AE128</f>
        <v>64.349999999999994</v>
      </c>
      <c r="DA128">
        <f>AI128</f>
        <v>6.77</v>
      </c>
      <c r="DB128">
        <f>ROUND(ROUND(AT128*CZ128,2),6)</f>
        <v>6435</v>
      </c>
      <c r="DC128">
        <f>ROUND(ROUND(AT128*AG128,2),6)</f>
        <v>0</v>
      </c>
    </row>
    <row r="129" spans="1:107" x14ac:dyDescent="0.2">
      <c r="A129">
        <f>ROW(Source!A47)</f>
        <v>47</v>
      </c>
      <c r="B129">
        <v>16856228</v>
      </c>
      <c r="C129">
        <v>16856422</v>
      </c>
      <c r="D129">
        <v>15197780</v>
      </c>
      <c r="E129">
        <v>1</v>
      </c>
      <c r="F129">
        <v>1</v>
      </c>
      <c r="G129">
        <v>1</v>
      </c>
      <c r="H129">
        <v>3</v>
      </c>
      <c r="I129" t="s">
        <v>392</v>
      </c>
      <c r="J129" t="s">
        <v>393</v>
      </c>
      <c r="K129" t="s">
        <v>394</v>
      </c>
      <c r="L129">
        <v>1355</v>
      </c>
      <c r="N129">
        <v>1010</v>
      </c>
      <c r="O129" t="s">
        <v>395</v>
      </c>
      <c r="P129" t="s">
        <v>395</v>
      </c>
      <c r="Q129">
        <v>100</v>
      </c>
      <c r="W129">
        <v>0</v>
      </c>
      <c r="X129">
        <v>1709713925</v>
      </c>
      <c r="Y129">
        <v>4</v>
      </c>
      <c r="AA129">
        <v>338.5</v>
      </c>
      <c r="AB129">
        <v>0</v>
      </c>
      <c r="AC129">
        <v>0</v>
      </c>
      <c r="AD129">
        <v>0</v>
      </c>
      <c r="AE129">
        <v>50</v>
      </c>
      <c r="AF129">
        <v>0</v>
      </c>
      <c r="AG129">
        <v>0</v>
      </c>
      <c r="AH129">
        <v>0</v>
      </c>
      <c r="AI129">
        <v>6.77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4</v>
      </c>
      <c r="AU129" t="s">
        <v>6</v>
      </c>
      <c r="AV129">
        <v>0</v>
      </c>
      <c r="AW129">
        <v>2</v>
      </c>
      <c r="AX129">
        <v>16856435</v>
      </c>
      <c r="AY129">
        <v>1</v>
      </c>
      <c r="AZ129">
        <v>0</v>
      </c>
      <c r="BA129">
        <v>139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Y129*Source!I47</f>
        <v>8.2888000000000002</v>
      </c>
      <c r="CY129">
        <f>AA129</f>
        <v>338.5</v>
      </c>
      <c r="CZ129">
        <f>AE129</f>
        <v>50</v>
      </c>
      <c r="DA129">
        <f>AI129</f>
        <v>6.77</v>
      </c>
      <c r="DB129">
        <f>ROUND(ROUND(AT129*CZ129,2),6)</f>
        <v>200</v>
      </c>
      <c r="DC129">
        <f>ROUND(ROUND(AT129*AG129,2),6)</f>
        <v>0</v>
      </c>
    </row>
    <row r="130" spans="1:107" x14ac:dyDescent="0.2">
      <c r="A130">
        <f>ROW(Source!A47)</f>
        <v>47</v>
      </c>
      <c r="B130">
        <v>16856228</v>
      </c>
      <c r="C130">
        <v>16856422</v>
      </c>
      <c r="D130">
        <v>15204239</v>
      </c>
      <c r="E130">
        <v>1</v>
      </c>
      <c r="F130">
        <v>1</v>
      </c>
      <c r="G130">
        <v>1</v>
      </c>
      <c r="H130">
        <v>3</v>
      </c>
      <c r="I130" t="s">
        <v>396</v>
      </c>
      <c r="J130" t="s">
        <v>397</v>
      </c>
      <c r="K130" t="s">
        <v>398</v>
      </c>
      <c r="L130">
        <v>1354</v>
      </c>
      <c r="N130">
        <v>1010</v>
      </c>
      <c r="O130" t="s">
        <v>166</v>
      </c>
      <c r="P130" t="s">
        <v>166</v>
      </c>
      <c r="Q130">
        <v>1</v>
      </c>
      <c r="W130">
        <v>0</v>
      </c>
      <c r="X130">
        <v>-1018551266</v>
      </c>
      <c r="Y130">
        <v>56.6</v>
      </c>
      <c r="AA130">
        <v>453.59</v>
      </c>
      <c r="AB130">
        <v>0</v>
      </c>
      <c r="AC130">
        <v>0</v>
      </c>
      <c r="AD130">
        <v>0</v>
      </c>
      <c r="AE130">
        <v>67</v>
      </c>
      <c r="AF130">
        <v>0</v>
      </c>
      <c r="AG130">
        <v>0</v>
      </c>
      <c r="AH130">
        <v>0</v>
      </c>
      <c r="AI130">
        <v>6.77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56.6</v>
      </c>
      <c r="AU130" t="s">
        <v>6</v>
      </c>
      <c r="AV130">
        <v>0</v>
      </c>
      <c r="AW130">
        <v>2</v>
      </c>
      <c r="AX130">
        <v>16856436</v>
      </c>
      <c r="AY130">
        <v>1</v>
      </c>
      <c r="AZ130">
        <v>0</v>
      </c>
      <c r="BA130">
        <v>140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Y130*Source!I47</f>
        <v>117.28652000000001</v>
      </c>
      <c r="CY130">
        <f>AA130</f>
        <v>453.59</v>
      </c>
      <c r="CZ130">
        <f>AE130</f>
        <v>67</v>
      </c>
      <c r="DA130">
        <f>AI130</f>
        <v>6.77</v>
      </c>
      <c r="DB130">
        <f>ROUND(ROUND(AT130*CZ130,2),6)</f>
        <v>3792.2</v>
      </c>
      <c r="DC130">
        <f>ROUND(ROUND(AT130*AG130,2),6)</f>
        <v>0</v>
      </c>
    </row>
    <row r="131" spans="1:107" x14ac:dyDescent="0.2">
      <c r="A131">
        <f>ROW(Source!A50)</f>
        <v>50</v>
      </c>
      <c r="B131">
        <v>16856227</v>
      </c>
      <c r="C131">
        <v>16856438</v>
      </c>
      <c r="D131">
        <v>15430767</v>
      </c>
      <c r="E131">
        <v>1</v>
      </c>
      <c r="F131">
        <v>1</v>
      </c>
      <c r="G131">
        <v>1</v>
      </c>
      <c r="H131">
        <v>1</v>
      </c>
      <c r="I131" t="s">
        <v>399</v>
      </c>
      <c r="J131" t="s">
        <v>6</v>
      </c>
      <c r="K131" t="s">
        <v>400</v>
      </c>
      <c r="L131">
        <v>1191</v>
      </c>
      <c r="N131">
        <v>1013</v>
      </c>
      <c r="O131" t="s">
        <v>313</v>
      </c>
      <c r="P131" t="s">
        <v>313</v>
      </c>
      <c r="Q131">
        <v>1</v>
      </c>
      <c r="W131">
        <v>0</v>
      </c>
      <c r="X131">
        <v>-400197608</v>
      </c>
      <c r="Y131">
        <v>129.66249999999999</v>
      </c>
      <c r="AA131">
        <v>0</v>
      </c>
      <c r="AB131">
        <v>0</v>
      </c>
      <c r="AC131">
        <v>0</v>
      </c>
      <c r="AD131">
        <v>8.5299999999999994</v>
      </c>
      <c r="AE131">
        <v>0</v>
      </c>
      <c r="AF131">
        <v>0</v>
      </c>
      <c r="AG131">
        <v>0</v>
      </c>
      <c r="AH131">
        <v>8.5299999999999994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112.75</v>
      </c>
      <c r="AU131" t="s">
        <v>57</v>
      </c>
      <c r="AV131">
        <v>1</v>
      </c>
      <c r="AW131">
        <v>2</v>
      </c>
      <c r="AX131">
        <v>16856446</v>
      </c>
      <c r="AY131">
        <v>1</v>
      </c>
      <c r="AZ131">
        <v>0</v>
      </c>
      <c r="BA131">
        <v>141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Y131*Source!I50</f>
        <v>68.228407500000003</v>
      </c>
      <c r="CY131">
        <f>AD131</f>
        <v>8.5299999999999994</v>
      </c>
      <c r="CZ131">
        <f>AH131</f>
        <v>8.5299999999999994</v>
      </c>
      <c r="DA131">
        <f>AL131</f>
        <v>1</v>
      </c>
      <c r="DB131">
        <f>ROUND((ROUND(AT131*CZ131,2)*1.15),6)</f>
        <v>1106.0239999999999</v>
      </c>
      <c r="DC131">
        <f>ROUND((ROUND(AT131*AG131,2)*1.15),6)</f>
        <v>0</v>
      </c>
    </row>
    <row r="132" spans="1:107" x14ac:dyDescent="0.2">
      <c r="A132">
        <f>ROW(Source!A50)</f>
        <v>50</v>
      </c>
      <c r="B132">
        <v>16856227</v>
      </c>
      <c r="C132">
        <v>16856438</v>
      </c>
      <c r="D132">
        <v>15430395</v>
      </c>
      <c r="E132">
        <v>1</v>
      </c>
      <c r="F132">
        <v>1</v>
      </c>
      <c r="G132">
        <v>1</v>
      </c>
      <c r="H132">
        <v>1</v>
      </c>
      <c r="I132" t="s">
        <v>316</v>
      </c>
      <c r="J132" t="s">
        <v>6</v>
      </c>
      <c r="K132" t="s">
        <v>317</v>
      </c>
      <c r="L132">
        <v>1191</v>
      </c>
      <c r="N132">
        <v>1013</v>
      </c>
      <c r="O132" t="s">
        <v>313</v>
      </c>
      <c r="P132" t="s">
        <v>313</v>
      </c>
      <c r="Q132">
        <v>1</v>
      </c>
      <c r="W132">
        <v>0</v>
      </c>
      <c r="X132">
        <v>-1417349443</v>
      </c>
      <c r="Y132">
        <v>0.27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0.27</v>
      </c>
      <c r="AU132" t="s">
        <v>6</v>
      </c>
      <c r="AV132">
        <v>2</v>
      </c>
      <c r="AW132">
        <v>2</v>
      </c>
      <c r="AX132">
        <v>16856447</v>
      </c>
      <c r="AY132">
        <v>1</v>
      </c>
      <c r="AZ132">
        <v>2048</v>
      </c>
      <c r="BA132">
        <v>142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Y132*Source!I50</f>
        <v>0.14207400000000001</v>
      </c>
      <c r="CY132">
        <f>AD132</f>
        <v>0</v>
      </c>
      <c r="CZ132">
        <f>AH132</f>
        <v>0</v>
      </c>
      <c r="DA132">
        <f>AL132</f>
        <v>1</v>
      </c>
      <c r="DB132">
        <f>ROUND(ROUND(AT132*CZ132,2),6)</f>
        <v>0</v>
      </c>
      <c r="DC132">
        <f>ROUND(ROUND(AT132*AG132,2),6)</f>
        <v>0</v>
      </c>
    </row>
    <row r="133" spans="1:107" x14ac:dyDescent="0.2">
      <c r="A133">
        <f>ROW(Source!A50)</f>
        <v>50</v>
      </c>
      <c r="B133">
        <v>16856227</v>
      </c>
      <c r="C133">
        <v>16856438</v>
      </c>
      <c r="D133">
        <v>15247578</v>
      </c>
      <c r="E133">
        <v>1</v>
      </c>
      <c r="F133">
        <v>1</v>
      </c>
      <c r="G133">
        <v>1</v>
      </c>
      <c r="H133">
        <v>2</v>
      </c>
      <c r="I133" t="s">
        <v>401</v>
      </c>
      <c r="J133" t="s">
        <v>402</v>
      </c>
      <c r="K133" t="s">
        <v>403</v>
      </c>
      <c r="L133">
        <v>1368</v>
      </c>
      <c r="N133">
        <v>1011</v>
      </c>
      <c r="O133" t="s">
        <v>321</v>
      </c>
      <c r="P133" t="s">
        <v>321</v>
      </c>
      <c r="Q133">
        <v>1</v>
      </c>
      <c r="W133">
        <v>0</v>
      </c>
      <c r="X133">
        <v>-1460065968</v>
      </c>
      <c r="Y133">
        <v>0.25</v>
      </c>
      <c r="AA133">
        <v>0</v>
      </c>
      <c r="AB133">
        <v>86.4</v>
      </c>
      <c r="AC133">
        <v>13.5</v>
      </c>
      <c r="AD133">
        <v>0</v>
      </c>
      <c r="AE133">
        <v>0</v>
      </c>
      <c r="AF133">
        <v>86.4</v>
      </c>
      <c r="AG133">
        <v>13.5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0.2</v>
      </c>
      <c r="AU133" t="s">
        <v>56</v>
      </c>
      <c r="AV133">
        <v>0</v>
      </c>
      <c r="AW133">
        <v>2</v>
      </c>
      <c r="AX133">
        <v>16856448</v>
      </c>
      <c r="AY133">
        <v>1</v>
      </c>
      <c r="AZ133">
        <v>0</v>
      </c>
      <c r="BA133">
        <v>143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Y133*Source!I50</f>
        <v>0.13155</v>
      </c>
      <c r="CY133">
        <f>AB133</f>
        <v>86.4</v>
      </c>
      <c r="CZ133">
        <f>AF133</f>
        <v>86.4</v>
      </c>
      <c r="DA133">
        <f>AJ133</f>
        <v>1</v>
      </c>
      <c r="DB133">
        <f>ROUND((ROUND(AT133*CZ133,2)*1.25),6)</f>
        <v>21.6</v>
      </c>
      <c r="DC133">
        <f>ROUND((ROUND(AT133*AG133,2)*1.25),6)</f>
        <v>3.375</v>
      </c>
    </row>
    <row r="134" spans="1:107" x14ac:dyDescent="0.2">
      <c r="A134">
        <f>ROW(Source!A50)</f>
        <v>50</v>
      </c>
      <c r="B134">
        <v>16856227</v>
      </c>
      <c r="C134">
        <v>16856438</v>
      </c>
      <c r="D134">
        <v>15249073</v>
      </c>
      <c r="E134">
        <v>1</v>
      </c>
      <c r="F134">
        <v>1</v>
      </c>
      <c r="G134">
        <v>1</v>
      </c>
      <c r="H134">
        <v>2</v>
      </c>
      <c r="I134" t="s">
        <v>330</v>
      </c>
      <c r="J134" t="s">
        <v>331</v>
      </c>
      <c r="K134" t="s">
        <v>332</v>
      </c>
      <c r="L134">
        <v>1368</v>
      </c>
      <c r="N134">
        <v>1011</v>
      </c>
      <c r="O134" t="s">
        <v>321</v>
      </c>
      <c r="P134" t="s">
        <v>321</v>
      </c>
      <c r="Q134">
        <v>1</v>
      </c>
      <c r="W134">
        <v>0</v>
      </c>
      <c r="X134">
        <v>1372534845</v>
      </c>
      <c r="Y134">
        <v>8.7500000000000008E-2</v>
      </c>
      <c r="AA134">
        <v>0</v>
      </c>
      <c r="AB134">
        <v>65.709999999999994</v>
      </c>
      <c r="AC134">
        <v>11.6</v>
      </c>
      <c r="AD134">
        <v>0</v>
      </c>
      <c r="AE134">
        <v>0</v>
      </c>
      <c r="AF134">
        <v>65.709999999999994</v>
      </c>
      <c r="AG134">
        <v>11.6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6</v>
      </c>
      <c r="AT134">
        <v>7.0000000000000007E-2</v>
      </c>
      <c r="AU134" t="s">
        <v>56</v>
      </c>
      <c r="AV134">
        <v>0</v>
      </c>
      <c r="AW134">
        <v>2</v>
      </c>
      <c r="AX134">
        <v>16856449</v>
      </c>
      <c r="AY134">
        <v>1</v>
      </c>
      <c r="AZ134">
        <v>0</v>
      </c>
      <c r="BA134">
        <v>144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Y134*Source!I50</f>
        <v>4.6042500000000007E-2</v>
      </c>
      <c r="CY134">
        <f>AB134</f>
        <v>65.709999999999994</v>
      </c>
      <c r="CZ134">
        <f>AF134</f>
        <v>65.709999999999994</v>
      </c>
      <c r="DA134">
        <f>AJ134</f>
        <v>1</v>
      </c>
      <c r="DB134">
        <f>ROUND((ROUND(AT134*CZ134,2)*1.25),6)</f>
        <v>5.75</v>
      </c>
      <c r="DC134">
        <f>ROUND((ROUND(AT134*AG134,2)*1.25),6)</f>
        <v>1.0125</v>
      </c>
    </row>
    <row r="135" spans="1:107" x14ac:dyDescent="0.2">
      <c r="A135">
        <f>ROW(Source!A50)</f>
        <v>50</v>
      </c>
      <c r="B135">
        <v>16856227</v>
      </c>
      <c r="C135">
        <v>16856438</v>
      </c>
      <c r="D135">
        <v>15170059</v>
      </c>
      <c r="E135">
        <v>1</v>
      </c>
      <c r="F135">
        <v>1</v>
      </c>
      <c r="G135">
        <v>1</v>
      </c>
      <c r="H135">
        <v>3</v>
      </c>
      <c r="I135" t="s">
        <v>404</v>
      </c>
      <c r="J135" t="s">
        <v>405</v>
      </c>
      <c r="K135" t="s">
        <v>406</v>
      </c>
      <c r="L135">
        <v>1348</v>
      </c>
      <c r="N135">
        <v>1009</v>
      </c>
      <c r="O135" t="s">
        <v>37</v>
      </c>
      <c r="P135" t="s">
        <v>37</v>
      </c>
      <c r="Q135">
        <v>1000</v>
      </c>
      <c r="W135">
        <v>0</v>
      </c>
      <c r="X135">
        <v>-1818623805</v>
      </c>
      <c r="Y135">
        <v>4.0000000000000001E-3</v>
      </c>
      <c r="AA135">
        <v>8475</v>
      </c>
      <c r="AB135">
        <v>0</v>
      </c>
      <c r="AC135">
        <v>0</v>
      </c>
      <c r="AD135">
        <v>0</v>
      </c>
      <c r="AE135">
        <v>8475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4.0000000000000001E-3</v>
      </c>
      <c r="AU135" t="s">
        <v>6</v>
      </c>
      <c r="AV135">
        <v>0</v>
      </c>
      <c r="AW135">
        <v>2</v>
      </c>
      <c r="AX135">
        <v>16856450</v>
      </c>
      <c r="AY135">
        <v>1</v>
      </c>
      <c r="AZ135">
        <v>0</v>
      </c>
      <c r="BA135">
        <v>145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Y135*Source!I50</f>
        <v>2.1048E-3</v>
      </c>
      <c r="CY135">
        <f>AA135</f>
        <v>8475</v>
      </c>
      <c r="CZ135">
        <f>AE135</f>
        <v>8475</v>
      </c>
      <c r="DA135">
        <f>AI135</f>
        <v>1</v>
      </c>
      <c r="DB135">
        <f>ROUND(ROUND(AT135*CZ135,2),6)</f>
        <v>33.9</v>
      </c>
      <c r="DC135">
        <f>ROUND(ROUND(AT135*AG135,2),6)</f>
        <v>0</v>
      </c>
    </row>
    <row r="136" spans="1:107" x14ac:dyDescent="0.2">
      <c r="A136">
        <f>ROW(Source!A50)</f>
        <v>50</v>
      </c>
      <c r="B136">
        <v>16856227</v>
      </c>
      <c r="C136">
        <v>16856438</v>
      </c>
      <c r="D136">
        <v>15191140</v>
      </c>
      <c r="E136">
        <v>1</v>
      </c>
      <c r="F136">
        <v>1</v>
      </c>
      <c r="G136">
        <v>1</v>
      </c>
      <c r="H136">
        <v>3</v>
      </c>
      <c r="I136" t="s">
        <v>407</v>
      </c>
      <c r="J136" t="s">
        <v>408</v>
      </c>
      <c r="K136" t="s">
        <v>409</v>
      </c>
      <c r="L136">
        <v>1348</v>
      </c>
      <c r="N136">
        <v>1009</v>
      </c>
      <c r="O136" t="s">
        <v>37</v>
      </c>
      <c r="P136" t="s">
        <v>37</v>
      </c>
      <c r="Q136">
        <v>1000</v>
      </c>
      <c r="W136">
        <v>0</v>
      </c>
      <c r="X136">
        <v>-177380457</v>
      </c>
      <c r="Y136">
        <v>1.2E-2</v>
      </c>
      <c r="AA136">
        <v>8190</v>
      </c>
      <c r="AB136">
        <v>0</v>
      </c>
      <c r="AC136">
        <v>0</v>
      </c>
      <c r="AD136">
        <v>0</v>
      </c>
      <c r="AE136">
        <v>8190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1.2E-2</v>
      </c>
      <c r="AU136" t="s">
        <v>6</v>
      </c>
      <c r="AV136">
        <v>0</v>
      </c>
      <c r="AW136">
        <v>2</v>
      </c>
      <c r="AX136">
        <v>16856451</v>
      </c>
      <c r="AY136">
        <v>1</v>
      </c>
      <c r="AZ136">
        <v>0</v>
      </c>
      <c r="BA136">
        <v>146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Y136*Source!I50</f>
        <v>6.3144000000000004E-3</v>
      </c>
      <c r="CY136">
        <f>AA136</f>
        <v>8190</v>
      </c>
      <c r="CZ136">
        <f>AE136</f>
        <v>8190</v>
      </c>
      <c r="DA136">
        <f>AI136</f>
        <v>1</v>
      </c>
      <c r="DB136">
        <f>ROUND(ROUND(AT136*CZ136,2),6)</f>
        <v>98.28</v>
      </c>
      <c r="DC136">
        <f>ROUND(ROUND(AT136*AG136,2),6)</f>
        <v>0</v>
      </c>
    </row>
    <row r="137" spans="1:107" x14ac:dyDescent="0.2">
      <c r="A137">
        <f>ROW(Source!A50)</f>
        <v>50</v>
      </c>
      <c r="B137">
        <v>16856227</v>
      </c>
      <c r="C137">
        <v>16856438</v>
      </c>
      <c r="D137">
        <v>15191387</v>
      </c>
      <c r="E137">
        <v>1</v>
      </c>
      <c r="F137">
        <v>1</v>
      </c>
      <c r="G137">
        <v>1</v>
      </c>
      <c r="H137">
        <v>3</v>
      </c>
      <c r="I137" t="s">
        <v>410</v>
      </c>
      <c r="J137" t="s">
        <v>411</v>
      </c>
      <c r="K137" t="s">
        <v>412</v>
      </c>
      <c r="L137">
        <v>1348</v>
      </c>
      <c r="N137">
        <v>1009</v>
      </c>
      <c r="O137" t="s">
        <v>37</v>
      </c>
      <c r="P137" t="s">
        <v>37</v>
      </c>
      <c r="Q137">
        <v>1000</v>
      </c>
      <c r="W137">
        <v>0</v>
      </c>
      <c r="X137">
        <v>-272931147</v>
      </c>
      <c r="Y137">
        <v>0.78200000000000003</v>
      </c>
      <c r="AA137">
        <v>11200</v>
      </c>
      <c r="AB137">
        <v>0</v>
      </c>
      <c r="AC137">
        <v>0</v>
      </c>
      <c r="AD137">
        <v>0</v>
      </c>
      <c r="AE137">
        <v>11200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0.78200000000000003</v>
      </c>
      <c r="AU137" t="s">
        <v>6</v>
      </c>
      <c r="AV137">
        <v>0</v>
      </c>
      <c r="AW137">
        <v>2</v>
      </c>
      <c r="AX137">
        <v>16856452</v>
      </c>
      <c r="AY137">
        <v>1</v>
      </c>
      <c r="AZ137">
        <v>0</v>
      </c>
      <c r="BA137">
        <v>147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Y137*Source!I50</f>
        <v>0.41148840000000003</v>
      </c>
      <c r="CY137">
        <f>AA137</f>
        <v>11200</v>
      </c>
      <c r="CZ137">
        <f>AE137</f>
        <v>11200</v>
      </c>
      <c r="DA137">
        <f>AI137</f>
        <v>1</v>
      </c>
      <c r="DB137">
        <f>ROUND(ROUND(AT137*CZ137,2),6)</f>
        <v>8758.4</v>
      </c>
      <c r="DC137">
        <f>ROUND(ROUND(AT137*AG137,2),6)</f>
        <v>0</v>
      </c>
    </row>
    <row r="138" spans="1:107" x14ac:dyDescent="0.2">
      <c r="A138">
        <f>ROW(Source!A51)</f>
        <v>51</v>
      </c>
      <c r="B138">
        <v>16856228</v>
      </c>
      <c r="C138">
        <v>16856438</v>
      </c>
      <c r="D138">
        <v>15430767</v>
      </c>
      <c r="E138">
        <v>1</v>
      </c>
      <c r="F138">
        <v>1</v>
      </c>
      <c r="G138">
        <v>1</v>
      </c>
      <c r="H138">
        <v>1</v>
      </c>
      <c r="I138" t="s">
        <v>399</v>
      </c>
      <c r="J138" t="s">
        <v>6</v>
      </c>
      <c r="K138" t="s">
        <v>400</v>
      </c>
      <c r="L138">
        <v>1191</v>
      </c>
      <c r="N138">
        <v>1013</v>
      </c>
      <c r="O138" t="s">
        <v>313</v>
      </c>
      <c r="P138" t="s">
        <v>313</v>
      </c>
      <c r="Q138">
        <v>1</v>
      </c>
      <c r="W138">
        <v>0</v>
      </c>
      <c r="X138">
        <v>-400197608</v>
      </c>
      <c r="Y138">
        <v>129.66249999999999</v>
      </c>
      <c r="AA138">
        <v>0</v>
      </c>
      <c r="AB138">
        <v>0</v>
      </c>
      <c r="AC138">
        <v>0</v>
      </c>
      <c r="AD138">
        <v>57.75</v>
      </c>
      <c r="AE138">
        <v>0</v>
      </c>
      <c r="AF138">
        <v>0</v>
      </c>
      <c r="AG138">
        <v>0</v>
      </c>
      <c r="AH138">
        <v>8.5299999999999994</v>
      </c>
      <c r="AI138">
        <v>1</v>
      </c>
      <c r="AJ138">
        <v>1</v>
      </c>
      <c r="AK138">
        <v>1</v>
      </c>
      <c r="AL138">
        <v>6.77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6</v>
      </c>
      <c r="AT138">
        <v>112.75</v>
      </c>
      <c r="AU138" t="s">
        <v>57</v>
      </c>
      <c r="AV138">
        <v>1</v>
      </c>
      <c r="AW138">
        <v>2</v>
      </c>
      <c r="AX138">
        <v>16856446</v>
      </c>
      <c r="AY138">
        <v>1</v>
      </c>
      <c r="AZ138">
        <v>0</v>
      </c>
      <c r="BA138">
        <v>148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Y138*Source!I51</f>
        <v>68.228407500000003</v>
      </c>
      <c r="CY138">
        <f>AD138</f>
        <v>57.75</v>
      </c>
      <c r="CZ138">
        <f>AH138</f>
        <v>8.5299999999999994</v>
      </c>
      <c r="DA138">
        <f>AL138</f>
        <v>6.77</v>
      </c>
      <c r="DB138">
        <f>ROUND((ROUND(AT138*CZ138,2)*1.15),6)</f>
        <v>1106.0239999999999</v>
      </c>
      <c r="DC138">
        <f>ROUND((ROUND(AT138*AG138,2)*1.15),6)</f>
        <v>0</v>
      </c>
    </row>
    <row r="139" spans="1:107" x14ac:dyDescent="0.2">
      <c r="A139">
        <f>ROW(Source!A51)</f>
        <v>51</v>
      </c>
      <c r="B139">
        <v>16856228</v>
      </c>
      <c r="C139">
        <v>16856438</v>
      </c>
      <c r="D139">
        <v>15430395</v>
      </c>
      <c r="E139">
        <v>1</v>
      </c>
      <c r="F139">
        <v>1</v>
      </c>
      <c r="G139">
        <v>1</v>
      </c>
      <c r="H139">
        <v>1</v>
      </c>
      <c r="I139" t="s">
        <v>316</v>
      </c>
      <c r="J139" t="s">
        <v>6</v>
      </c>
      <c r="K139" t="s">
        <v>317</v>
      </c>
      <c r="L139">
        <v>1191</v>
      </c>
      <c r="N139">
        <v>1013</v>
      </c>
      <c r="O139" t="s">
        <v>313</v>
      </c>
      <c r="P139" t="s">
        <v>313</v>
      </c>
      <c r="Q139">
        <v>1</v>
      </c>
      <c r="W139">
        <v>0</v>
      </c>
      <c r="X139">
        <v>-1417349443</v>
      </c>
      <c r="Y139">
        <v>0.27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6.77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0.27</v>
      </c>
      <c r="AU139" t="s">
        <v>6</v>
      </c>
      <c r="AV139">
        <v>2</v>
      </c>
      <c r="AW139">
        <v>2</v>
      </c>
      <c r="AX139">
        <v>16856447</v>
      </c>
      <c r="AY139">
        <v>1</v>
      </c>
      <c r="AZ139">
        <v>2048</v>
      </c>
      <c r="BA139">
        <v>149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Y139*Source!I51</f>
        <v>0.14207400000000001</v>
      </c>
      <c r="CY139">
        <f>AD139</f>
        <v>0</v>
      </c>
      <c r="CZ139">
        <f>AH139</f>
        <v>0</v>
      </c>
      <c r="DA139">
        <f>AL139</f>
        <v>1</v>
      </c>
      <c r="DB139">
        <f>ROUND(ROUND(AT139*CZ139,2),6)</f>
        <v>0</v>
      </c>
      <c r="DC139">
        <f>ROUND(ROUND(AT139*AG139,2),6)</f>
        <v>0</v>
      </c>
    </row>
    <row r="140" spans="1:107" x14ac:dyDescent="0.2">
      <c r="A140">
        <f>ROW(Source!A51)</f>
        <v>51</v>
      </c>
      <c r="B140">
        <v>16856228</v>
      </c>
      <c r="C140">
        <v>16856438</v>
      </c>
      <c r="D140">
        <v>15247578</v>
      </c>
      <c r="E140">
        <v>1</v>
      </c>
      <c r="F140">
        <v>1</v>
      </c>
      <c r="G140">
        <v>1</v>
      </c>
      <c r="H140">
        <v>2</v>
      </c>
      <c r="I140" t="s">
        <v>401</v>
      </c>
      <c r="J140" t="s">
        <v>402</v>
      </c>
      <c r="K140" t="s">
        <v>403</v>
      </c>
      <c r="L140">
        <v>1368</v>
      </c>
      <c r="N140">
        <v>1011</v>
      </c>
      <c r="O140" t="s">
        <v>321</v>
      </c>
      <c r="P140" t="s">
        <v>321</v>
      </c>
      <c r="Q140">
        <v>1</v>
      </c>
      <c r="W140">
        <v>0</v>
      </c>
      <c r="X140">
        <v>-1460065968</v>
      </c>
      <c r="Y140">
        <v>0.25</v>
      </c>
      <c r="AA140">
        <v>0</v>
      </c>
      <c r="AB140">
        <v>584.92999999999995</v>
      </c>
      <c r="AC140">
        <v>13.5</v>
      </c>
      <c r="AD140">
        <v>0</v>
      </c>
      <c r="AE140">
        <v>0</v>
      </c>
      <c r="AF140">
        <v>86.4</v>
      </c>
      <c r="AG140">
        <v>13.5</v>
      </c>
      <c r="AH140">
        <v>0</v>
      </c>
      <c r="AI140">
        <v>1</v>
      </c>
      <c r="AJ140">
        <v>6.77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0.2</v>
      </c>
      <c r="AU140" t="s">
        <v>56</v>
      </c>
      <c r="AV140">
        <v>0</v>
      </c>
      <c r="AW140">
        <v>2</v>
      </c>
      <c r="AX140">
        <v>16856448</v>
      </c>
      <c r="AY140">
        <v>1</v>
      </c>
      <c r="AZ140">
        <v>0</v>
      </c>
      <c r="BA140">
        <v>150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Y140*Source!I51</f>
        <v>0.13155</v>
      </c>
      <c r="CY140">
        <f>AB140</f>
        <v>584.92999999999995</v>
      </c>
      <c r="CZ140">
        <f>AF140</f>
        <v>86.4</v>
      </c>
      <c r="DA140">
        <f>AJ140</f>
        <v>6.77</v>
      </c>
      <c r="DB140">
        <f>ROUND((ROUND(AT140*CZ140,2)*1.25),6)</f>
        <v>21.6</v>
      </c>
      <c r="DC140">
        <f>ROUND((ROUND(AT140*AG140,2)*1.25),6)</f>
        <v>3.375</v>
      </c>
    </row>
    <row r="141" spans="1:107" x14ac:dyDescent="0.2">
      <c r="A141">
        <f>ROW(Source!A51)</f>
        <v>51</v>
      </c>
      <c r="B141">
        <v>16856228</v>
      </c>
      <c r="C141">
        <v>16856438</v>
      </c>
      <c r="D141">
        <v>15249073</v>
      </c>
      <c r="E141">
        <v>1</v>
      </c>
      <c r="F141">
        <v>1</v>
      </c>
      <c r="G141">
        <v>1</v>
      </c>
      <c r="H141">
        <v>2</v>
      </c>
      <c r="I141" t="s">
        <v>330</v>
      </c>
      <c r="J141" t="s">
        <v>331</v>
      </c>
      <c r="K141" t="s">
        <v>332</v>
      </c>
      <c r="L141">
        <v>1368</v>
      </c>
      <c r="N141">
        <v>1011</v>
      </c>
      <c r="O141" t="s">
        <v>321</v>
      </c>
      <c r="P141" t="s">
        <v>321</v>
      </c>
      <c r="Q141">
        <v>1</v>
      </c>
      <c r="W141">
        <v>0</v>
      </c>
      <c r="X141">
        <v>1372534845</v>
      </c>
      <c r="Y141">
        <v>8.7500000000000008E-2</v>
      </c>
      <c r="AA141">
        <v>0</v>
      </c>
      <c r="AB141">
        <v>444.86</v>
      </c>
      <c r="AC141">
        <v>11.6</v>
      </c>
      <c r="AD141">
        <v>0</v>
      </c>
      <c r="AE141">
        <v>0</v>
      </c>
      <c r="AF141">
        <v>65.709999999999994</v>
      </c>
      <c r="AG141">
        <v>11.6</v>
      </c>
      <c r="AH141">
        <v>0</v>
      </c>
      <c r="AI141">
        <v>1</v>
      </c>
      <c r="AJ141">
        <v>6.77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7.0000000000000007E-2</v>
      </c>
      <c r="AU141" t="s">
        <v>56</v>
      </c>
      <c r="AV141">
        <v>0</v>
      </c>
      <c r="AW141">
        <v>2</v>
      </c>
      <c r="AX141">
        <v>16856449</v>
      </c>
      <c r="AY141">
        <v>1</v>
      </c>
      <c r="AZ141">
        <v>0</v>
      </c>
      <c r="BA141">
        <v>151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Y141*Source!I51</f>
        <v>4.6042500000000007E-2</v>
      </c>
      <c r="CY141">
        <f>AB141</f>
        <v>444.86</v>
      </c>
      <c r="CZ141">
        <f>AF141</f>
        <v>65.709999999999994</v>
      </c>
      <c r="DA141">
        <f>AJ141</f>
        <v>6.77</v>
      </c>
      <c r="DB141">
        <f>ROUND((ROUND(AT141*CZ141,2)*1.25),6)</f>
        <v>5.75</v>
      </c>
      <c r="DC141">
        <f>ROUND((ROUND(AT141*AG141,2)*1.25),6)</f>
        <v>1.0125</v>
      </c>
    </row>
    <row r="142" spans="1:107" x14ac:dyDescent="0.2">
      <c r="A142">
        <f>ROW(Source!A51)</f>
        <v>51</v>
      </c>
      <c r="B142">
        <v>16856228</v>
      </c>
      <c r="C142">
        <v>16856438</v>
      </c>
      <c r="D142">
        <v>15170059</v>
      </c>
      <c r="E142">
        <v>1</v>
      </c>
      <c r="F142">
        <v>1</v>
      </c>
      <c r="G142">
        <v>1</v>
      </c>
      <c r="H142">
        <v>3</v>
      </c>
      <c r="I142" t="s">
        <v>404</v>
      </c>
      <c r="J142" t="s">
        <v>405</v>
      </c>
      <c r="K142" t="s">
        <v>406</v>
      </c>
      <c r="L142">
        <v>1348</v>
      </c>
      <c r="N142">
        <v>1009</v>
      </c>
      <c r="O142" t="s">
        <v>37</v>
      </c>
      <c r="P142" t="s">
        <v>37</v>
      </c>
      <c r="Q142">
        <v>1000</v>
      </c>
      <c r="W142">
        <v>0</v>
      </c>
      <c r="X142">
        <v>-1818623805</v>
      </c>
      <c r="Y142">
        <v>4.0000000000000001E-3</v>
      </c>
      <c r="AA142">
        <v>57375.75</v>
      </c>
      <c r="AB142">
        <v>0</v>
      </c>
      <c r="AC142">
        <v>0</v>
      </c>
      <c r="AD142">
        <v>0</v>
      </c>
      <c r="AE142">
        <v>8475</v>
      </c>
      <c r="AF142">
        <v>0</v>
      </c>
      <c r="AG142">
        <v>0</v>
      </c>
      <c r="AH142">
        <v>0</v>
      </c>
      <c r="AI142">
        <v>6.77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4.0000000000000001E-3</v>
      </c>
      <c r="AU142" t="s">
        <v>6</v>
      </c>
      <c r="AV142">
        <v>0</v>
      </c>
      <c r="AW142">
        <v>2</v>
      </c>
      <c r="AX142">
        <v>16856450</v>
      </c>
      <c r="AY142">
        <v>1</v>
      </c>
      <c r="AZ142">
        <v>0</v>
      </c>
      <c r="BA142">
        <v>152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Y142*Source!I51</f>
        <v>2.1048E-3</v>
      </c>
      <c r="CY142">
        <f>AA142</f>
        <v>57375.75</v>
      </c>
      <c r="CZ142">
        <f>AE142</f>
        <v>8475</v>
      </c>
      <c r="DA142">
        <f>AI142</f>
        <v>6.77</v>
      </c>
      <c r="DB142">
        <f t="shared" ref="DB142:DB156" si="42">ROUND(ROUND(AT142*CZ142,2),6)</f>
        <v>33.9</v>
      </c>
      <c r="DC142">
        <f t="shared" ref="DC142:DC156" si="43">ROUND(ROUND(AT142*AG142,2),6)</f>
        <v>0</v>
      </c>
    </row>
    <row r="143" spans="1:107" x14ac:dyDescent="0.2">
      <c r="A143">
        <f>ROW(Source!A51)</f>
        <v>51</v>
      </c>
      <c r="B143">
        <v>16856228</v>
      </c>
      <c r="C143">
        <v>16856438</v>
      </c>
      <c r="D143">
        <v>15191140</v>
      </c>
      <c r="E143">
        <v>1</v>
      </c>
      <c r="F143">
        <v>1</v>
      </c>
      <c r="G143">
        <v>1</v>
      </c>
      <c r="H143">
        <v>3</v>
      </c>
      <c r="I143" t="s">
        <v>407</v>
      </c>
      <c r="J143" t="s">
        <v>408</v>
      </c>
      <c r="K143" t="s">
        <v>409</v>
      </c>
      <c r="L143">
        <v>1348</v>
      </c>
      <c r="N143">
        <v>1009</v>
      </c>
      <c r="O143" t="s">
        <v>37</v>
      </c>
      <c r="P143" t="s">
        <v>37</v>
      </c>
      <c r="Q143">
        <v>1000</v>
      </c>
      <c r="W143">
        <v>0</v>
      </c>
      <c r="X143">
        <v>-177380457</v>
      </c>
      <c r="Y143">
        <v>1.2E-2</v>
      </c>
      <c r="AA143">
        <v>55446.3</v>
      </c>
      <c r="AB143">
        <v>0</v>
      </c>
      <c r="AC143">
        <v>0</v>
      </c>
      <c r="AD143">
        <v>0</v>
      </c>
      <c r="AE143">
        <v>8190</v>
      </c>
      <c r="AF143">
        <v>0</v>
      </c>
      <c r="AG143">
        <v>0</v>
      </c>
      <c r="AH143">
        <v>0</v>
      </c>
      <c r="AI143">
        <v>6.77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1.2E-2</v>
      </c>
      <c r="AU143" t="s">
        <v>6</v>
      </c>
      <c r="AV143">
        <v>0</v>
      </c>
      <c r="AW143">
        <v>2</v>
      </c>
      <c r="AX143">
        <v>16856451</v>
      </c>
      <c r="AY143">
        <v>1</v>
      </c>
      <c r="AZ143">
        <v>0</v>
      </c>
      <c r="BA143">
        <v>153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Y143*Source!I51</f>
        <v>6.3144000000000004E-3</v>
      </c>
      <c r="CY143">
        <f>AA143</f>
        <v>55446.3</v>
      </c>
      <c r="CZ143">
        <f>AE143</f>
        <v>8190</v>
      </c>
      <c r="DA143">
        <f>AI143</f>
        <v>6.77</v>
      </c>
      <c r="DB143">
        <f t="shared" si="42"/>
        <v>98.28</v>
      </c>
      <c r="DC143">
        <f t="shared" si="43"/>
        <v>0</v>
      </c>
    </row>
    <row r="144" spans="1:107" x14ac:dyDescent="0.2">
      <c r="A144">
        <f>ROW(Source!A51)</f>
        <v>51</v>
      </c>
      <c r="B144">
        <v>16856228</v>
      </c>
      <c r="C144">
        <v>16856438</v>
      </c>
      <c r="D144">
        <v>15191387</v>
      </c>
      <c r="E144">
        <v>1</v>
      </c>
      <c r="F144">
        <v>1</v>
      </c>
      <c r="G144">
        <v>1</v>
      </c>
      <c r="H144">
        <v>3</v>
      </c>
      <c r="I144" t="s">
        <v>410</v>
      </c>
      <c r="J144" t="s">
        <v>411</v>
      </c>
      <c r="K144" t="s">
        <v>412</v>
      </c>
      <c r="L144">
        <v>1348</v>
      </c>
      <c r="N144">
        <v>1009</v>
      </c>
      <c r="O144" t="s">
        <v>37</v>
      </c>
      <c r="P144" t="s">
        <v>37</v>
      </c>
      <c r="Q144">
        <v>1000</v>
      </c>
      <c r="W144">
        <v>0</v>
      </c>
      <c r="X144">
        <v>-272931147</v>
      </c>
      <c r="Y144">
        <v>0.78200000000000003</v>
      </c>
      <c r="AA144">
        <v>75824</v>
      </c>
      <c r="AB144">
        <v>0</v>
      </c>
      <c r="AC144">
        <v>0</v>
      </c>
      <c r="AD144">
        <v>0</v>
      </c>
      <c r="AE144">
        <v>11200</v>
      </c>
      <c r="AF144">
        <v>0</v>
      </c>
      <c r="AG144">
        <v>0</v>
      </c>
      <c r="AH144">
        <v>0</v>
      </c>
      <c r="AI144">
        <v>6.77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0.78200000000000003</v>
      </c>
      <c r="AU144" t="s">
        <v>6</v>
      </c>
      <c r="AV144">
        <v>0</v>
      </c>
      <c r="AW144">
        <v>2</v>
      </c>
      <c r="AX144">
        <v>16856452</v>
      </c>
      <c r="AY144">
        <v>1</v>
      </c>
      <c r="AZ144">
        <v>0</v>
      </c>
      <c r="BA144">
        <v>154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Y144*Source!I51</f>
        <v>0.41148840000000003</v>
      </c>
      <c r="CY144">
        <f>AA144</f>
        <v>75824</v>
      </c>
      <c r="CZ144">
        <f>AE144</f>
        <v>11200</v>
      </c>
      <c r="DA144">
        <f>AI144</f>
        <v>6.77</v>
      </c>
      <c r="DB144">
        <f t="shared" si="42"/>
        <v>8758.4</v>
      </c>
      <c r="DC144">
        <f t="shared" si="43"/>
        <v>0</v>
      </c>
    </row>
    <row r="145" spans="1:107" x14ac:dyDescent="0.2">
      <c r="A145">
        <f>ROW(Source!A52)</f>
        <v>52</v>
      </c>
      <c r="B145">
        <v>16856227</v>
      </c>
      <c r="C145">
        <v>16856453</v>
      </c>
      <c r="D145">
        <v>15435609</v>
      </c>
      <c r="E145">
        <v>1</v>
      </c>
      <c r="F145">
        <v>1</v>
      </c>
      <c r="G145">
        <v>1</v>
      </c>
      <c r="H145">
        <v>1</v>
      </c>
      <c r="I145" t="s">
        <v>311</v>
      </c>
      <c r="J145" t="s">
        <v>6</v>
      </c>
      <c r="K145" t="s">
        <v>312</v>
      </c>
      <c r="L145">
        <v>1191</v>
      </c>
      <c r="N145">
        <v>1013</v>
      </c>
      <c r="O145" t="s">
        <v>313</v>
      </c>
      <c r="P145" t="s">
        <v>313</v>
      </c>
      <c r="Q145">
        <v>1</v>
      </c>
      <c r="W145">
        <v>0</v>
      </c>
      <c r="X145">
        <v>-814890593</v>
      </c>
      <c r="Y145">
        <v>383.06</v>
      </c>
      <c r="AA145">
        <v>0</v>
      </c>
      <c r="AB145">
        <v>0</v>
      </c>
      <c r="AC145">
        <v>0</v>
      </c>
      <c r="AD145">
        <v>8.9700000000000006</v>
      </c>
      <c r="AE145">
        <v>0</v>
      </c>
      <c r="AF145">
        <v>0</v>
      </c>
      <c r="AG145">
        <v>0</v>
      </c>
      <c r="AH145">
        <v>8.9700000000000006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383.06</v>
      </c>
      <c r="AU145" t="s">
        <v>6</v>
      </c>
      <c r="AV145">
        <v>1</v>
      </c>
      <c r="AW145">
        <v>2</v>
      </c>
      <c r="AX145">
        <v>16856460</v>
      </c>
      <c r="AY145">
        <v>1</v>
      </c>
      <c r="AZ145">
        <v>0</v>
      </c>
      <c r="BA145">
        <v>155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Y145*Source!I52</f>
        <v>346.47776999999996</v>
      </c>
      <c r="CY145">
        <f>AD145</f>
        <v>8.9700000000000006</v>
      </c>
      <c r="CZ145">
        <f>AH145</f>
        <v>8.9700000000000006</v>
      </c>
      <c r="DA145">
        <f>AL145</f>
        <v>1</v>
      </c>
      <c r="DB145">
        <f t="shared" si="42"/>
        <v>3436.05</v>
      </c>
      <c r="DC145">
        <f t="shared" si="43"/>
        <v>0</v>
      </c>
    </row>
    <row r="146" spans="1:107" x14ac:dyDescent="0.2">
      <c r="A146">
        <f>ROW(Source!A52)</f>
        <v>52</v>
      </c>
      <c r="B146">
        <v>16856227</v>
      </c>
      <c r="C146">
        <v>16856453</v>
      </c>
      <c r="D146">
        <v>15430395</v>
      </c>
      <c r="E146">
        <v>1</v>
      </c>
      <c r="F146">
        <v>1</v>
      </c>
      <c r="G146">
        <v>1</v>
      </c>
      <c r="H146">
        <v>1</v>
      </c>
      <c r="I146" t="s">
        <v>316</v>
      </c>
      <c r="J146" t="s">
        <v>6</v>
      </c>
      <c r="K146" t="s">
        <v>317</v>
      </c>
      <c r="L146">
        <v>1191</v>
      </c>
      <c r="N146">
        <v>1013</v>
      </c>
      <c r="O146" t="s">
        <v>313</v>
      </c>
      <c r="P146" t="s">
        <v>313</v>
      </c>
      <c r="Q146">
        <v>1</v>
      </c>
      <c r="W146">
        <v>0</v>
      </c>
      <c r="X146">
        <v>-1417349443</v>
      </c>
      <c r="Y146">
        <v>1.1599999999999999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1.1599999999999999</v>
      </c>
      <c r="AU146" t="s">
        <v>6</v>
      </c>
      <c r="AV146">
        <v>2</v>
      </c>
      <c r="AW146">
        <v>2</v>
      </c>
      <c r="AX146">
        <v>16856461</v>
      </c>
      <c r="AY146">
        <v>1</v>
      </c>
      <c r="AZ146">
        <v>0</v>
      </c>
      <c r="BA146">
        <v>156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Y146*Source!I52</f>
        <v>1.0492199999999998</v>
      </c>
      <c r="CY146">
        <f>AD146</f>
        <v>0</v>
      </c>
      <c r="CZ146">
        <f>AH146</f>
        <v>0</v>
      </c>
      <c r="DA146">
        <f>AL146</f>
        <v>1</v>
      </c>
      <c r="DB146">
        <f t="shared" si="42"/>
        <v>0</v>
      </c>
      <c r="DC146">
        <f t="shared" si="43"/>
        <v>0</v>
      </c>
    </row>
    <row r="147" spans="1:107" x14ac:dyDescent="0.2">
      <c r="A147">
        <f>ROW(Source!A52)</f>
        <v>52</v>
      </c>
      <c r="B147">
        <v>16856227</v>
      </c>
      <c r="C147">
        <v>16856453</v>
      </c>
      <c r="D147">
        <v>15247974</v>
      </c>
      <c r="E147">
        <v>1</v>
      </c>
      <c r="F147">
        <v>1</v>
      </c>
      <c r="G147">
        <v>1</v>
      </c>
      <c r="H147">
        <v>2</v>
      </c>
      <c r="I147" t="s">
        <v>318</v>
      </c>
      <c r="J147" t="s">
        <v>319</v>
      </c>
      <c r="K147" t="s">
        <v>320</v>
      </c>
      <c r="L147">
        <v>1368</v>
      </c>
      <c r="N147">
        <v>1011</v>
      </c>
      <c r="O147" t="s">
        <v>321</v>
      </c>
      <c r="P147" t="s">
        <v>321</v>
      </c>
      <c r="Q147">
        <v>1</v>
      </c>
      <c r="W147">
        <v>0</v>
      </c>
      <c r="X147">
        <v>1188625873</v>
      </c>
      <c r="Y147">
        <v>1.1599999999999999</v>
      </c>
      <c r="AA147">
        <v>0</v>
      </c>
      <c r="AB147">
        <v>31.26</v>
      </c>
      <c r="AC147">
        <v>13.5</v>
      </c>
      <c r="AD147">
        <v>0</v>
      </c>
      <c r="AE147">
        <v>0</v>
      </c>
      <c r="AF147">
        <v>31.26</v>
      </c>
      <c r="AG147">
        <v>13.5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1.1599999999999999</v>
      </c>
      <c r="AU147" t="s">
        <v>6</v>
      </c>
      <c r="AV147">
        <v>0</v>
      </c>
      <c r="AW147">
        <v>2</v>
      </c>
      <c r="AX147">
        <v>16856462</v>
      </c>
      <c r="AY147">
        <v>1</v>
      </c>
      <c r="AZ147">
        <v>0</v>
      </c>
      <c r="BA147">
        <v>157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Y147*Source!I52</f>
        <v>1.0492199999999998</v>
      </c>
      <c r="CY147">
        <f>AB147</f>
        <v>31.26</v>
      </c>
      <c r="CZ147">
        <f>AF147</f>
        <v>31.26</v>
      </c>
      <c r="DA147">
        <f>AJ147</f>
        <v>1</v>
      </c>
      <c r="DB147">
        <f t="shared" si="42"/>
        <v>36.26</v>
      </c>
      <c r="DC147">
        <f t="shared" si="43"/>
        <v>15.66</v>
      </c>
    </row>
    <row r="148" spans="1:107" x14ac:dyDescent="0.2">
      <c r="A148">
        <f>ROW(Source!A52)</f>
        <v>52</v>
      </c>
      <c r="B148">
        <v>16856227</v>
      </c>
      <c r="C148">
        <v>16856453</v>
      </c>
      <c r="D148">
        <v>15167286</v>
      </c>
      <c r="E148">
        <v>1</v>
      </c>
      <c r="F148">
        <v>1</v>
      </c>
      <c r="G148">
        <v>1</v>
      </c>
      <c r="H148">
        <v>3</v>
      </c>
      <c r="I148" t="s">
        <v>413</v>
      </c>
      <c r="J148" t="s">
        <v>414</v>
      </c>
      <c r="K148" t="s">
        <v>415</v>
      </c>
      <c r="L148">
        <v>1339</v>
      </c>
      <c r="N148">
        <v>1007</v>
      </c>
      <c r="O148" t="s">
        <v>107</v>
      </c>
      <c r="P148" t="s">
        <v>107</v>
      </c>
      <c r="Q148">
        <v>1</v>
      </c>
      <c r="W148">
        <v>0</v>
      </c>
      <c r="X148">
        <v>-1660354250</v>
      </c>
      <c r="Y148">
        <v>0.35</v>
      </c>
      <c r="AA148">
        <v>2.44</v>
      </c>
      <c r="AB148">
        <v>0</v>
      </c>
      <c r="AC148">
        <v>0</v>
      </c>
      <c r="AD148">
        <v>0</v>
      </c>
      <c r="AE148">
        <v>2.44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0.35</v>
      </c>
      <c r="AU148" t="s">
        <v>6</v>
      </c>
      <c r="AV148">
        <v>0</v>
      </c>
      <c r="AW148">
        <v>2</v>
      </c>
      <c r="AX148">
        <v>16856463</v>
      </c>
      <c r="AY148">
        <v>1</v>
      </c>
      <c r="AZ148">
        <v>0</v>
      </c>
      <c r="BA148">
        <v>158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Y148*Source!I52</f>
        <v>0.316575</v>
      </c>
      <c r="CY148">
        <f>AA148</f>
        <v>2.44</v>
      </c>
      <c r="CZ148">
        <f>AE148</f>
        <v>2.44</v>
      </c>
      <c r="DA148">
        <f>AI148</f>
        <v>1</v>
      </c>
      <c r="DB148">
        <f t="shared" si="42"/>
        <v>0.85</v>
      </c>
      <c r="DC148">
        <f t="shared" si="43"/>
        <v>0</v>
      </c>
    </row>
    <row r="149" spans="1:107" x14ac:dyDescent="0.2">
      <c r="A149">
        <f>ROW(Source!A52)</f>
        <v>52</v>
      </c>
      <c r="B149">
        <v>16856227</v>
      </c>
      <c r="C149">
        <v>16856453</v>
      </c>
      <c r="D149">
        <v>15172871</v>
      </c>
      <c r="E149">
        <v>1</v>
      </c>
      <c r="F149">
        <v>1</v>
      </c>
      <c r="G149">
        <v>1</v>
      </c>
      <c r="H149">
        <v>3</v>
      </c>
      <c r="I149" t="s">
        <v>110</v>
      </c>
      <c r="J149" t="s">
        <v>112</v>
      </c>
      <c r="K149" t="s">
        <v>111</v>
      </c>
      <c r="L149">
        <v>1339</v>
      </c>
      <c r="N149">
        <v>1007</v>
      </c>
      <c r="O149" t="s">
        <v>107</v>
      </c>
      <c r="P149" t="s">
        <v>107</v>
      </c>
      <c r="Q149">
        <v>1</v>
      </c>
      <c r="W149">
        <v>0</v>
      </c>
      <c r="X149">
        <v>-461341439</v>
      </c>
      <c r="Y149">
        <v>4.4000000000000004</v>
      </c>
      <c r="AA149">
        <v>559.23</v>
      </c>
      <c r="AB149">
        <v>0</v>
      </c>
      <c r="AC149">
        <v>0</v>
      </c>
      <c r="AD149">
        <v>0</v>
      </c>
      <c r="AE149">
        <v>559.23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6</v>
      </c>
      <c r="AT149">
        <v>4.4000000000000004</v>
      </c>
      <c r="AU149" t="s">
        <v>6</v>
      </c>
      <c r="AV149">
        <v>0</v>
      </c>
      <c r="AW149">
        <v>1</v>
      </c>
      <c r="AX149">
        <v>-1</v>
      </c>
      <c r="AY149">
        <v>0</v>
      </c>
      <c r="AZ149">
        <v>0</v>
      </c>
      <c r="BA149" t="s">
        <v>6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Y149*Source!I52</f>
        <v>3.9798</v>
      </c>
      <c r="CY149">
        <f>AA149</f>
        <v>559.23</v>
      </c>
      <c r="CZ149">
        <f>AE149</f>
        <v>559.23</v>
      </c>
      <c r="DA149">
        <f>AI149</f>
        <v>1</v>
      </c>
      <c r="DB149">
        <f t="shared" si="42"/>
        <v>2460.61</v>
      </c>
      <c r="DC149">
        <f t="shared" si="43"/>
        <v>0</v>
      </c>
    </row>
    <row r="150" spans="1:107" x14ac:dyDescent="0.2">
      <c r="A150">
        <f>ROW(Source!A52)</f>
        <v>52</v>
      </c>
      <c r="B150">
        <v>16856227</v>
      </c>
      <c r="C150">
        <v>16856453</v>
      </c>
      <c r="D150">
        <v>15172875</v>
      </c>
      <c r="E150">
        <v>1</v>
      </c>
      <c r="F150">
        <v>1</v>
      </c>
      <c r="G150">
        <v>1</v>
      </c>
      <c r="H150">
        <v>3</v>
      </c>
      <c r="I150" t="s">
        <v>105</v>
      </c>
      <c r="J150" t="s">
        <v>108</v>
      </c>
      <c r="K150" t="s">
        <v>106</v>
      </c>
      <c r="L150">
        <v>1339</v>
      </c>
      <c r="N150">
        <v>1007</v>
      </c>
      <c r="O150" t="s">
        <v>107</v>
      </c>
      <c r="P150" t="s">
        <v>107</v>
      </c>
      <c r="Q150">
        <v>1</v>
      </c>
      <c r="W150">
        <v>1</v>
      </c>
      <c r="X150">
        <v>-1001479081</v>
      </c>
      <c r="Y150">
        <v>-4.4000000000000004</v>
      </c>
      <c r="AA150">
        <v>517.91</v>
      </c>
      <c r="AB150">
        <v>0</v>
      </c>
      <c r="AC150">
        <v>0</v>
      </c>
      <c r="AD150">
        <v>0</v>
      </c>
      <c r="AE150">
        <v>517.91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-4.4000000000000004</v>
      </c>
      <c r="AU150" t="s">
        <v>6</v>
      </c>
      <c r="AV150">
        <v>0</v>
      </c>
      <c r="AW150">
        <v>2</v>
      </c>
      <c r="AX150">
        <v>16856465</v>
      </c>
      <c r="AY150">
        <v>1</v>
      </c>
      <c r="AZ150">
        <v>6144</v>
      </c>
      <c r="BA150">
        <v>160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Y150*Source!I52</f>
        <v>-3.9798</v>
      </c>
      <c r="CY150">
        <f>AA150</f>
        <v>517.91</v>
      </c>
      <c r="CZ150">
        <f>AE150</f>
        <v>517.91</v>
      </c>
      <c r="DA150">
        <f>AI150</f>
        <v>1</v>
      </c>
      <c r="DB150">
        <f t="shared" si="42"/>
        <v>-2278.8000000000002</v>
      </c>
      <c r="DC150">
        <f t="shared" si="43"/>
        <v>0</v>
      </c>
    </row>
    <row r="151" spans="1:107" x14ac:dyDescent="0.2">
      <c r="A151">
        <f>ROW(Source!A53)</f>
        <v>53</v>
      </c>
      <c r="B151">
        <v>16856228</v>
      </c>
      <c r="C151">
        <v>16856453</v>
      </c>
      <c r="D151">
        <v>15435609</v>
      </c>
      <c r="E151">
        <v>1</v>
      </c>
      <c r="F151">
        <v>1</v>
      </c>
      <c r="G151">
        <v>1</v>
      </c>
      <c r="H151">
        <v>1</v>
      </c>
      <c r="I151" t="s">
        <v>311</v>
      </c>
      <c r="J151" t="s">
        <v>6</v>
      </c>
      <c r="K151" t="s">
        <v>312</v>
      </c>
      <c r="L151">
        <v>1191</v>
      </c>
      <c r="N151">
        <v>1013</v>
      </c>
      <c r="O151" t="s">
        <v>313</v>
      </c>
      <c r="P151" t="s">
        <v>313</v>
      </c>
      <c r="Q151">
        <v>1</v>
      </c>
      <c r="W151">
        <v>0</v>
      </c>
      <c r="X151">
        <v>-814890593</v>
      </c>
      <c r="Y151">
        <v>383.06</v>
      </c>
      <c r="AA151">
        <v>0</v>
      </c>
      <c r="AB151">
        <v>0</v>
      </c>
      <c r="AC151">
        <v>0</v>
      </c>
      <c r="AD151">
        <v>60.73</v>
      </c>
      <c r="AE151">
        <v>0</v>
      </c>
      <c r="AF151">
        <v>0</v>
      </c>
      <c r="AG151">
        <v>0</v>
      </c>
      <c r="AH151">
        <v>8.9700000000000006</v>
      </c>
      <c r="AI151">
        <v>1</v>
      </c>
      <c r="AJ151">
        <v>1</v>
      </c>
      <c r="AK151">
        <v>1</v>
      </c>
      <c r="AL151">
        <v>6.77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383.06</v>
      </c>
      <c r="AU151" t="s">
        <v>6</v>
      </c>
      <c r="AV151">
        <v>1</v>
      </c>
      <c r="AW151">
        <v>2</v>
      </c>
      <c r="AX151">
        <v>16856460</v>
      </c>
      <c r="AY151">
        <v>1</v>
      </c>
      <c r="AZ151">
        <v>0</v>
      </c>
      <c r="BA151">
        <v>161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Y151*Source!I53</f>
        <v>346.47776999999996</v>
      </c>
      <c r="CY151">
        <f>AD151</f>
        <v>60.73</v>
      </c>
      <c r="CZ151">
        <f>AH151</f>
        <v>8.9700000000000006</v>
      </c>
      <c r="DA151">
        <f>AL151</f>
        <v>6.77</v>
      </c>
      <c r="DB151">
        <f t="shared" si="42"/>
        <v>3436.05</v>
      </c>
      <c r="DC151">
        <f t="shared" si="43"/>
        <v>0</v>
      </c>
    </row>
    <row r="152" spans="1:107" x14ac:dyDescent="0.2">
      <c r="A152">
        <f>ROW(Source!A53)</f>
        <v>53</v>
      </c>
      <c r="B152">
        <v>16856228</v>
      </c>
      <c r="C152">
        <v>16856453</v>
      </c>
      <c r="D152">
        <v>15430395</v>
      </c>
      <c r="E152">
        <v>1</v>
      </c>
      <c r="F152">
        <v>1</v>
      </c>
      <c r="G152">
        <v>1</v>
      </c>
      <c r="H152">
        <v>1</v>
      </c>
      <c r="I152" t="s">
        <v>316</v>
      </c>
      <c r="J152" t="s">
        <v>6</v>
      </c>
      <c r="K152" t="s">
        <v>317</v>
      </c>
      <c r="L152">
        <v>1191</v>
      </c>
      <c r="N152">
        <v>1013</v>
      </c>
      <c r="O152" t="s">
        <v>313</v>
      </c>
      <c r="P152" t="s">
        <v>313</v>
      </c>
      <c r="Q152">
        <v>1</v>
      </c>
      <c r="W152">
        <v>0</v>
      </c>
      <c r="X152">
        <v>-1417349443</v>
      </c>
      <c r="Y152">
        <v>1.1599999999999999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6.77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1.1599999999999999</v>
      </c>
      <c r="AU152" t="s">
        <v>6</v>
      </c>
      <c r="AV152">
        <v>2</v>
      </c>
      <c r="AW152">
        <v>2</v>
      </c>
      <c r="AX152">
        <v>16856461</v>
      </c>
      <c r="AY152">
        <v>1</v>
      </c>
      <c r="AZ152">
        <v>0</v>
      </c>
      <c r="BA152">
        <v>162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Y152*Source!I53</f>
        <v>1.0492199999999998</v>
      </c>
      <c r="CY152">
        <f>AD152</f>
        <v>0</v>
      </c>
      <c r="CZ152">
        <f>AH152</f>
        <v>0</v>
      </c>
      <c r="DA152">
        <f>AL152</f>
        <v>1</v>
      </c>
      <c r="DB152">
        <f t="shared" si="42"/>
        <v>0</v>
      </c>
      <c r="DC152">
        <f t="shared" si="43"/>
        <v>0</v>
      </c>
    </row>
    <row r="153" spans="1:107" x14ac:dyDescent="0.2">
      <c r="A153">
        <f>ROW(Source!A53)</f>
        <v>53</v>
      </c>
      <c r="B153">
        <v>16856228</v>
      </c>
      <c r="C153">
        <v>16856453</v>
      </c>
      <c r="D153">
        <v>15247974</v>
      </c>
      <c r="E153">
        <v>1</v>
      </c>
      <c r="F153">
        <v>1</v>
      </c>
      <c r="G153">
        <v>1</v>
      </c>
      <c r="H153">
        <v>2</v>
      </c>
      <c r="I153" t="s">
        <v>318</v>
      </c>
      <c r="J153" t="s">
        <v>319</v>
      </c>
      <c r="K153" t="s">
        <v>320</v>
      </c>
      <c r="L153">
        <v>1368</v>
      </c>
      <c r="N153">
        <v>1011</v>
      </c>
      <c r="O153" t="s">
        <v>321</v>
      </c>
      <c r="P153" t="s">
        <v>321</v>
      </c>
      <c r="Q153">
        <v>1</v>
      </c>
      <c r="W153">
        <v>0</v>
      </c>
      <c r="X153">
        <v>1188625873</v>
      </c>
      <c r="Y153">
        <v>1.1599999999999999</v>
      </c>
      <c r="AA153">
        <v>0</v>
      </c>
      <c r="AB153">
        <v>211.63</v>
      </c>
      <c r="AC153">
        <v>13.5</v>
      </c>
      <c r="AD153">
        <v>0</v>
      </c>
      <c r="AE153">
        <v>0</v>
      </c>
      <c r="AF153">
        <v>31.26</v>
      </c>
      <c r="AG153">
        <v>13.5</v>
      </c>
      <c r="AH153">
        <v>0</v>
      </c>
      <c r="AI153">
        <v>1</v>
      </c>
      <c r="AJ153">
        <v>6.77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1.1599999999999999</v>
      </c>
      <c r="AU153" t="s">
        <v>6</v>
      </c>
      <c r="AV153">
        <v>0</v>
      </c>
      <c r="AW153">
        <v>2</v>
      </c>
      <c r="AX153">
        <v>16856462</v>
      </c>
      <c r="AY153">
        <v>1</v>
      </c>
      <c r="AZ153">
        <v>0</v>
      </c>
      <c r="BA153">
        <v>163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Y153*Source!I53</f>
        <v>1.0492199999999998</v>
      </c>
      <c r="CY153">
        <f>AB153</f>
        <v>211.63</v>
      </c>
      <c r="CZ153">
        <f>AF153</f>
        <v>31.26</v>
      </c>
      <c r="DA153">
        <f>AJ153</f>
        <v>6.77</v>
      </c>
      <c r="DB153">
        <f t="shared" si="42"/>
        <v>36.26</v>
      </c>
      <c r="DC153">
        <f t="shared" si="43"/>
        <v>15.66</v>
      </c>
    </row>
    <row r="154" spans="1:107" x14ac:dyDescent="0.2">
      <c r="A154">
        <f>ROW(Source!A53)</f>
        <v>53</v>
      </c>
      <c r="B154">
        <v>16856228</v>
      </c>
      <c r="C154">
        <v>16856453</v>
      </c>
      <c r="D154">
        <v>15167286</v>
      </c>
      <c r="E154">
        <v>1</v>
      </c>
      <c r="F154">
        <v>1</v>
      </c>
      <c r="G154">
        <v>1</v>
      </c>
      <c r="H154">
        <v>3</v>
      </c>
      <c r="I154" t="s">
        <v>413</v>
      </c>
      <c r="J154" t="s">
        <v>414</v>
      </c>
      <c r="K154" t="s">
        <v>415</v>
      </c>
      <c r="L154">
        <v>1339</v>
      </c>
      <c r="N154">
        <v>1007</v>
      </c>
      <c r="O154" t="s">
        <v>107</v>
      </c>
      <c r="P154" t="s">
        <v>107</v>
      </c>
      <c r="Q154">
        <v>1</v>
      </c>
      <c r="W154">
        <v>0</v>
      </c>
      <c r="X154">
        <v>-1660354250</v>
      </c>
      <c r="Y154">
        <v>0.35</v>
      </c>
      <c r="AA154">
        <v>16.52</v>
      </c>
      <c r="AB154">
        <v>0</v>
      </c>
      <c r="AC154">
        <v>0</v>
      </c>
      <c r="AD154">
        <v>0</v>
      </c>
      <c r="AE154">
        <v>2.44</v>
      </c>
      <c r="AF154">
        <v>0</v>
      </c>
      <c r="AG154">
        <v>0</v>
      </c>
      <c r="AH154">
        <v>0</v>
      </c>
      <c r="AI154">
        <v>6.77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0.35</v>
      </c>
      <c r="AU154" t="s">
        <v>6</v>
      </c>
      <c r="AV154">
        <v>0</v>
      </c>
      <c r="AW154">
        <v>2</v>
      </c>
      <c r="AX154">
        <v>16856463</v>
      </c>
      <c r="AY154">
        <v>1</v>
      </c>
      <c r="AZ154">
        <v>0</v>
      </c>
      <c r="BA154">
        <v>164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Y154*Source!I53</f>
        <v>0.316575</v>
      </c>
      <c r="CY154">
        <f>AA154</f>
        <v>16.52</v>
      </c>
      <c r="CZ154">
        <f>AE154</f>
        <v>2.44</v>
      </c>
      <c r="DA154">
        <f>AI154</f>
        <v>6.77</v>
      </c>
      <c r="DB154">
        <f t="shared" si="42"/>
        <v>0.85</v>
      </c>
      <c r="DC154">
        <f t="shared" si="43"/>
        <v>0</v>
      </c>
    </row>
    <row r="155" spans="1:107" x14ac:dyDescent="0.2">
      <c r="A155">
        <f>ROW(Source!A53)</f>
        <v>53</v>
      </c>
      <c r="B155">
        <v>16856228</v>
      </c>
      <c r="C155">
        <v>16856453</v>
      </c>
      <c r="D155">
        <v>15172871</v>
      </c>
      <c r="E155">
        <v>1</v>
      </c>
      <c r="F155">
        <v>1</v>
      </c>
      <c r="G155">
        <v>1</v>
      </c>
      <c r="H155">
        <v>3</v>
      </c>
      <c r="I155" t="s">
        <v>110</v>
      </c>
      <c r="J155" t="s">
        <v>112</v>
      </c>
      <c r="K155" t="s">
        <v>111</v>
      </c>
      <c r="L155">
        <v>1339</v>
      </c>
      <c r="N155">
        <v>1007</v>
      </c>
      <c r="O155" t="s">
        <v>107</v>
      </c>
      <c r="P155" t="s">
        <v>107</v>
      </c>
      <c r="Q155">
        <v>1</v>
      </c>
      <c r="W155">
        <v>0</v>
      </c>
      <c r="X155">
        <v>-461341439</v>
      </c>
      <c r="Y155">
        <v>4.4000000000000004</v>
      </c>
      <c r="AA155">
        <v>3785.99</v>
      </c>
      <c r="AB155">
        <v>0</v>
      </c>
      <c r="AC155">
        <v>0</v>
      </c>
      <c r="AD155">
        <v>0</v>
      </c>
      <c r="AE155">
        <v>559.23</v>
      </c>
      <c r="AF155">
        <v>0</v>
      </c>
      <c r="AG155">
        <v>0</v>
      </c>
      <c r="AH155">
        <v>0</v>
      </c>
      <c r="AI155">
        <v>6.77</v>
      </c>
      <c r="AJ155">
        <v>1</v>
      </c>
      <c r="AK155">
        <v>1</v>
      </c>
      <c r="AL155">
        <v>1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6</v>
      </c>
      <c r="AT155">
        <v>4.4000000000000004</v>
      </c>
      <c r="AU155" t="s">
        <v>6</v>
      </c>
      <c r="AV155">
        <v>0</v>
      </c>
      <c r="AW155">
        <v>1</v>
      </c>
      <c r="AX155">
        <v>-1</v>
      </c>
      <c r="AY155">
        <v>0</v>
      </c>
      <c r="AZ155">
        <v>0</v>
      </c>
      <c r="BA155" t="s">
        <v>6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Y155*Source!I53</f>
        <v>3.9798</v>
      </c>
      <c r="CY155">
        <f>AA155</f>
        <v>3785.99</v>
      </c>
      <c r="CZ155">
        <f>AE155</f>
        <v>559.23</v>
      </c>
      <c r="DA155">
        <f>AI155</f>
        <v>6.77</v>
      </c>
      <c r="DB155">
        <f t="shared" si="42"/>
        <v>2460.61</v>
      </c>
      <c r="DC155">
        <f t="shared" si="43"/>
        <v>0</v>
      </c>
    </row>
    <row r="156" spans="1:107" x14ac:dyDescent="0.2">
      <c r="A156">
        <f>ROW(Source!A53)</f>
        <v>53</v>
      </c>
      <c r="B156">
        <v>16856228</v>
      </c>
      <c r="C156">
        <v>16856453</v>
      </c>
      <c r="D156">
        <v>15172875</v>
      </c>
      <c r="E156">
        <v>1</v>
      </c>
      <c r="F156">
        <v>1</v>
      </c>
      <c r="G156">
        <v>1</v>
      </c>
      <c r="H156">
        <v>3</v>
      </c>
      <c r="I156" t="s">
        <v>105</v>
      </c>
      <c r="J156" t="s">
        <v>108</v>
      </c>
      <c r="K156" t="s">
        <v>106</v>
      </c>
      <c r="L156">
        <v>1339</v>
      </c>
      <c r="N156">
        <v>1007</v>
      </c>
      <c r="O156" t="s">
        <v>107</v>
      </c>
      <c r="P156" t="s">
        <v>107</v>
      </c>
      <c r="Q156">
        <v>1</v>
      </c>
      <c r="W156">
        <v>1</v>
      </c>
      <c r="X156">
        <v>-1001479081</v>
      </c>
      <c r="Y156">
        <v>-4.4000000000000004</v>
      </c>
      <c r="AA156">
        <v>3506.25</v>
      </c>
      <c r="AB156">
        <v>0</v>
      </c>
      <c r="AC156">
        <v>0</v>
      </c>
      <c r="AD156">
        <v>0</v>
      </c>
      <c r="AE156">
        <v>517.91</v>
      </c>
      <c r="AF156">
        <v>0</v>
      </c>
      <c r="AG156">
        <v>0</v>
      </c>
      <c r="AH156">
        <v>0</v>
      </c>
      <c r="AI156">
        <v>6.77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-4.4000000000000004</v>
      </c>
      <c r="AU156" t="s">
        <v>6</v>
      </c>
      <c r="AV156">
        <v>0</v>
      </c>
      <c r="AW156">
        <v>2</v>
      </c>
      <c r="AX156">
        <v>16856465</v>
      </c>
      <c r="AY156">
        <v>1</v>
      </c>
      <c r="AZ156">
        <v>6144</v>
      </c>
      <c r="BA156">
        <v>166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Y156*Source!I53</f>
        <v>-3.9798</v>
      </c>
      <c r="CY156">
        <f>AA156</f>
        <v>3506.25</v>
      </c>
      <c r="CZ156">
        <f>AE156</f>
        <v>517.91</v>
      </c>
      <c r="DA156">
        <f>AI156</f>
        <v>6.77</v>
      </c>
      <c r="DB156">
        <f t="shared" si="42"/>
        <v>-2278.8000000000002</v>
      </c>
      <c r="DC156">
        <f t="shared" si="43"/>
        <v>0</v>
      </c>
    </row>
    <row r="157" spans="1:107" x14ac:dyDescent="0.2">
      <c r="A157">
        <f>ROW(Source!A58)</f>
        <v>58</v>
      </c>
      <c r="B157">
        <v>16856227</v>
      </c>
      <c r="C157">
        <v>16856468</v>
      </c>
      <c r="D157">
        <v>15438286</v>
      </c>
      <c r="E157">
        <v>1</v>
      </c>
      <c r="F157">
        <v>1</v>
      </c>
      <c r="G157">
        <v>1</v>
      </c>
      <c r="H157">
        <v>1</v>
      </c>
      <c r="I157" t="s">
        <v>416</v>
      </c>
      <c r="J157" t="s">
        <v>6</v>
      </c>
      <c r="K157" t="s">
        <v>417</v>
      </c>
      <c r="L157">
        <v>1191</v>
      </c>
      <c r="N157">
        <v>1013</v>
      </c>
      <c r="O157" t="s">
        <v>313</v>
      </c>
      <c r="P157" t="s">
        <v>313</v>
      </c>
      <c r="Q157">
        <v>1</v>
      </c>
      <c r="W157">
        <v>0</v>
      </c>
      <c r="X157">
        <v>-1027537862</v>
      </c>
      <c r="Y157">
        <v>191.44049999999999</v>
      </c>
      <c r="AA157">
        <v>0</v>
      </c>
      <c r="AB157">
        <v>0</v>
      </c>
      <c r="AC157">
        <v>0</v>
      </c>
      <c r="AD157">
        <v>9.18</v>
      </c>
      <c r="AE157">
        <v>0</v>
      </c>
      <c r="AF157">
        <v>0</v>
      </c>
      <c r="AG157">
        <v>0</v>
      </c>
      <c r="AH157">
        <v>9.18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6</v>
      </c>
      <c r="AT157">
        <v>166.47</v>
      </c>
      <c r="AU157" t="s">
        <v>57</v>
      </c>
      <c r="AV157">
        <v>1</v>
      </c>
      <c r="AW157">
        <v>2</v>
      </c>
      <c r="AX157">
        <v>16856480</v>
      </c>
      <c r="AY157">
        <v>1</v>
      </c>
      <c r="AZ157">
        <v>0</v>
      </c>
      <c r="BA157">
        <v>167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Y157*Source!I58</f>
        <v>423.71525864999995</v>
      </c>
      <c r="CY157">
        <f>AD157</f>
        <v>9.18</v>
      </c>
      <c r="CZ157">
        <f>AH157</f>
        <v>9.18</v>
      </c>
      <c r="DA157">
        <f>AL157</f>
        <v>1</v>
      </c>
      <c r="DB157">
        <f>ROUND((ROUND(AT157*CZ157,2)*1.15),6)</f>
        <v>1757.4185</v>
      </c>
      <c r="DC157">
        <f>ROUND((ROUND(AT157*AG157,2)*1.15),6)</f>
        <v>0</v>
      </c>
    </row>
    <row r="158" spans="1:107" x14ac:dyDescent="0.2">
      <c r="A158">
        <f>ROW(Source!A58)</f>
        <v>58</v>
      </c>
      <c r="B158">
        <v>16856227</v>
      </c>
      <c r="C158">
        <v>16856468</v>
      </c>
      <c r="D158">
        <v>15430395</v>
      </c>
      <c r="E158">
        <v>1</v>
      </c>
      <c r="F158">
        <v>1</v>
      </c>
      <c r="G158">
        <v>1</v>
      </c>
      <c r="H158">
        <v>1</v>
      </c>
      <c r="I158" t="s">
        <v>316</v>
      </c>
      <c r="J158" t="s">
        <v>6</v>
      </c>
      <c r="K158" t="s">
        <v>317</v>
      </c>
      <c r="L158">
        <v>1191</v>
      </c>
      <c r="N158">
        <v>1013</v>
      </c>
      <c r="O158" t="s">
        <v>313</v>
      </c>
      <c r="P158" t="s">
        <v>313</v>
      </c>
      <c r="Q158">
        <v>1</v>
      </c>
      <c r="W158">
        <v>0</v>
      </c>
      <c r="X158">
        <v>-1417349443</v>
      </c>
      <c r="Y158">
        <v>0.57999999999999996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0.57999999999999996</v>
      </c>
      <c r="AU158" t="s">
        <v>6</v>
      </c>
      <c r="AV158">
        <v>2</v>
      </c>
      <c r="AW158">
        <v>2</v>
      </c>
      <c r="AX158">
        <v>16856481</v>
      </c>
      <c r="AY158">
        <v>1</v>
      </c>
      <c r="AZ158">
        <v>2048</v>
      </c>
      <c r="BA158">
        <v>168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Y158*Source!I58</f>
        <v>1.2837139999999998</v>
      </c>
      <c r="CY158">
        <f>AD158</f>
        <v>0</v>
      </c>
      <c r="CZ158">
        <f>AH158</f>
        <v>0</v>
      </c>
      <c r="DA158">
        <f>AL158</f>
        <v>1</v>
      </c>
      <c r="DB158">
        <f>ROUND(ROUND(AT158*CZ158,2),6)</f>
        <v>0</v>
      </c>
      <c r="DC158">
        <f>ROUND(ROUND(AT158*AG158,2),6)</f>
        <v>0</v>
      </c>
    </row>
    <row r="159" spans="1:107" x14ac:dyDescent="0.2">
      <c r="A159">
        <f>ROW(Source!A58)</f>
        <v>58</v>
      </c>
      <c r="B159">
        <v>16856227</v>
      </c>
      <c r="C159">
        <v>16856468</v>
      </c>
      <c r="D159">
        <v>15247974</v>
      </c>
      <c r="E159">
        <v>1</v>
      </c>
      <c r="F159">
        <v>1</v>
      </c>
      <c r="G159">
        <v>1</v>
      </c>
      <c r="H159">
        <v>2</v>
      </c>
      <c r="I159" t="s">
        <v>318</v>
      </c>
      <c r="J159" t="s">
        <v>319</v>
      </c>
      <c r="K159" t="s">
        <v>320</v>
      </c>
      <c r="L159">
        <v>1368</v>
      </c>
      <c r="N159">
        <v>1011</v>
      </c>
      <c r="O159" t="s">
        <v>321</v>
      </c>
      <c r="P159" t="s">
        <v>321</v>
      </c>
      <c r="Q159">
        <v>1</v>
      </c>
      <c r="W159">
        <v>0</v>
      </c>
      <c r="X159">
        <v>1188625873</v>
      </c>
      <c r="Y159">
        <v>0.1</v>
      </c>
      <c r="AA159">
        <v>0</v>
      </c>
      <c r="AB159">
        <v>31.26</v>
      </c>
      <c r="AC159">
        <v>13.5</v>
      </c>
      <c r="AD159">
        <v>0</v>
      </c>
      <c r="AE159">
        <v>0</v>
      </c>
      <c r="AF159">
        <v>31.26</v>
      </c>
      <c r="AG159">
        <v>13.5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</v>
      </c>
      <c r="AT159">
        <v>0.08</v>
      </c>
      <c r="AU159" t="s">
        <v>56</v>
      </c>
      <c r="AV159">
        <v>0</v>
      </c>
      <c r="AW159">
        <v>2</v>
      </c>
      <c r="AX159">
        <v>16856482</v>
      </c>
      <c r="AY159">
        <v>1</v>
      </c>
      <c r="AZ159">
        <v>0</v>
      </c>
      <c r="BA159">
        <v>169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Y159*Source!I58</f>
        <v>0.22133</v>
      </c>
      <c r="CY159">
        <f>AB159</f>
        <v>31.26</v>
      </c>
      <c r="CZ159">
        <f>AF159</f>
        <v>31.26</v>
      </c>
      <c r="DA159">
        <f>AJ159</f>
        <v>1</v>
      </c>
      <c r="DB159">
        <f>ROUND((ROUND(AT159*CZ159,2)*1.25),6)</f>
        <v>3.125</v>
      </c>
      <c r="DC159">
        <f>ROUND((ROUND(AT159*AG159,2)*1.25),6)</f>
        <v>1.35</v>
      </c>
    </row>
    <row r="160" spans="1:107" x14ac:dyDescent="0.2">
      <c r="A160">
        <f>ROW(Source!A58)</f>
        <v>58</v>
      </c>
      <c r="B160">
        <v>16856227</v>
      </c>
      <c r="C160">
        <v>16856468</v>
      </c>
      <c r="D160">
        <v>15249073</v>
      </c>
      <c r="E160">
        <v>1</v>
      </c>
      <c r="F160">
        <v>1</v>
      </c>
      <c r="G160">
        <v>1</v>
      </c>
      <c r="H160">
        <v>2</v>
      </c>
      <c r="I160" t="s">
        <v>330</v>
      </c>
      <c r="J160" t="s">
        <v>331</v>
      </c>
      <c r="K160" t="s">
        <v>332</v>
      </c>
      <c r="L160">
        <v>1368</v>
      </c>
      <c r="N160">
        <v>1011</v>
      </c>
      <c r="O160" t="s">
        <v>321</v>
      </c>
      <c r="P160" t="s">
        <v>321</v>
      </c>
      <c r="Q160">
        <v>1</v>
      </c>
      <c r="W160">
        <v>0</v>
      </c>
      <c r="X160">
        <v>1372534845</v>
      </c>
      <c r="Y160">
        <v>0.625</v>
      </c>
      <c r="AA160">
        <v>0</v>
      </c>
      <c r="AB160">
        <v>65.709999999999994</v>
      </c>
      <c r="AC160">
        <v>11.6</v>
      </c>
      <c r="AD160">
        <v>0</v>
      </c>
      <c r="AE160">
        <v>0</v>
      </c>
      <c r="AF160">
        <v>65.709999999999994</v>
      </c>
      <c r="AG160">
        <v>11.6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6</v>
      </c>
      <c r="AT160">
        <v>0.5</v>
      </c>
      <c r="AU160" t="s">
        <v>56</v>
      </c>
      <c r="AV160">
        <v>0</v>
      </c>
      <c r="AW160">
        <v>2</v>
      </c>
      <c r="AX160">
        <v>16856483</v>
      </c>
      <c r="AY160">
        <v>1</v>
      </c>
      <c r="AZ160">
        <v>0</v>
      </c>
      <c r="BA160">
        <v>170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Y160*Source!I58</f>
        <v>1.3833124999999999</v>
      </c>
      <c r="CY160">
        <f>AB160</f>
        <v>65.709999999999994</v>
      </c>
      <c r="CZ160">
        <f>AF160</f>
        <v>65.709999999999994</v>
      </c>
      <c r="DA160">
        <f>AJ160</f>
        <v>1</v>
      </c>
      <c r="DB160">
        <f>ROUND((ROUND(AT160*CZ160,2)*1.25),6)</f>
        <v>41.075000000000003</v>
      </c>
      <c r="DC160">
        <f>ROUND((ROUND(AT160*AG160,2)*1.25),6)</f>
        <v>7.25</v>
      </c>
    </row>
    <row r="161" spans="1:107" x14ac:dyDescent="0.2">
      <c r="A161">
        <f>ROW(Source!A58)</f>
        <v>58</v>
      </c>
      <c r="B161">
        <v>16856227</v>
      </c>
      <c r="C161">
        <v>16856468</v>
      </c>
      <c r="D161">
        <v>15162966</v>
      </c>
      <c r="E161">
        <v>17</v>
      </c>
      <c r="F161">
        <v>1</v>
      </c>
      <c r="G161">
        <v>1</v>
      </c>
      <c r="H161">
        <v>3</v>
      </c>
      <c r="I161" t="s">
        <v>120</v>
      </c>
      <c r="J161" t="s">
        <v>6</v>
      </c>
      <c r="K161" t="s">
        <v>121</v>
      </c>
      <c r="L161">
        <v>1327</v>
      </c>
      <c r="N161">
        <v>1005</v>
      </c>
      <c r="O161" t="s">
        <v>64</v>
      </c>
      <c r="P161" t="s">
        <v>64</v>
      </c>
      <c r="Q161">
        <v>1</v>
      </c>
      <c r="W161">
        <v>0</v>
      </c>
      <c r="X161">
        <v>-112006704</v>
      </c>
      <c r="Y161">
        <v>105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6</v>
      </c>
      <c r="AT161">
        <v>105</v>
      </c>
      <c r="AU161" t="s">
        <v>6</v>
      </c>
      <c r="AV161">
        <v>0</v>
      </c>
      <c r="AW161">
        <v>2</v>
      </c>
      <c r="AX161">
        <v>16856484</v>
      </c>
      <c r="AY161">
        <v>1</v>
      </c>
      <c r="AZ161">
        <v>0</v>
      </c>
      <c r="BA161">
        <v>171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Y161*Source!I58</f>
        <v>232.39649999999997</v>
      </c>
      <c r="CY161">
        <f t="shared" ref="CY161:CY167" si="44">AA161</f>
        <v>0</v>
      </c>
      <c r="CZ161">
        <f t="shared" ref="CZ161:CZ167" si="45">AE161</f>
        <v>0</v>
      </c>
      <c r="DA161">
        <f t="shared" ref="DA161:DA167" si="46">AI161</f>
        <v>1</v>
      </c>
      <c r="DB161">
        <f t="shared" ref="DB161:DB167" si="47">ROUND(ROUND(AT161*CZ161,2),6)</f>
        <v>0</v>
      </c>
      <c r="DC161">
        <f t="shared" ref="DC161:DC167" si="48">ROUND(ROUND(AT161*AG161,2),6)</f>
        <v>0</v>
      </c>
    </row>
    <row r="162" spans="1:107" x14ac:dyDescent="0.2">
      <c r="A162">
        <f>ROW(Source!A58)</f>
        <v>58</v>
      </c>
      <c r="B162">
        <v>16856227</v>
      </c>
      <c r="C162">
        <v>16856468</v>
      </c>
      <c r="D162">
        <v>15171018</v>
      </c>
      <c r="E162">
        <v>1</v>
      </c>
      <c r="F162">
        <v>1</v>
      </c>
      <c r="G162">
        <v>1</v>
      </c>
      <c r="H162">
        <v>3</v>
      </c>
      <c r="I162" t="s">
        <v>418</v>
      </c>
      <c r="J162" t="s">
        <v>419</v>
      </c>
      <c r="K162" t="s">
        <v>420</v>
      </c>
      <c r="L162">
        <v>1346</v>
      </c>
      <c r="N162">
        <v>1009</v>
      </c>
      <c r="O162" t="s">
        <v>129</v>
      </c>
      <c r="P162" t="s">
        <v>129</v>
      </c>
      <c r="Q162">
        <v>1</v>
      </c>
      <c r="W162">
        <v>0</v>
      </c>
      <c r="X162">
        <v>813963326</v>
      </c>
      <c r="Y162">
        <v>0.2</v>
      </c>
      <c r="AA162">
        <v>1.82</v>
      </c>
      <c r="AB162">
        <v>0</v>
      </c>
      <c r="AC162">
        <v>0</v>
      </c>
      <c r="AD162">
        <v>0</v>
      </c>
      <c r="AE162">
        <v>1.82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0.2</v>
      </c>
      <c r="AU162" t="s">
        <v>6</v>
      </c>
      <c r="AV162">
        <v>0</v>
      </c>
      <c r="AW162">
        <v>2</v>
      </c>
      <c r="AX162">
        <v>16856485</v>
      </c>
      <c r="AY162">
        <v>1</v>
      </c>
      <c r="AZ162">
        <v>0</v>
      </c>
      <c r="BA162">
        <v>172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Y162*Source!I58</f>
        <v>0.44266</v>
      </c>
      <c r="CY162">
        <f t="shared" si="44"/>
        <v>1.82</v>
      </c>
      <c r="CZ162">
        <f t="shared" si="45"/>
        <v>1.82</v>
      </c>
      <c r="DA162">
        <f t="shared" si="46"/>
        <v>1</v>
      </c>
      <c r="DB162">
        <f t="shared" si="47"/>
        <v>0.36</v>
      </c>
      <c r="DC162">
        <f t="shared" si="48"/>
        <v>0</v>
      </c>
    </row>
    <row r="163" spans="1:107" x14ac:dyDescent="0.2">
      <c r="A163">
        <f>ROW(Source!A58)</f>
        <v>58</v>
      </c>
      <c r="B163">
        <v>16856227</v>
      </c>
      <c r="C163">
        <v>16856468</v>
      </c>
      <c r="D163">
        <v>15197676</v>
      </c>
      <c r="E163">
        <v>1</v>
      </c>
      <c r="F163">
        <v>1</v>
      </c>
      <c r="G163">
        <v>1</v>
      </c>
      <c r="H163">
        <v>3</v>
      </c>
      <c r="I163" t="s">
        <v>123</v>
      </c>
      <c r="J163" t="s">
        <v>125</v>
      </c>
      <c r="K163" t="s">
        <v>124</v>
      </c>
      <c r="L163">
        <v>1327</v>
      </c>
      <c r="N163">
        <v>1005</v>
      </c>
      <c r="O163" t="s">
        <v>64</v>
      </c>
      <c r="P163" t="s">
        <v>64</v>
      </c>
      <c r="Q163">
        <v>1</v>
      </c>
      <c r="W163">
        <v>0</v>
      </c>
      <c r="X163">
        <v>-724546537</v>
      </c>
      <c r="Y163">
        <v>105</v>
      </c>
      <c r="AA163">
        <v>59.16</v>
      </c>
      <c r="AB163">
        <v>0</v>
      </c>
      <c r="AC163">
        <v>0</v>
      </c>
      <c r="AD163">
        <v>0</v>
      </c>
      <c r="AE163">
        <v>59.16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6</v>
      </c>
      <c r="AT163">
        <v>105</v>
      </c>
      <c r="AU163" t="s">
        <v>6</v>
      </c>
      <c r="AV163">
        <v>0</v>
      </c>
      <c r="AW163">
        <v>1</v>
      </c>
      <c r="AX163">
        <v>-1</v>
      </c>
      <c r="AY163">
        <v>0</v>
      </c>
      <c r="AZ163">
        <v>0</v>
      </c>
      <c r="BA163" t="s">
        <v>6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Y163*Source!I58</f>
        <v>232.39649999999997</v>
      </c>
      <c r="CY163">
        <f t="shared" si="44"/>
        <v>59.16</v>
      </c>
      <c r="CZ163">
        <f t="shared" si="45"/>
        <v>59.16</v>
      </c>
      <c r="DA163">
        <f t="shared" si="46"/>
        <v>1</v>
      </c>
      <c r="DB163">
        <f t="shared" si="47"/>
        <v>6211.8</v>
      </c>
      <c r="DC163">
        <f t="shared" si="48"/>
        <v>0</v>
      </c>
    </row>
    <row r="164" spans="1:107" x14ac:dyDescent="0.2">
      <c r="A164">
        <f>ROW(Source!A58)</f>
        <v>58</v>
      </c>
      <c r="B164">
        <v>16856227</v>
      </c>
      <c r="C164">
        <v>16856468</v>
      </c>
      <c r="D164">
        <v>15202463</v>
      </c>
      <c r="E164">
        <v>1</v>
      </c>
      <c r="F164">
        <v>1</v>
      </c>
      <c r="G164">
        <v>1</v>
      </c>
      <c r="H164">
        <v>3</v>
      </c>
      <c r="I164" t="s">
        <v>131</v>
      </c>
      <c r="J164" t="s">
        <v>133</v>
      </c>
      <c r="K164" t="s">
        <v>132</v>
      </c>
      <c r="L164">
        <v>1346</v>
      </c>
      <c r="N164">
        <v>1009</v>
      </c>
      <c r="O164" t="s">
        <v>129</v>
      </c>
      <c r="P164" t="s">
        <v>129</v>
      </c>
      <c r="Q164">
        <v>1</v>
      </c>
      <c r="W164">
        <v>0</v>
      </c>
      <c r="X164">
        <v>-89726692</v>
      </c>
      <c r="Y164">
        <v>30</v>
      </c>
      <c r="AA164">
        <v>25.56</v>
      </c>
      <c r="AB164">
        <v>0</v>
      </c>
      <c r="AC164">
        <v>0</v>
      </c>
      <c r="AD164">
        <v>0</v>
      </c>
      <c r="AE164">
        <v>25.56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6</v>
      </c>
      <c r="AT164">
        <v>30</v>
      </c>
      <c r="AU164" t="s">
        <v>6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Y164*Source!I58</f>
        <v>66.399000000000001</v>
      </c>
      <c r="CY164">
        <f t="shared" si="44"/>
        <v>25.56</v>
      </c>
      <c r="CZ164">
        <f t="shared" si="45"/>
        <v>25.56</v>
      </c>
      <c r="DA164">
        <f t="shared" si="46"/>
        <v>1</v>
      </c>
      <c r="DB164">
        <f t="shared" si="47"/>
        <v>766.8</v>
      </c>
      <c r="DC164">
        <f t="shared" si="48"/>
        <v>0</v>
      </c>
    </row>
    <row r="165" spans="1:107" x14ac:dyDescent="0.2">
      <c r="A165">
        <f>ROW(Source!A58)</f>
        <v>58</v>
      </c>
      <c r="B165">
        <v>16856227</v>
      </c>
      <c r="C165">
        <v>16856468</v>
      </c>
      <c r="D165">
        <v>15162257</v>
      </c>
      <c r="E165">
        <v>17</v>
      </c>
      <c r="F165">
        <v>1</v>
      </c>
      <c r="G165">
        <v>1</v>
      </c>
      <c r="H165">
        <v>3</v>
      </c>
      <c r="I165" t="s">
        <v>127</v>
      </c>
      <c r="J165" t="s">
        <v>6</v>
      </c>
      <c r="K165" t="s">
        <v>128</v>
      </c>
      <c r="L165">
        <v>1346</v>
      </c>
      <c r="N165">
        <v>1009</v>
      </c>
      <c r="O165" t="s">
        <v>129</v>
      </c>
      <c r="P165" t="s">
        <v>129</v>
      </c>
      <c r="Q165">
        <v>1</v>
      </c>
      <c r="W165">
        <v>0</v>
      </c>
      <c r="X165">
        <v>-1516100259</v>
      </c>
      <c r="Y165">
        <v>30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6</v>
      </c>
      <c r="AT165">
        <v>30</v>
      </c>
      <c r="AU165" t="s">
        <v>6</v>
      </c>
      <c r="AV165">
        <v>0</v>
      </c>
      <c r="AW165">
        <v>2</v>
      </c>
      <c r="AX165">
        <v>16856486</v>
      </c>
      <c r="AY165">
        <v>1</v>
      </c>
      <c r="AZ165">
        <v>0</v>
      </c>
      <c r="BA165">
        <v>173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Y165*Source!I58</f>
        <v>66.399000000000001</v>
      </c>
      <c r="CY165">
        <f t="shared" si="44"/>
        <v>0</v>
      </c>
      <c r="CZ165">
        <f t="shared" si="45"/>
        <v>0</v>
      </c>
      <c r="DA165">
        <f t="shared" si="46"/>
        <v>1</v>
      </c>
      <c r="DB165">
        <f t="shared" si="47"/>
        <v>0</v>
      </c>
      <c r="DC165">
        <f t="shared" si="48"/>
        <v>0</v>
      </c>
    </row>
    <row r="166" spans="1:107" x14ac:dyDescent="0.2">
      <c r="A166">
        <f>ROW(Source!A58)</f>
        <v>58</v>
      </c>
      <c r="B166">
        <v>16856227</v>
      </c>
      <c r="C166">
        <v>16856468</v>
      </c>
      <c r="D166">
        <v>15203211</v>
      </c>
      <c r="E166">
        <v>1</v>
      </c>
      <c r="F166">
        <v>1</v>
      </c>
      <c r="G166">
        <v>1</v>
      </c>
      <c r="H166">
        <v>3</v>
      </c>
      <c r="I166" t="s">
        <v>135</v>
      </c>
      <c r="J166" t="s">
        <v>137</v>
      </c>
      <c r="K166" t="s">
        <v>136</v>
      </c>
      <c r="L166">
        <v>1346</v>
      </c>
      <c r="N166">
        <v>1009</v>
      </c>
      <c r="O166" t="s">
        <v>129</v>
      </c>
      <c r="P166" t="s">
        <v>129</v>
      </c>
      <c r="Q166">
        <v>1</v>
      </c>
      <c r="W166">
        <v>0</v>
      </c>
      <c r="X166">
        <v>1453462043</v>
      </c>
      <c r="Y166">
        <v>8.8998329999999992</v>
      </c>
      <c r="AA166">
        <v>15.09</v>
      </c>
      <c r="AB166">
        <v>0</v>
      </c>
      <c r="AC166">
        <v>0</v>
      </c>
      <c r="AD166">
        <v>0</v>
      </c>
      <c r="AE166">
        <v>15.09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6</v>
      </c>
      <c r="AT166">
        <v>8.8998329999999992</v>
      </c>
      <c r="AU166" t="s">
        <v>6</v>
      </c>
      <c r="AV166">
        <v>0</v>
      </c>
      <c r="AW166">
        <v>1</v>
      </c>
      <c r="AX166">
        <v>-1</v>
      </c>
      <c r="AY166">
        <v>0</v>
      </c>
      <c r="AZ166">
        <v>0</v>
      </c>
      <c r="BA166" t="s">
        <v>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Y166*Source!I58</f>
        <v>19.698000378899998</v>
      </c>
      <c r="CY166">
        <f t="shared" si="44"/>
        <v>15.09</v>
      </c>
      <c r="CZ166">
        <f t="shared" si="45"/>
        <v>15.09</v>
      </c>
      <c r="DA166">
        <f t="shared" si="46"/>
        <v>1</v>
      </c>
      <c r="DB166">
        <f t="shared" si="47"/>
        <v>134.30000000000001</v>
      </c>
      <c r="DC166">
        <f t="shared" si="48"/>
        <v>0</v>
      </c>
    </row>
    <row r="167" spans="1:107" x14ac:dyDescent="0.2">
      <c r="A167">
        <f>ROW(Source!A58)</f>
        <v>58</v>
      </c>
      <c r="B167">
        <v>16856227</v>
      </c>
      <c r="C167">
        <v>16856468</v>
      </c>
      <c r="D167">
        <v>15162572</v>
      </c>
      <c r="E167">
        <v>17</v>
      </c>
      <c r="F167">
        <v>1</v>
      </c>
      <c r="G167">
        <v>1</v>
      </c>
      <c r="H167">
        <v>3</v>
      </c>
      <c r="I167" t="s">
        <v>139</v>
      </c>
      <c r="J167" t="s">
        <v>6</v>
      </c>
      <c r="K167" t="s">
        <v>140</v>
      </c>
      <c r="L167">
        <v>1348</v>
      </c>
      <c r="N167">
        <v>1009</v>
      </c>
      <c r="O167" t="s">
        <v>37</v>
      </c>
      <c r="P167" t="s">
        <v>37</v>
      </c>
      <c r="Q167">
        <v>1000</v>
      </c>
      <c r="W167">
        <v>0</v>
      </c>
      <c r="X167">
        <v>-1212923053</v>
      </c>
      <c r="Y167">
        <v>8.8999999999999999E-3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6</v>
      </c>
      <c r="AT167">
        <v>8.8999999999999999E-3</v>
      </c>
      <c r="AU167" t="s">
        <v>6</v>
      </c>
      <c r="AV167">
        <v>0</v>
      </c>
      <c r="AW167">
        <v>2</v>
      </c>
      <c r="AX167">
        <v>16856487</v>
      </c>
      <c r="AY167">
        <v>1</v>
      </c>
      <c r="AZ167">
        <v>0</v>
      </c>
      <c r="BA167">
        <v>174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Y167*Source!I58</f>
        <v>1.969837E-2</v>
      </c>
      <c r="CY167">
        <f t="shared" si="44"/>
        <v>0</v>
      </c>
      <c r="CZ167">
        <f t="shared" si="45"/>
        <v>0</v>
      </c>
      <c r="DA167">
        <f t="shared" si="46"/>
        <v>1</v>
      </c>
      <c r="DB167">
        <f t="shared" si="47"/>
        <v>0</v>
      </c>
      <c r="DC167">
        <f t="shared" si="48"/>
        <v>0</v>
      </c>
    </row>
    <row r="168" spans="1:107" x14ac:dyDescent="0.2">
      <c r="A168">
        <f>ROW(Source!A59)</f>
        <v>59</v>
      </c>
      <c r="B168">
        <v>16856228</v>
      </c>
      <c r="C168">
        <v>16856468</v>
      </c>
      <c r="D168">
        <v>15438286</v>
      </c>
      <c r="E168">
        <v>1</v>
      </c>
      <c r="F168">
        <v>1</v>
      </c>
      <c r="G168">
        <v>1</v>
      </c>
      <c r="H168">
        <v>1</v>
      </c>
      <c r="I168" t="s">
        <v>416</v>
      </c>
      <c r="J168" t="s">
        <v>6</v>
      </c>
      <c r="K168" t="s">
        <v>417</v>
      </c>
      <c r="L168">
        <v>1191</v>
      </c>
      <c r="N168">
        <v>1013</v>
      </c>
      <c r="O168" t="s">
        <v>313</v>
      </c>
      <c r="P168" t="s">
        <v>313</v>
      </c>
      <c r="Q168">
        <v>1</v>
      </c>
      <c r="W168">
        <v>0</v>
      </c>
      <c r="X168">
        <v>-1027537862</v>
      </c>
      <c r="Y168">
        <v>191.44049999999999</v>
      </c>
      <c r="AA168">
        <v>0</v>
      </c>
      <c r="AB168">
        <v>0</v>
      </c>
      <c r="AC168">
        <v>0</v>
      </c>
      <c r="AD168">
        <v>62.15</v>
      </c>
      <c r="AE168">
        <v>0</v>
      </c>
      <c r="AF168">
        <v>0</v>
      </c>
      <c r="AG168">
        <v>0</v>
      </c>
      <c r="AH168">
        <v>9.18</v>
      </c>
      <c r="AI168">
        <v>1</v>
      </c>
      <c r="AJ168">
        <v>1</v>
      </c>
      <c r="AK168">
        <v>1</v>
      </c>
      <c r="AL168">
        <v>6.77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</v>
      </c>
      <c r="AT168">
        <v>166.47</v>
      </c>
      <c r="AU168" t="s">
        <v>57</v>
      </c>
      <c r="AV168">
        <v>1</v>
      </c>
      <c r="AW168">
        <v>2</v>
      </c>
      <c r="AX168">
        <v>16856480</v>
      </c>
      <c r="AY168">
        <v>1</v>
      </c>
      <c r="AZ168">
        <v>0</v>
      </c>
      <c r="BA168">
        <v>175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Y168*Source!I59</f>
        <v>423.71525864999995</v>
      </c>
      <c r="CY168">
        <f>AD168</f>
        <v>62.15</v>
      </c>
      <c r="CZ168">
        <f>AH168</f>
        <v>9.18</v>
      </c>
      <c r="DA168">
        <f>AL168</f>
        <v>6.77</v>
      </c>
      <c r="DB168">
        <f>ROUND((ROUND(AT168*CZ168,2)*1.15),6)</f>
        <v>1757.4185</v>
      </c>
      <c r="DC168">
        <f>ROUND((ROUND(AT168*AG168,2)*1.15),6)</f>
        <v>0</v>
      </c>
    </row>
    <row r="169" spans="1:107" x14ac:dyDescent="0.2">
      <c r="A169">
        <f>ROW(Source!A59)</f>
        <v>59</v>
      </c>
      <c r="B169">
        <v>16856228</v>
      </c>
      <c r="C169">
        <v>16856468</v>
      </c>
      <c r="D169">
        <v>15430395</v>
      </c>
      <c r="E169">
        <v>1</v>
      </c>
      <c r="F169">
        <v>1</v>
      </c>
      <c r="G169">
        <v>1</v>
      </c>
      <c r="H169">
        <v>1</v>
      </c>
      <c r="I169" t="s">
        <v>316</v>
      </c>
      <c r="J169" t="s">
        <v>6</v>
      </c>
      <c r="K169" t="s">
        <v>317</v>
      </c>
      <c r="L169">
        <v>1191</v>
      </c>
      <c r="N169">
        <v>1013</v>
      </c>
      <c r="O169" t="s">
        <v>313</v>
      </c>
      <c r="P169" t="s">
        <v>313</v>
      </c>
      <c r="Q169">
        <v>1</v>
      </c>
      <c r="W169">
        <v>0</v>
      </c>
      <c r="X169">
        <v>-1417349443</v>
      </c>
      <c r="Y169">
        <v>0.57999999999999996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6.77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0.57999999999999996</v>
      </c>
      <c r="AU169" t="s">
        <v>6</v>
      </c>
      <c r="AV169">
        <v>2</v>
      </c>
      <c r="AW169">
        <v>2</v>
      </c>
      <c r="AX169">
        <v>16856481</v>
      </c>
      <c r="AY169">
        <v>1</v>
      </c>
      <c r="AZ169">
        <v>2048</v>
      </c>
      <c r="BA169">
        <v>176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Y169*Source!I59</f>
        <v>1.2837139999999998</v>
      </c>
      <c r="CY169">
        <f>AD169</f>
        <v>0</v>
      </c>
      <c r="CZ169">
        <f>AH169</f>
        <v>0</v>
      </c>
      <c r="DA169">
        <f>AL169</f>
        <v>1</v>
      </c>
      <c r="DB169">
        <f>ROUND(ROUND(AT169*CZ169,2),6)</f>
        <v>0</v>
      </c>
      <c r="DC169">
        <f>ROUND(ROUND(AT169*AG169,2),6)</f>
        <v>0</v>
      </c>
    </row>
    <row r="170" spans="1:107" x14ac:dyDescent="0.2">
      <c r="A170">
        <f>ROW(Source!A59)</f>
        <v>59</v>
      </c>
      <c r="B170">
        <v>16856228</v>
      </c>
      <c r="C170">
        <v>16856468</v>
      </c>
      <c r="D170">
        <v>15247974</v>
      </c>
      <c r="E170">
        <v>1</v>
      </c>
      <c r="F170">
        <v>1</v>
      </c>
      <c r="G170">
        <v>1</v>
      </c>
      <c r="H170">
        <v>2</v>
      </c>
      <c r="I170" t="s">
        <v>318</v>
      </c>
      <c r="J170" t="s">
        <v>319</v>
      </c>
      <c r="K170" t="s">
        <v>320</v>
      </c>
      <c r="L170">
        <v>1368</v>
      </c>
      <c r="N170">
        <v>1011</v>
      </c>
      <c r="O170" t="s">
        <v>321</v>
      </c>
      <c r="P170" t="s">
        <v>321</v>
      </c>
      <c r="Q170">
        <v>1</v>
      </c>
      <c r="W170">
        <v>0</v>
      </c>
      <c r="X170">
        <v>1188625873</v>
      </c>
      <c r="Y170">
        <v>0.1</v>
      </c>
      <c r="AA170">
        <v>0</v>
      </c>
      <c r="AB170">
        <v>211.63</v>
      </c>
      <c r="AC170">
        <v>13.5</v>
      </c>
      <c r="AD170">
        <v>0</v>
      </c>
      <c r="AE170">
        <v>0</v>
      </c>
      <c r="AF170">
        <v>31.26</v>
      </c>
      <c r="AG170">
        <v>13.5</v>
      </c>
      <c r="AH170">
        <v>0</v>
      </c>
      <c r="AI170">
        <v>1</v>
      </c>
      <c r="AJ170">
        <v>6.77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0.08</v>
      </c>
      <c r="AU170" t="s">
        <v>56</v>
      </c>
      <c r="AV170">
        <v>0</v>
      </c>
      <c r="AW170">
        <v>2</v>
      </c>
      <c r="AX170">
        <v>16856482</v>
      </c>
      <c r="AY170">
        <v>1</v>
      </c>
      <c r="AZ170">
        <v>0</v>
      </c>
      <c r="BA170">
        <v>177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Y170*Source!I59</f>
        <v>0.22133</v>
      </c>
      <c r="CY170">
        <f>AB170</f>
        <v>211.63</v>
      </c>
      <c r="CZ170">
        <f>AF170</f>
        <v>31.26</v>
      </c>
      <c r="DA170">
        <f>AJ170</f>
        <v>6.77</v>
      </c>
      <c r="DB170">
        <f>ROUND((ROUND(AT170*CZ170,2)*1.25),6)</f>
        <v>3.125</v>
      </c>
      <c r="DC170">
        <f>ROUND((ROUND(AT170*AG170,2)*1.25),6)</f>
        <v>1.35</v>
      </c>
    </row>
    <row r="171" spans="1:107" x14ac:dyDescent="0.2">
      <c r="A171">
        <f>ROW(Source!A59)</f>
        <v>59</v>
      </c>
      <c r="B171">
        <v>16856228</v>
      </c>
      <c r="C171">
        <v>16856468</v>
      </c>
      <c r="D171">
        <v>15249073</v>
      </c>
      <c r="E171">
        <v>1</v>
      </c>
      <c r="F171">
        <v>1</v>
      </c>
      <c r="G171">
        <v>1</v>
      </c>
      <c r="H171">
        <v>2</v>
      </c>
      <c r="I171" t="s">
        <v>330</v>
      </c>
      <c r="J171" t="s">
        <v>331</v>
      </c>
      <c r="K171" t="s">
        <v>332</v>
      </c>
      <c r="L171">
        <v>1368</v>
      </c>
      <c r="N171">
        <v>1011</v>
      </c>
      <c r="O171" t="s">
        <v>321</v>
      </c>
      <c r="P171" t="s">
        <v>321</v>
      </c>
      <c r="Q171">
        <v>1</v>
      </c>
      <c r="W171">
        <v>0</v>
      </c>
      <c r="X171">
        <v>1372534845</v>
      </c>
      <c r="Y171">
        <v>0.625</v>
      </c>
      <c r="AA171">
        <v>0</v>
      </c>
      <c r="AB171">
        <v>444.86</v>
      </c>
      <c r="AC171">
        <v>11.6</v>
      </c>
      <c r="AD171">
        <v>0</v>
      </c>
      <c r="AE171">
        <v>0</v>
      </c>
      <c r="AF171">
        <v>65.709999999999994</v>
      </c>
      <c r="AG171">
        <v>11.6</v>
      </c>
      <c r="AH171">
        <v>0</v>
      </c>
      <c r="AI171">
        <v>1</v>
      </c>
      <c r="AJ171">
        <v>6.77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6</v>
      </c>
      <c r="AT171">
        <v>0.5</v>
      </c>
      <c r="AU171" t="s">
        <v>56</v>
      </c>
      <c r="AV171">
        <v>0</v>
      </c>
      <c r="AW171">
        <v>2</v>
      </c>
      <c r="AX171">
        <v>16856483</v>
      </c>
      <c r="AY171">
        <v>1</v>
      </c>
      <c r="AZ171">
        <v>0</v>
      </c>
      <c r="BA171">
        <v>178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Y171*Source!I59</f>
        <v>1.3833124999999999</v>
      </c>
      <c r="CY171">
        <f>AB171</f>
        <v>444.86</v>
      </c>
      <c r="CZ171">
        <f>AF171</f>
        <v>65.709999999999994</v>
      </c>
      <c r="DA171">
        <f>AJ171</f>
        <v>6.77</v>
      </c>
      <c r="DB171">
        <f>ROUND((ROUND(AT171*CZ171,2)*1.25),6)</f>
        <v>41.075000000000003</v>
      </c>
      <c r="DC171">
        <f>ROUND((ROUND(AT171*AG171,2)*1.25),6)</f>
        <v>7.25</v>
      </c>
    </row>
    <row r="172" spans="1:107" x14ac:dyDescent="0.2">
      <c r="A172">
        <f>ROW(Source!A59)</f>
        <v>59</v>
      </c>
      <c r="B172">
        <v>16856228</v>
      </c>
      <c r="C172">
        <v>16856468</v>
      </c>
      <c r="D172">
        <v>15162966</v>
      </c>
      <c r="E172">
        <v>17</v>
      </c>
      <c r="F172">
        <v>1</v>
      </c>
      <c r="G172">
        <v>1</v>
      </c>
      <c r="H172">
        <v>3</v>
      </c>
      <c r="I172" t="s">
        <v>120</v>
      </c>
      <c r="J172" t="s">
        <v>6</v>
      </c>
      <c r="K172" t="s">
        <v>121</v>
      </c>
      <c r="L172">
        <v>1327</v>
      </c>
      <c r="N172">
        <v>1005</v>
      </c>
      <c r="O172" t="s">
        <v>64</v>
      </c>
      <c r="P172" t="s">
        <v>64</v>
      </c>
      <c r="Q172">
        <v>1</v>
      </c>
      <c r="W172">
        <v>0</v>
      </c>
      <c r="X172">
        <v>-112006704</v>
      </c>
      <c r="Y172">
        <v>105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6.77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6</v>
      </c>
      <c r="AT172">
        <v>105</v>
      </c>
      <c r="AU172" t="s">
        <v>6</v>
      </c>
      <c r="AV172">
        <v>0</v>
      </c>
      <c r="AW172">
        <v>2</v>
      </c>
      <c r="AX172">
        <v>16856484</v>
      </c>
      <c r="AY172">
        <v>1</v>
      </c>
      <c r="AZ172">
        <v>0</v>
      </c>
      <c r="BA172">
        <v>179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Y172*Source!I59</f>
        <v>232.39649999999997</v>
      </c>
      <c r="CY172">
        <f t="shared" ref="CY172:CY178" si="49">AA172</f>
        <v>0</v>
      </c>
      <c r="CZ172">
        <f t="shared" ref="CZ172:CZ178" si="50">AE172</f>
        <v>0</v>
      </c>
      <c r="DA172">
        <f t="shared" ref="DA172:DA178" si="51">AI172</f>
        <v>6.77</v>
      </c>
      <c r="DB172">
        <f t="shared" ref="DB172:DB178" si="52">ROUND(ROUND(AT172*CZ172,2),6)</f>
        <v>0</v>
      </c>
      <c r="DC172">
        <f t="shared" ref="DC172:DC178" si="53">ROUND(ROUND(AT172*AG172,2),6)</f>
        <v>0</v>
      </c>
    </row>
    <row r="173" spans="1:107" x14ac:dyDescent="0.2">
      <c r="A173">
        <f>ROW(Source!A59)</f>
        <v>59</v>
      </c>
      <c r="B173">
        <v>16856228</v>
      </c>
      <c r="C173">
        <v>16856468</v>
      </c>
      <c r="D173">
        <v>15171018</v>
      </c>
      <c r="E173">
        <v>1</v>
      </c>
      <c r="F173">
        <v>1</v>
      </c>
      <c r="G173">
        <v>1</v>
      </c>
      <c r="H173">
        <v>3</v>
      </c>
      <c r="I173" t="s">
        <v>418</v>
      </c>
      <c r="J173" t="s">
        <v>419</v>
      </c>
      <c r="K173" t="s">
        <v>420</v>
      </c>
      <c r="L173">
        <v>1346</v>
      </c>
      <c r="N173">
        <v>1009</v>
      </c>
      <c r="O173" t="s">
        <v>129</v>
      </c>
      <c r="P173" t="s">
        <v>129</v>
      </c>
      <c r="Q173">
        <v>1</v>
      </c>
      <c r="W173">
        <v>0</v>
      </c>
      <c r="X173">
        <v>813963326</v>
      </c>
      <c r="Y173">
        <v>0.2</v>
      </c>
      <c r="AA173">
        <v>12.32</v>
      </c>
      <c r="AB173">
        <v>0</v>
      </c>
      <c r="AC173">
        <v>0</v>
      </c>
      <c r="AD173">
        <v>0</v>
      </c>
      <c r="AE173">
        <v>1.82</v>
      </c>
      <c r="AF173">
        <v>0</v>
      </c>
      <c r="AG173">
        <v>0</v>
      </c>
      <c r="AH173">
        <v>0</v>
      </c>
      <c r="AI173">
        <v>6.77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0.2</v>
      </c>
      <c r="AU173" t="s">
        <v>6</v>
      </c>
      <c r="AV173">
        <v>0</v>
      </c>
      <c r="AW173">
        <v>2</v>
      </c>
      <c r="AX173">
        <v>16856485</v>
      </c>
      <c r="AY173">
        <v>1</v>
      </c>
      <c r="AZ173">
        <v>0</v>
      </c>
      <c r="BA173">
        <v>180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Y173*Source!I59</f>
        <v>0.44266</v>
      </c>
      <c r="CY173">
        <f t="shared" si="49"/>
        <v>12.32</v>
      </c>
      <c r="CZ173">
        <f t="shared" si="50"/>
        <v>1.82</v>
      </c>
      <c r="DA173">
        <f t="shared" si="51"/>
        <v>6.77</v>
      </c>
      <c r="DB173">
        <f t="shared" si="52"/>
        <v>0.36</v>
      </c>
      <c r="DC173">
        <f t="shared" si="53"/>
        <v>0</v>
      </c>
    </row>
    <row r="174" spans="1:107" x14ac:dyDescent="0.2">
      <c r="A174">
        <f>ROW(Source!A59)</f>
        <v>59</v>
      </c>
      <c r="B174">
        <v>16856228</v>
      </c>
      <c r="C174">
        <v>16856468</v>
      </c>
      <c r="D174">
        <v>15197676</v>
      </c>
      <c r="E174">
        <v>1</v>
      </c>
      <c r="F174">
        <v>1</v>
      </c>
      <c r="G174">
        <v>1</v>
      </c>
      <c r="H174">
        <v>3</v>
      </c>
      <c r="I174" t="s">
        <v>123</v>
      </c>
      <c r="J174" t="s">
        <v>125</v>
      </c>
      <c r="K174" t="s">
        <v>124</v>
      </c>
      <c r="L174">
        <v>1327</v>
      </c>
      <c r="N174">
        <v>1005</v>
      </c>
      <c r="O174" t="s">
        <v>64</v>
      </c>
      <c r="P174" t="s">
        <v>64</v>
      </c>
      <c r="Q174">
        <v>1</v>
      </c>
      <c r="W174">
        <v>0</v>
      </c>
      <c r="X174">
        <v>-724546537</v>
      </c>
      <c r="Y174">
        <v>105</v>
      </c>
      <c r="AA174">
        <v>400.51</v>
      </c>
      <c r="AB174">
        <v>0</v>
      </c>
      <c r="AC174">
        <v>0</v>
      </c>
      <c r="AD174">
        <v>0</v>
      </c>
      <c r="AE174">
        <v>59.16</v>
      </c>
      <c r="AF174">
        <v>0</v>
      </c>
      <c r="AG174">
        <v>0</v>
      </c>
      <c r="AH174">
        <v>0</v>
      </c>
      <c r="AI174">
        <v>6.77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6</v>
      </c>
      <c r="AT174">
        <v>105</v>
      </c>
      <c r="AU174" t="s">
        <v>6</v>
      </c>
      <c r="AV174">
        <v>0</v>
      </c>
      <c r="AW174">
        <v>1</v>
      </c>
      <c r="AX174">
        <v>-1</v>
      </c>
      <c r="AY174">
        <v>0</v>
      </c>
      <c r="AZ174">
        <v>0</v>
      </c>
      <c r="BA174" t="s">
        <v>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Y174*Source!I59</f>
        <v>232.39649999999997</v>
      </c>
      <c r="CY174">
        <f t="shared" si="49"/>
        <v>400.51</v>
      </c>
      <c r="CZ174">
        <f t="shared" si="50"/>
        <v>59.16</v>
      </c>
      <c r="DA174">
        <f t="shared" si="51"/>
        <v>6.77</v>
      </c>
      <c r="DB174">
        <f t="shared" si="52"/>
        <v>6211.8</v>
      </c>
      <c r="DC174">
        <f t="shared" si="53"/>
        <v>0</v>
      </c>
    </row>
    <row r="175" spans="1:107" x14ac:dyDescent="0.2">
      <c r="A175">
        <f>ROW(Source!A59)</f>
        <v>59</v>
      </c>
      <c r="B175">
        <v>16856228</v>
      </c>
      <c r="C175">
        <v>16856468</v>
      </c>
      <c r="D175">
        <v>15202463</v>
      </c>
      <c r="E175">
        <v>1</v>
      </c>
      <c r="F175">
        <v>1</v>
      </c>
      <c r="G175">
        <v>1</v>
      </c>
      <c r="H175">
        <v>3</v>
      </c>
      <c r="I175" t="s">
        <v>131</v>
      </c>
      <c r="J175" t="s">
        <v>133</v>
      </c>
      <c r="K175" t="s">
        <v>132</v>
      </c>
      <c r="L175">
        <v>1346</v>
      </c>
      <c r="N175">
        <v>1009</v>
      </c>
      <c r="O175" t="s">
        <v>129</v>
      </c>
      <c r="P175" t="s">
        <v>129</v>
      </c>
      <c r="Q175">
        <v>1</v>
      </c>
      <c r="W175">
        <v>0</v>
      </c>
      <c r="X175">
        <v>-89726692</v>
      </c>
      <c r="Y175">
        <v>30</v>
      </c>
      <c r="AA175">
        <v>173.04</v>
      </c>
      <c r="AB175">
        <v>0</v>
      </c>
      <c r="AC175">
        <v>0</v>
      </c>
      <c r="AD175">
        <v>0</v>
      </c>
      <c r="AE175">
        <v>25.56</v>
      </c>
      <c r="AF175">
        <v>0</v>
      </c>
      <c r="AG175">
        <v>0</v>
      </c>
      <c r="AH175">
        <v>0</v>
      </c>
      <c r="AI175">
        <v>6.77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6</v>
      </c>
      <c r="AT175">
        <v>30</v>
      </c>
      <c r="AU175" t="s">
        <v>6</v>
      </c>
      <c r="AV175">
        <v>0</v>
      </c>
      <c r="AW175">
        <v>1</v>
      </c>
      <c r="AX175">
        <v>-1</v>
      </c>
      <c r="AY175">
        <v>0</v>
      </c>
      <c r="AZ175">
        <v>0</v>
      </c>
      <c r="BA175" t="s">
        <v>6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Y175*Source!I59</f>
        <v>66.399000000000001</v>
      </c>
      <c r="CY175">
        <f t="shared" si="49"/>
        <v>173.04</v>
      </c>
      <c r="CZ175">
        <f t="shared" si="50"/>
        <v>25.56</v>
      </c>
      <c r="DA175">
        <f t="shared" si="51"/>
        <v>6.77</v>
      </c>
      <c r="DB175">
        <f t="shared" si="52"/>
        <v>766.8</v>
      </c>
      <c r="DC175">
        <f t="shared" si="53"/>
        <v>0</v>
      </c>
    </row>
    <row r="176" spans="1:107" x14ac:dyDescent="0.2">
      <c r="A176">
        <f>ROW(Source!A59)</f>
        <v>59</v>
      </c>
      <c r="B176">
        <v>16856228</v>
      </c>
      <c r="C176">
        <v>16856468</v>
      </c>
      <c r="D176">
        <v>15162257</v>
      </c>
      <c r="E176">
        <v>17</v>
      </c>
      <c r="F176">
        <v>1</v>
      </c>
      <c r="G176">
        <v>1</v>
      </c>
      <c r="H176">
        <v>3</v>
      </c>
      <c r="I176" t="s">
        <v>127</v>
      </c>
      <c r="J176" t="s">
        <v>6</v>
      </c>
      <c r="K176" t="s">
        <v>128</v>
      </c>
      <c r="L176">
        <v>1346</v>
      </c>
      <c r="N176">
        <v>1009</v>
      </c>
      <c r="O176" t="s">
        <v>129</v>
      </c>
      <c r="P176" t="s">
        <v>129</v>
      </c>
      <c r="Q176">
        <v>1</v>
      </c>
      <c r="W176">
        <v>0</v>
      </c>
      <c r="X176">
        <v>-1516100259</v>
      </c>
      <c r="Y176">
        <v>30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6.77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6</v>
      </c>
      <c r="AT176">
        <v>30</v>
      </c>
      <c r="AU176" t="s">
        <v>6</v>
      </c>
      <c r="AV176">
        <v>0</v>
      </c>
      <c r="AW176">
        <v>2</v>
      </c>
      <c r="AX176">
        <v>16856486</v>
      </c>
      <c r="AY176">
        <v>1</v>
      </c>
      <c r="AZ176">
        <v>0</v>
      </c>
      <c r="BA176">
        <v>181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Y176*Source!I59</f>
        <v>66.399000000000001</v>
      </c>
      <c r="CY176">
        <f t="shared" si="49"/>
        <v>0</v>
      </c>
      <c r="CZ176">
        <f t="shared" si="50"/>
        <v>0</v>
      </c>
      <c r="DA176">
        <f t="shared" si="51"/>
        <v>6.77</v>
      </c>
      <c r="DB176">
        <f t="shared" si="52"/>
        <v>0</v>
      </c>
      <c r="DC176">
        <f t="shared" si="53"/>
        <v>0</v>
      </c>
    </row>
    <row r="177" spans="1:107" x14ac:dyDescent="0.2">
      <c r="A177">
        <f>ROW(Source!A59)</f>
        <v>59</v>
      </c>
      <c r="B177">
        <v>16856228</v>
      </c>
      <c r="C177">
        <v>16856468</v>
      </c>
      <c r="D177">
        <v>15203211</v>
      </c>
      <c r="E177">
        <v>1</v>
      </c>
      <c r="F177">
        <v>1</v>
      </c>
      <c r="G177">
        <v>1</v>
      </c>
      <c r="H177">
        <v>3</v>
      </c>
      <c r="I177" t="s">
        <v>135</v>
      </c>
      <c r="J177" t="s">
        <v>137</v>
      </c>
      <c r="K177" t="s">
        <v>136</v>
      </c>
      <c r="L177">
        <v>1346</v>
      </c>
      <c r="N177">
        <v>1009</v>
      </c>
      <c r="O177" t="s">
        <v>129</v>
      </c>
      <c r="P177" t="s">
        <v>129</v>
      </c>
      <c r="Q177">
        <v>1</v>
      </c>
      <c r="W177">
        <v>0</v>
      </c>
      <c r="X177">
        <v>1453462043</v>
      </c>
      <c r="Y177">
        <v>8.8998329999999992</v>
      </c>
      <c r="AA177">
        <v>102.16</v>
      </c>
      <c r="AB177">
        <v>0</v>
      </c>
      <c r="AC177">
        <v>0</v>
      </c>
      <c r="AD177">
        <v>0</v>
      </c>
      <c r="AE177">
        <v>15.09</v>
      </c>
      <c r="AF177">
        <v>0</v>
      </c>
      <c r="AG177">
        <v>0</v>
      </c>
      <c r="AH177">
        <v>0</v>
      </c>
      <c r="AI177">
        <v>6.77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6</v>
      </c>
      <c r="AT177">
        <v>8.8998329999999992</v>
      </c>
      <c r="AU177" t="s">
        <v>6</v>
      </c>
      <c r="AV177">
        <v>0</v>
      </c>
      <c r="AW177">
        <v>1</v>
      </c>
      <c r="AX177">
        <v>-1</v>
      </c>
      <c r="AY177">
        <v>0</v>
      </c>
      <c r="AZ177">
        <v>0</v>
      </c>
      <c r="BA177" t="s">
        <v>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Y177*Source!I59</f>
        <v>19.698000378899998</v>
      </c>
      <c r="CY177">
        <f t="shared" si="49"/>
        <v>102.16</v>
      </c>
      <c r="CZ177">
        <f t="shared" si="50"/>
        <v>15.09</v>
      </c>
      <c r="DA177">
        <f t="shared" si="51"/>
        <v>6.77</v>
      </c>
      <c r="DB177">
        <f t="shared" si="52"/>
        <v>134.30000000000001</v>
      </c>
      <c r="DC177">
        <f t="shared" si="53"/>
        <v>0</v>
      </c>
    </row>
    <row r="178" spans="1:107" x14ac:dyDescent="0.2">
      <c r="A178">
        <f>ROW(Source!A59)</f>
        <v>59</v>
      </c>
      <c r="B178">
        <v>16856228</v>
      </c>
      <c r="C178">
        <v>16856468</v>
      </c>
      <c r="D178">
        <v>15162572</v>
      </c>
      <c r="E178">
        <v>17</v>
      </c>
      <c r="F178">
        <v>1</v>
      </c>
      <c r="G178">
        <v>1</v>
      </c>
      <c r="H178">
        <v>3</v>
      </c>
      <c r="I178" t="s">
        <v>139</v>
      </c>
      <c r="J178" t="s">
        <v>6</v>
      </c>
      <c r="K178" t="s">
        <v>140</v>
      </c>
      <c r="L178">
        <v>1348</v>
      </c>
      <c r="N178">
        <v>1009</v>
      </c>
      <c r="O178" t="s">
        <v>37</v>
      </c>
      <c r="P178" t="s">
        <v>37</v>
      </c>
      <c r="Q178">
        <v>1000</v>
      </c>
      <c r="W178">
        <v>0</v>
      </c>
      <c r="X178">
        <v>-1212923053</v>
      </c>
      <c r="Y178">
        <v>8.8999999999999999E-3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6.77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6</v>
      </c>
      <c r="AT178">
        <v>8.8999999999999999E-3</v>
      </c>
      <c r="AU178" t="s">
        <v>6</v>
      </c>
      <c r="AV178">
        <v>0</v>
      </c>
      <c r="AW178">
        <v>2</v>
      </c>
      <c r="AX178">
        <v>16856487</v>
      </c>
      <c r="AY178">
        <v>1</v>
      </c>
      <c r="AZ178">
        <v>0</v>
      </c>
      <c r="BA178">
        <v>182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Y178*Source!I59</f>
        <v>1.969837E-2</v>
      </c>
      <c r="CY178">
        <f t="shared" si="49"/>
        <v>0</v>
      </c>
      <c r="CZ178">
        <f t="shared" si="50"/>
        <v>0</v>
      </c>
      <c r="DA178">
        <f t="shared" si="51"/>
        <v>6.77</v>
      </c>
      <c r="DB178">
        <f t="shared" si="52"/>
        <v>0</v>
      </c>
      <c r="DC178">
        <f t="shared" si="53"/>
        <v>0</v>
      </c>
    </row>
    <row r="179" spans="1:107" x14ac:dyDescent="0.2">
      <c r="A179">
        <f>ROW(Source!A72)</f>
        <v>72</v>
      </c>
      <c r="B179">
        <v>16856227</v>
      </c>
      <c r="C179">
        <v>16856494</v>
      </c>
      <c r="D179">
        <v>15430767</v>
      </c>
      <c r="E179">
        <v>1</v>
      </c>
      <c r="F179">
        <v>1</v>
      </c>
      <c r="G179">
        <v>1</v>
      </c>
      <c r="H179">
        <v>1</v>
      </c>
      <c r="I179" t="s">
        <v>399</v>
      </c>
      <c r="J179" t="s">
        <v>6</v>
      </c>
      <c r="K179" t="s">
        <v>400</v>
      </c>
      <c r="L179">
        <v>1191</v>
      </c>
      <c r="N179">
        <v>1013</v>
      </c>
      <c r="O179" t="s">
        <v>313</v>
      </c>
      <c r="P179" t="s">
        <v>313</v>
      </c>
      <c r="Q179">
        <v>1</v>
      </c>
      <c r="W179">
        <v>0</v>
      </c>
      <c r="X179">
        <v>-400197608</v>
      </c>
      <c r="Y179">
        <v>7.7049999999999992</v>
      </c>
      <c r="AA179">
        <v>0</v>
      </c>
      <c r="AB179">
        <v>0</v>
      </c>
      <c r="AC179">
        <v>0</v>
      </c>
      <c r="AD179">
        <v>8.5299999999999994</v>
      </c>
      <c r="AE179">
        <v>0</v>
      </c>
      <c r="AF179">
        <v>0</v>
      </c>
      <c r="AG179">
        <v>0</v>
      </c>
      <c r="AH179">
        <v>8.5299999999999994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6.7</v>
      </c>
      <c r="AU179" t="s">
        <v>57</v>
      </c>
      <c r="AV179">
        <v>1</v>
      </c>
      <c r="AW179">
        <v>2</v>
      </c>
      <c r="AX179">
        <v>16856499</v>
      </c>
      <c r="AY179">
        <v>1</v>
      </c>
      <c r="AZ179">
        <v>0</v>
      </c>
      <c r="BA179">
        <v>183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Y179*Source!I72</f>
        <v>34.106952999999997</v>
      </c>
      <c r="CY179">
        <f>AD179</f>
        <v>8.5299999999999994</v>
      </c>
      <c r="CZ179">
        <f>AH179</f>
        <v>8.5299999999999994</v>
      </c>
      <c r="DA179">
        <f>AL179</f>
        <v>1</v>
      </c>
      <c r="DB179">
        <f>ROUND((ROUND(AT179*CZ179,2)*1.15),6)</f>
        <v>65.722499999999997</v>
      </c>
      <c r="DC179">
        <f>ROUND((ROUND(AT179*AG179,2)*1.15),6)</f>
        <v>0</v>
      </c>
    </row>
    <row r="180" spans="1:107" x14ac:dyDescent="0.2">
      <c r="A180">
        <f>ROW(Source!A72)</f>
        <v>72</v>
      </c>
      <c r="B180">
        <v>16856227</v>
      </c>
      <c r="C180">
        <v>16856494</v>
      </c>
      <c r="D180">
        <v>15162472</v>
      </c>
      <c r="E180">
        <v>17</v>
      </c>
      <c r="F180">
        <v>1</v>
      </c>
      <c r="G180">
        <v>1</v>
      </c>
      <c r="H180">
        <v>3</v>
      </c>
      <c r="I180" t="s">
        <v>146</v>
      </c>
      <c r="J180" t="s">
        <v>6</v>
      </c>
      <c r="K180" t="s">
        <v>147</v>
      </c>
      <c r="L180">
        <v>2233</v>
      </c>
      <c r="N180">
        <v>1013</v>
      </c>
      <c r="O180" t="s">
        <v>148</v>
      </c>
      <c r="P180" t="s">
        <v>148</v>
      </c>
      <c r="Q180">
        <v>1</v>
      </c>
      <c r="W180">
        <v>0</v>
      </c>
      <c r="X180">
        <v>-1710570218</v>
      </c>
      <c r="Y180">
        <v>100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6</v>
      </c>
      <c r="AT180">
        <v>100</v>
      </c>
      <c r="AU180" t="s">
        <v>6</v>
      </c>
      <c r="AV180">
        <v>0</v>
      </c>
      <c r="AW180">
        <v>2</v>
      </c>
      <c r="AX180">
        <v>16856500</v>
      </c>
      <c r="AY180">
        <v>1</v>
      </c>
      <c r="AZ180">
        <v>0</v>
      </c>
      <c r="BA180">
        <v>184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Y180*Source!I72</f>
        <v>442.65999999999997</v>
      </c>
      <c r="CY180">
        <f>AA180</f>
        <v>0</v>
      </c>
      <c r="CZ180">
        <f>AE180</f>
        <v>0</v>
      </c>
      <c r="DA180">
        <f>AI180</f>
        <v>1</v>
      </c>
      <c r="DB180">
        <f>ROUND(ROUND(AT180*CZ180,2),6)</f>
        <v>0</v>
      </c>
      <c r="DC180">
        <f>ROUND(ROUND(AT180*AG180,2),6)</f>
        <v>0</v>
      </c>
    </row>
    <row r="181" spans="1:107" x14ac:dyDescent="0.2">
      <c r="A181">
        <f>ROW(Source!A72)</f>
        <v>72</v>
      </c>
      <c r="B181">
        <v>16856227</v>
      </c>
      <c r="C181">
        <v>16856494</v>
      </c>
      <c r="D181">
        <v>15197760</v>
      </c>
      <c r="E181">
        <v>1</v>
      </c>
      <c r="F181">
        <v>1</v>
      </c>
      <c r="G181">
        <v>1</v>
      </c>
      <c r="H181">
        <v>3</v>
      </c>
      <c r="I181" t="s">
        <v>150</v>
      </c>
      <c r="J181" t="s">
        <v>153</v>
      </c>
      <c r="K181" t="s">
        <v>151</v>
      </c>
      <c r="L181">
        <v>1302</v>
      </c>
      <c r="N181">
        <v>1003</v>
      </c>
      <c r="O181" t="s">
        <v>152</v>
      </c>
      <c r="P181" t="s">
        <v>152</v>
      </c>
      <c r="Q181">
        <v>10</v>
      </c>
      <c r="W181">
        <v>0</v>
      </c>
      <c r="X181">
        <v>-1575274439</v>
      </c>
      <c r="Y181">
        <v>10</v>
      </c>
      <c r="AA181">
        <v>44.3</v>
      </c>
      <c r="AB181">
        <v>0</v>
      </c>
      <c r="AC181">
        <v>0</v>
      </c>
      <c r="AD181">
        <v>0</v>
      </c>
      <c r="AE181">
        <v>44.3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6</v>
      </c>
      <c r="AT181">
        <v>10</v>
      </c>
      <c r="AU181" t="s">
        <v>6</v>
      </c>
      <c r="AV181">
        <v>0</v>
      </c>
      <c r="AW181">
        <v>1</v>
      </c>
      <c r="AX181">
        <v>-1</v>
      </c>
      <c r="AY181">
        <v>0</v>
      </c>
      <c r="AZ181">
        <v>0</v>
      </c>
      <c r="BA181" t="s">
        <v>6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Y181*Source!I72</f>
        <v>44.265999999999998</v>
      </c>
      <c r="CY181">
        <f>AA181</f>
        <v>44.3</v>
      </c>
      <c r="CZ181">
        <f>AE181</f>
        <v>44.3</v>
      </c>
      <c r="DA181">
        <f>AI181</f>
        <v>1</v>
      </c>
      <c r="DB181">
        <f>ROUND(ROUND(AT181*CZ181,2),6)</f>
        <v>443</v>
      </c>
      <c r="DC181">
        <f>ROUND(ROUND(AT181*AG181,2),6)</f>
        <v>0</v>
      </c>
    </row>
    <row r="182" spans="1:107" x14ac:dyDescent="0.2">
      <c r="A182">
        <f>ROW(Source!A72)</f>
        <v>72</v>
      </c>
      <c r="B182">
        <v>16856227</v>
      </c>
      <c r="C182">
        <v>16856494</v>
      </c>
      <c r="D182">
        <v>15202504</v>
      </c>
      <c r="E182">
        <v>1</v>
      </c>
      <c r="F182">
        <v>1</v>
      </c>
      <c r="G182">
        <v>1</v>
      </c>
      <c r="H182">
        <v>3</v>
      </c>
      <c r="I182" t="s">
        <v>421</v>
      </c>
      <c r="J182" t="s">
        <v>422</v>
      </c>
      <c r="K182" t="s">
        <v>423</v>
      </c>
      <c r="L182">
        <v>1346</v>
      </c>
      <c r="N182">
        <v>1009</v>
      </c>
      <c r="O182" t="s">
        <v>129</v>
      </c>
      <c r="P182" t="s">
        <v>129</v>
      </c>
      <c r="Q182">
        <v>1</v>
      </c>
      <c r="W182">
        <v>0</v>
      </c>
      <c r="X182">
        <v>-1230081286</v>
      </c>
      <c r="Y182">
        <v>0.8</v>
      </c>
      <c r="AA182">
        <v>45</v>
      </c>
      <c r="AB182">
        <v>0</v>
      </c>
      <c r="AC182">
        <v>0</v>
      </c>
      <c r="AD182">
        <v>0</v>
      </c>
      <c r="AE182">
        <v>45</v>
      </c>
      <c r="AF182">
        <v>0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0.8</v>
      </c>
      <c r="AU182" t="s">
        <v>6</v>
      </c>
      <c r="AV182">
        <v>0</v>
      </c>
      <c r="AW182">
        <v>2</v>
      </c>
      <c r="AX182">
        <v>16856501</v>
      </c>
      <c r="AY182">
        <v>1</v>
      </c>
      <c r="AZ182">
        <v>0</v>
      </c>
      <c r="BA182">
        <v>185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Y182*Source!I72</f>
        <v>3.54128</v>
      </c>
      <c r="CY182">
        <f>AA182</f>
        <v>45</v>
      </c>
      <c r="CZ182">
        <f>AE182</f>
        <v>45</v>
      </c>
      <c r="DA182">
        <f>AI182</f>
        <v>1</v>
      </c>
      <c r="DB182">
        <f>ROUND(ROUND(AT182*CZ182,2),6)</f>
        <v>36</v>
      </c>
      <c r="DC182">
        <f>ROUND(ROUND(AT182*AG182,2),6)</f>
        <v>0</v>
      </c>
    </row>
    <row r="183" spans="1:107" x14ac:dyDescent="0.2">
      <c r="A183">
        <f>ROW(Source!A73)</f>
        <v>73</v>
      </c>
      <c r="B183">
        <v>16856228</v>
      </c>
      <c r="C183">
        <v>16856494</v>
      </c>
      <c r="D183">
        <v>15430767</v>
      </c>
      <c r="E183">
        <v>1</v>
      </c>
      <c r="F183">
        <v>1</v>
      </c>
      <c r="G183">
        <v>1</v>
      </c>
      <c r="H183">
        <v>1</v>
      </c>
      <c r="I183" t="s">
        <v>399</v>
      </c>
      <c r="J183" t="s">
        <v>6</v>
      </c>
      <c r="K183" t="s">
        <v>400</v>
      </c>
      <c r="L183">
        <v>1191</v>
      </c>
      <c r="N183">
        <v>1013</v>
      </c>
      <c r="O183" t="s">
        <v>313</v>
      </c>
      <c r="P183" t="s">
        <v>313</v>
      </c>
      <c r="Q183">
        <v>1</v>
      </c>
      <c r="W183">
        <v>0</v>
      </c>
      <c r="X183">
        <v>-400197608</v>
      </c>
      <c r="Y183">
        <v>7.7049999999999992</v>
      </c>
      <c r="AA183">
        <v>0</v>
      </c>
      <c r="AB183">
        <v>0</v>
      </c>
      <c r="AC183">
        <v>0</v>
      </c>
      <c r="AD183">
        <v>57.75</v>
      </c>
      <c r="AE183">
        <v>0</v>
      </c>
      <c r="AF183">
        <v>0</v>
      </c>
      <c r="AG183">
        <v>0</v>
      </c>
      <c r="AH183">
        <v>8.5299999999999994</v>
      </c>
      <c r="AI183">
        <v>1</v>
      </c>
      <c r="AJ183">
        <v>1</v>
      </c>
      <c r="AK183">
        <v>1</v>
      </c>
      <c r="AL183">
        <v>6.77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6.7</v>
      </c>
      <c r="AU183" t="s">
        <v>57</v>
      </c>
      <c r="AV183">
        <v>1</v>
      </c>
      <c r="AW183">
        <v>2</v>
      </c>
      <c r="AX183">
        <v>16856499</v>
      </c>
      <c r="AY183">
        <v>1</v>
      </c>
      <c r="AZ183">
        <v>0</v>
      </c>
      <c r="BA183">
        <v>186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Y183*Source!I73</f>
        <v>34.106952999999997</v>
      </c>
      <c r="CY183">
        <f>AD183</f>
        <v>57.75</v>
      </c>
      <c r="CZ183">
        <f>AH183</f>
        <v>8.5299999999999994</v>
      </c>
      <c r="DA183">
        <f>AL183</f>
        <v>6.77</v>
      </c>
      <c r="DB183">
        <f>ROUND((ROUND(AT183*CZ183,2)*1.15),6)</f>
        <v>65.722499999999997</v>
      </c>
      <c r="DC183">
        <f>ROUND((ROUND(AT183*AG183,2)*1.15),6)</f>
        <v>0</v>
      </c>
    </row>
    <row r="184" spans="1:107" x14ac:dyDescent="0.2">
      <c r="A184">
        <f>ROW(Source!A73)</f>
        <v>73</v>
      </c>
      <c r="B184">
        <v>16856228</v>
      </c>
      <c r="C184">
        <v>16856494</v>
      </c>
      <c r="D184">
        <v>15162472</v>
      </c>
      <c r="E184">
        <v>17</v>
      </c>
      <c r="F184">
        <v>1</v>
      </c>
      <c r="G184">
        <v>1</v>
      </c>
      <c r="H184">
        <v>3</v>
      </c>
      <c r="I184" t="s">
        <v>146</v>
      </c>
      <c r="J184" t="s">
        <v>6</v>
      </c>
      <c r="K184" t="s">
        <v>147</v>
      </c>
      <c r="L184">
        <v>2233</v>
      </c>
      <c r="N184">
        <v>1013</v>
      </c>
      <c r="O184" t="s">
        <v>148</v>
      </c>
      <c r="P184" t="s">
        <v>148</v>
      </c>
      <c r="Q184">
        <v>1</v>
      </c>
      <c r="W184">
        <v>0</v>
      </c>
      <c r="X184">
        <v>-1710570218</v>
      </c>
      <c r="Y184">
        <v>100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6.77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6</v>
      </c>
      <c r="AT184">
        <v>100</v>
      </c>
      <c r="AU184" t="s">
        <v>6</v>
      </c>
      <c r="AV184">
        <v>0</v>
      </c>
      <c r="AW184">
        <v>2</v>
      </c>
      <c r="AX184">
        <v>16856500</v>
      </c>
      <c r="AY184">
        <v>1</v>
      </c>
      <c r="AZ184">
        <v>0</v>
      </c>
      <c r="BA184">
        <v>187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Y184*Source!I73</f>
        <v>442.65999999999997</v>
      </c>
      <c r="CY184">
        <f>AA184</f>
        <v>0</v>
      </c>
      <c r="CZ184">
        <f>AE184</f>
        <v>0</v>
      </c>
      <c r="DA184">
        <f>AI184</f>
        <v>6.77</v>
      </c>
      <c r="DB184">
        <f>ROUND(ROUND(AT184*CZ184,2),6)</f>
        <v>0</v>
      </c>
      <c r="DC184">
        <f>ROUND(ROUND(AT184*AG184,2),6)</f>
        <v>0</v>
      </c>
    </row>
    <row r="185" spans="1:107" x14ac:dyDescent="0.2">
      <c r="A185">
        <f>ROW(Source!A73)</f>
        <v>73</v>
      </c>
      <c r="B185">
        <v>16856228</v>
      </c>
      <c r="C185">
        <v>16856494</v>
      </c>
      <c r="D185">
        <v>15197760</v>
      </c>
      <c r="E185">
        <v>1</v>
      </c>
      <c r="F185">
        <v>1</v>
      </c>
      <c r="G185">
        <v>1</v>
      </c>
      <c r="H185">
        <v>3</v>
      </c>
      <c r="I185" t="s">
        <v>150</v>
      </c>
      <c r="J185" t="s">
        <v>153</v>
      </c>
      <c r="K185" t="s">
        <v>151</v>
      </c>
      <c r="L185">
        <v>1302</v>
      </c>
      <c r="N185">
        <v>1003</v>
      </c>
      <c r="O185" t="s">
        <v>152</v>
      </c>
      <c r="P185" t="s">
        <v>152</v>
      </c>
      <c r="Q185">
        <v>10</v>
      </c>
      <c r="W185">
        <v>0</v>
      </c>
      <c r="X185">
        <v>-1575274439</v>
      </c>
      <c r="Y185">
        <v>10</v>
      </c>
      <c r="AA185">
        <v>299.91000000000003</v>
      </c>
      <c r="AB185">
        <v>0</v>
      </c>
      <c r="AC185">
        <v>0</v>
      </c>
      <c r="AD185">
        <v>0</v>
      </c>
      <c r="AE185">
        <v>44.3</v>
      </c>
      <c r="AF185">
        <v>0</v>
      </c>
      <c r="AG185">
        <v>0</v>
      </c>
      <c r="AH185">
        <v>0</v>
      </c>
      <c r="AI185">
        <v>6.77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6</v>
      </c>
      <c r="AT185">
        <v>10</v>
      </c>
      <c r="AU185" t="s">
        <v>6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6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Y185*Source!I73</f>
        <v>44.265999999999998</v>
      </c>
      <c r="CY185">
        <f>AA185</f>
        <v>299.91000000000003</v>
      </c>
      <c r="CZ185">
        <f>AE185</f>
        <v>44.3</v>
      </c>
      <c r="DA185">
        <f>AI185</f>
        <v>6.77</v>
      </c>
      <c r="DB185">
        <f>ROUND(ROUND(AT185*CZ185,2),6)</f>
        <v>443</v>
      </c>
      <c r="DC185">
        <f>ROUND(ROUND(AT185*AG185,2),6)</f>
        <v>0</v>
      </c>
    </row>
    <row r="186" spans="1:107" x14ac:dyDescent="0.2">
      <c r="A186">
        <f>ROW(Source!A73)</f>
        <v>73</v>
      </c>
      <c r="B186">
        <v>16856228</v>
      </c>
      <c r="C186">
        <v>16856494</v>
      </c>
      <c r="D186">
        <v>15202504</v>
      </c>
      <c r="E186">
        <v>1</v>
      </c>
      <c r="F186">
        <v>1</v>
      </c>
      <c r="G186">
        <v>1</v>
      </c>
      <c r="H186">
        <v>3</v>
      </c>
      <c r="I186" t="s">
        <v>421</v>
      </c>
      <c r="J186" t="s">
        <v>422</v>
      </c>
      <c r="K186" t="s">
        <v>423</v>
      </c>
      <c r="L186">
        <v>1346</v>
      </c>
      <c r="N186">
        <v>1009</v>
      </c>
      <c r="O186" t="s">
        <v>129</v>
      </c>
      <c r="P186" t="s">
        <v>129</v>
      </c>
      <c r="Q186">
        <v>1</v>
      </c>
      <c r="W186">
        <v>0</v>
      </c>
      <c r="X186">
        <v>-1230081286</v>
      </c>
      <c r="Y186">
        <v>0.8</v>
      </c>
      <c r="AA186">
        <v>304.64999999999998</v>
      </c>
      <c r="AB186">
        <v>0</v>
      </c>
      <c r="AC186">
        <v>0</v>
      </c>
      <c r="AD186">
        <v>0</v>
      </c>
      <c r="AE186">
        <v>45</v>
      </c>
      <c r="AF186">
        <v>0</v>
      </c>
      <c r="AG186">
        <v>0</v>
      </c>
      <c r="AH186">
        <v>0</v>
      </c>
      <c r="AI186">
        <v>6.77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0.8</v>
      </c>
      <c r="AU186" t="s">
        <v>6</v>
      </c>
      <c r="AV186">
        <v>0</v>
      </c>
      <c r="AW186">
        <v>2</v>
      </c>
      <c r="AX186">
        <v>16856501</v>
      </c>
      <c r="AY186">
        <v>1</v>
      </c>
      <c r="AZ186">
        <v>0</v>
      </c>
      <c r="BA186">
        <v>188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Y186*Source!I73</f>
        <v>3.54128</v>
      </c>
      <c r="CY186">
        <f>AA186</f>
        <v>304.64999999999998</v>
      </c>
      <c r="CZ186">
        <f>AE186</f>
        <v>45</v>
      </c>
      <c r="DA186">
        <f>AI186</f>
        <v>6.77</v>
      </c>
      <c r="DB186">
        <f>ROUND(ROUND(AT186*CZ186,2),6)</f>
        <v>36</v>
      </c>
      <c r="DC186">
        <f>ROUND(ROUND(AT186*AG186,2),6)</f>
        <v>0</v>
      </c>
    </row>
    <row r="187" spans="1:107" x14ac:dyDescent="0.2">
      <c r="A187">
        <f>ROW(Source!A78)</f>
        <v>78</v>
      </c>
      <c r="B187">
        <v>16856227</v>
      </c>
      <c r="C187">
        <v>16856504</v>
      </c>
      <c r="D187">
        <v>15430767</v>
      </c>
      <c r="E187">
        <v>1</v>
      </c>
      <c r="F187">
        <v>1</v>
      </c>
      <c r="G187">
        <v>1</v>
      </c>
      <c r="H187">
        <v>1</v>
      </c>
      <c r="I187" t="s">
        <v>399</v>
      </c>
      <c r="J187" t="s">
        <v>6</v>
      </c>
      <c r="K187" t="s">
        <v>400</v>
      </c>
      <c r="L187">
        <v>1191</v>
      </c>
      <c r="N187">
        <v>1013</v>
      </c>
      <c r="O187" t="s">
        <v>313</v>
      </c>
      <c r="P187" t="s">
        <v>313</v>
      </c>
      <c r="Q187">
        <v>1</v>
      </c>
      <c r="W187">
        <v>0</v>
      </c>
      <c r="X187">
        <v>-400197608</v>
      </c>
      <c r="Y187">
        <v>35.552999999999997</v>
      </c>
      <c r="AA187">
        <v>0</v>
      </c>
      <c r="AB187">
        <v>0</v>
      </c>
      <c r="AC187">
        <v>0</v>
      </c>
      <c r="AD187">
        <v>8.5299999999999994</v>
      </c>
      <c r="AE187">
        <v>0</v>
      </c>
      <c r="AF187">
        <v>0</v>
      </c>
      <c r="AG187">
        <v>0</v>
      </c>
      <c r="AH187">
        <v>8.5299999999999994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50.79</v>
      </c>
      <c r="AU187" t="s">
        <v>40</v>
      </c>
      <c r="AV187">
        <v>1</v>
      </c>
      <c r="AW187">
        <v>2</v>
      </c>
      <c r="AX187">
        <v>16856523</v>
      </c>
      <c r="AY187">
        <v>1</v>
      </c>
      <c r="AZ187">
        <v>0</v>
      </c>
      <c r="BA187">
        <v>189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Y187*Source!I78</f>
        <v>22.042859999999997</v>
      </c>
      <c r="CY187">
        <f>AD187</f>
        <v>8.5299999999999994</v>
      </c>
      <c r="CZ187">
        <f>AH187</f>
        <v>8.5299999999999994</v>
      </c>
      <c r="DA187">
        <f>AL187</f>
        <v>1</v>
      </c>
      <c r="DB187">
        <f>ROUND((ROUND(AT187*CZ187,2)*0.7),6)</f>
        <v>303.26799999999997</v>
      </c>
      <c r="DC187">
        <f>ROUND((ROUND(AT187*AG187,2)*0.7),6)</f>
        <v>0</v>
      </c>
    </row>
    <row r="188" spans="1:107" x14ac:dyDescent="0.2">
      <c r="A188">
        <f>ROW(Source!A78)</f>
        <v>78</v>
      </c>
      <c r="B188">
        <v>16856227</v>
      </c>
      <c r="C188">
        <v>16856504</v>
      </c>
      <c r="D188">
        <v>15430395</v>
      </c>
      <c r="E188">
        <v>1</v>
      </c>
      <c r="F188">
        <v>1</v>
      </c>
      <c r="G188">
        <v>1</v>
      </c>
      <c r="H188">
        <v>1</v>
      </c>
      <c r="I188" t="s">
        <v>316</v>
      </c>
      <c r="J188" t="s">
        <v>6</v>
      </c>
      <c r="K188" t="s">
        <v>317</v>
      </c>
      <c r="L188">
        <v>1191</v>
      </c>
      <c r="N188">
        <v>1013</v>
      </c>
      <c r="O188" t="s">
        <v>313</v>
      </c>
      <c r="P188" t="s">
        <v>313</v>
      </c>
      <c r="Q188">
        <v>1</v>
      </c>
      <c r="W188">
        <v>0</v>
      </c>
      <c r="X188">
        <v>-1417349443</v>
      </c>
      <c r="Y188">
        <v>0.31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0.31</v>
      </c>
      <c r="AU188" t="s">
        <v>6</v>
      </c>
      <c r="AV188">
        <v>2</v>
      </c>
      <c r="AW188">
        <v>2</v>
      </c>
      <c r="AX188">
        <v>16856524</v>
      </c>
      <c r="AY188">
        <v>1</v>
      </c>
      <c r="AZ188">
        <v>2048</v>
      </c>
      <c r="BA188">
        <v>190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Y188*Source!I78</f>
        <v>0.19220000000000001</v>
      </c>
      <c r="CY188">
        <f>AD188</f>
        <v>0</v>
      </c>
      <c r="CZ188">
        <f>AH188</f>
        <v>0</v>
      </c>
      <c r="DA188">
        <f>AL188</f>
        <v>1</v>
      </c>
      <c r="DB188">
        <f>ROUND(ROUND(AT188*CZ188,2),6)</f>
        <v>0</v>
      </c>
      <c r="DC188">
        <f>ROUND(ROUND(AT188*AG188,2),6)</f>
        <v>0</v>
      </c>
    </row>
    <row r="189" spans="1:107" x14ac:dyDescent="0.2">
      <c r="A189">
        <f>ROW(Source!A78)</f>
        <v>78</v>
      </c>
      <c r="B189">
        <v>16856227</v>
      </c>
      <c r="C189">
        <v>16856504</v>
      </c>
      <c r="D189">
        <v>15247680</v>
      </c>
      <c r="E189">
        <v>1</v>
      </c>
      <c r="F189">
        <v>1</v>
      </c>
      <c r="G189">
        <v>1</v>
      </c>
      <c r="H189">
        <v>2</v>
      </c>
      <c r="I189" t="s">
        <v>324</v>
      </c>
      <c r="J189" t="s">
        <v>325</v>
      </c>
      <c r="K189" t="s">
        <v>326</v>
      </c>
      <c r="L189">
        <v>1368</v>
      </c>
      <c r="N189">
        <v>1011</v>
      </c>
      <c r="O189" t="s">
        <v>321</v>
      </c>
      <c r="P189" t="s">
        <v>321</v>
      </c>
      <c r="Q189">
        <v>1</v>
      </c>
      <c r="W189">
        <v>0</v>
      </c>
      <c r="X189">
        <v>-1718674368</v>
      </c>
      <c r="Y189">
        <v>8.3999999999999991E-2</v>
      </c>
      <c r="AA189">
        <v>0</v>
      </c>
      <c r="AB189">
        <v>111.99</v>
      </c>
      <c r="AC189">
        <v>13.5</v>
      </c>
      <c r="AD189">
        <v>0</v>
      </c>
      <c r="AE189">
        <v>0</v>
      </c>
      <c r="AF189">
        <v>111.99</v>
      </c>
      <c r="AG189">
        <v>13.5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0.12</v>
      </c>
      <c r="AU189" t="s">
        <v>40</v>
      </c>
      <c r="AV189">
        <v>0</v>
      </c>
      <c r="AW189">
        <v>2</v>
      </c>
      <c r="AX189">
        <v>16856525</v>
      </c>
      <c r="AY189">
        <v>1</v>
      </c>
      <c r="AZ189">
        <v>0</v>
      </c>
      <c r="BA189">
        <v>191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Y189*Source!I78</f>
        <v>5.2079999999999994E-2</v>
      </c>
      <c r="CY189">
        <f>AB189</f>
        <v>111.99</v>
      </c>
      <c r="CZ189">
        <f>AF189</f>
        <v>111.99</v>
      </c>
      <c r="DA189">
        <f>AJ189</f>
        <v>1</v>
      </c>
      <c r="DB189">
        <f>ROUND((ROUND(AT189*CZ189,2)*0.7),6)</f>
        <v>9.4079999999999995</v>
      </c>
      <c r="DC189">
        <f>ROUND((ROUND(AT189*AG189,2)*0.7),6)</f>
        <v>1.1339999999999999</v>
      </c>
    </row>
    <row r="190" spans="1:107" x14ac:dyDescent="0.2">
      <c r="A190">
        <f>ROW(Source!A78)</f>
        <v>78</v>
      </c>
      <c r="B190">
        <v>16856227</v>
      </c>
      <c r="C190">
        <v>16856504</v>
      </c>
      <c r="D190">
        <v>15247880</v>
      </c>
      <c r="E190">
        <v>1</v>
      </c>
      <c r="F190">
        <v>1</v>
      </c>
      <c r="G190">
        <v>1</v>
      </c>
      <c r="H190">
        <v>2</v>
      </c>
      <c r="I190" t="s">
        <v>424</v>
      </c>
      <c r="J190" t="s">
        <v>425</v>
      </c>
      <c r="K190" t="s">
        <v>426</v>
      </c>
      <c r="L190">
        <v>1368</v>
      </c>
      <c r="N190">
        <v>1011</v>
      </c>
      <c r="O190" t="s">
        <v>321</v>
      </c>
      <c r="P190" t="s">
        <v>321</v>
      </c>
      <c r="Q190">
        <v>1</v>
      </c>
      <c r="W190">
        <v>0</v>
      </c>
      <c r="X190">
        <v>1544661785</v>
      </c>
      <c r="Y190">
        <v>7.3709999999999987</v>
      </c>
      <c r="AA190">
        <v>0</v>
      </c>
      <c r="AB190">
        <v>6.9</v>
      </c>
      <c r="AC190">
        <v>0</v>
      </c>
      <c r="AD190">
        <v>0</v>
      </c>
      <c r="AE190">
        <v>0</v>
      </c>
      <c r="AF190">
        <v>6.9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10.53</v>
      </c>
      <c r="AU190" t="s">
        <v>40</v>
      </c>
      <c r="AV190">
        <v>0</v>
      </c>
      <c r="AW190">
        <v>2</v>
      </c>
      <c r="AX190">
        <v>16856526</v>
      </c>
      <c r="AY190">
        <v>1</v>
      </c>
      <c r="AZ190">
        <v>0</v>
      </c>
      <c r="BA190">
        <v>192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Y190*Source!I78</f>
        <v>4.5700199999999995</v>
      </c>
      <c r="CY190">
        <f>AB190</f>
        <v>6.9</v>
      </c>
      <c r="CZ190">
        <f>AF190</f>
        <v>6.9</v>
      </c>
      <c r="DA190">
        <f>AJ190</f>
        <v>1</v>
      </c>
      <c r="DB190">
        <f>ROUND((ROUND(AT190*CZ190,2)*0.7),6)</f>
        <v>50.862000000000002</v>
      </c>
      <c r="DC190">
        <f>ROUND((ROUND(AT190*AG190,2)*0.7),6)</f>
        <v>0</v>
      </c>
    </row>
    <row r="191" spans="1:107" x14ac:dyDescent="0.2">
      <c r="A191">
        <f>ROW(Source!A78)</f>
        <v>78</v>
      </c>
      <c r="B191">
        <v>16856227</v>
      </c>
      <c r="C191">
        <v>16856504</v>
      </c>
      <c r="D191">
        <v>15249073</v>
      </c>
      <c r="E191">
        <v>1</v>
      </c>
      <c r="F191">
        <v>1</v>
      </c>
      <c r="G191">
        <v>1</v>
      </c>
      <c r="H191">
        <v>2</v>
      </c>
      <c r="I191" t="s">
        <v>330</v>
      </c>
      <c r="J191" t="s">
        <v>331</v>
      </c>
      <c r="K191" t="s">
        <v>332</v>
      </c>
      <c r="L191">
        <v>1368</v>
      </c>
      <c r="N191">
        <v>1011</v>
      </c>
      <c r="O191" t="s">
        <v>321</v>
      </c>
      <c r="P191" t="s">
        <v>321</v>
      </c>
      <c r="Q191">
        <v>1</v>
      </c>
      <c r="W191">
        <v>0</v>
      </c>
      <c r="X191">
        <v>1372534845</v>
      </c>
      <c r="Y191">
        <v>0.13299999999999998</v>
      </c>
      <c r="AA191">
        <v>0</v>
      </c>
      <c r="AB191">
        <v>65.709999999999994</v>
      </c>
      <c r="AC191">
        <v>11.6</v>
      </c>
      <c r="AD191">
        <v>0</v>
      </c>
      <c r="AE191">
        <v>0</v>
      </c>
      <c r="AF191">
        <v>65.709999999999994</v>
      </c>
      <c r="AG191">
        <v>11.6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0.19</v>
      </c>
      <c r="AU191" t="s">
        <v>40</v>
      </c>
      <c r="AV191">
        <v>0</v>
      </c>
      <c r="AW191">
        <v>2</v>
      </c>
      <c r="AX191">
        <v>16856527</v>
      </c>
      <c r="AY191">
        <v>1</v>
      </c>
      <c r="AZ191">
        <v>0</v>
      </c>
      <c r="BA191">
        <v>193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Y191*Source!I78</f>
        <v>8.2459999999999992E-2</v>
      </c>
      <c r="CY191">
        <f>AB191</f>
        <v>65.709999999999994</v>
      </c>
      <c r="CZ191">
        <f>AF191</f>
        <v>65.709999999999994</v>
      </c>
      <c r="DA191">
        <f>AJ191</f>
        <v>1</v>
      </c>
      <c r="DB191">
        <f>ROUND((ROUND(AT191*CZ191,2)*0.7),6)</f>
        <v>8.7360000000000007</v>
      </c>
      <c r="DC191">
        <f>ROUND((ROUND(AT191*AG191,2)*0.7),6)</f>
        <v>1.54</v>
      </c>
    </row>
    <row r="192" spans="1:107" x14ac:dyDescent="0.2">
      <c r="A192">
        <f>ROW(Source!A78)</f>
        <v>78</v>
      </c>
      <c r="B192">
        <v>16856227</v>
      </c>
      <c r="C192">
        <v>16856504</v>
      </c>
      <c r="D192">
        <v>15249308</v>
      </c>
      <c r="E192">
        <v>1</v>
      </c>
      <c r="F192">
        <v>1</v>
      </c>
      <c r="G192">
        <v>1</v>
      </c>
      <c r="H192">
        <v>2</v>
      </c>
      <c r="I192" t="s">
        <v>333</v>
      </c>
      <c r="J192" t="s">
        <v>334</v>
      </c>
      <c r="K192" t="s">
        <v>335</v>
      </c>
      <c r="L192">
        <v>1368</v>
      </c>
      <c r="N192">
        <v>1011</v>
      </c>
      <c r="O192" t="s">
        <v>321</v>
      </c>
      <c r="P192" t="s">
        <v>321</v>
      </c>
      <c r="Q192">
        <v>1</v>
      </c>
      <c r="W192">
        <v>0</v>
      </c>
      <c r="X192">
        <v>792402865</v>
      </c>
      <c r="Y192">
        <v>1.302</v>
      </c>
      <c r="AA192">
        <v>0</v>
      </c>
      <c r="AB192">
        <v>1.2</v>
      </c>
      <c r="AC192">
        <v>0</v>
      </c>
      <c r="AD192">
        <v>0</v>
      </c>
      <c r="AE192">
        <v>0</v>
      </c>
      <c r="AF192">
        <v>1.2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6</v>
      </c>
      <c r="AT192">
        <v>1.86</v>
      </c>
      <c r="AU192" t="s">
        <v>40</v>
      </c>
      <c r="AV192">
        <v>0</v>
      </c>
      <c r="AW192">
        <v>2</v>
      </c>
      <c r="AX192">
        <v>16856528</v>
      </c>
      <c r="AY192">
        <v>1</v>
      </c>
      <c r="AZ192">
        <v>0</v>
      </c>
      <c r="BA192">
        <v>194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Y192*Source!I78</f>
        <v>0.80724000000000007</v>
      </c>
      <c r="CY192">
        <f>AB192</f>
        <v>1.2</v>
      </c>
      <c r="CZ192">
        <f>AF192</f>
        <v>1.2</v>
      </c>
      <c r="DA192">
        <f>AJ192</f>
        <v>1</v>
      </c>
      <c r="DB192">
        <f>ROUND((ROUND(AT192*CZ192,2)*0.7),6)</f>
        <v>1.5609999999999999</v>
      </c>
      <c r="DC192">
        <f>ROUND((ROUND(AT192*AG192,2)*0.7),6)</f>
        <v>0</v>
      </c>
    </row>
    <row r="193" spans="1:107" x14ac:dyDescent="0.2">
      <c r="A193">
        <f>ROW(Source!A78)</f>
        <v>78</v>
      </c>
      <c r="B193">
        <v>16856227</v>
      </c>
      <c r="C193">
        <v>16856504</v>
      </c>
      <c r="D193">
        <v>15249355</v>
      </c>
      <c r="E193">
        <v>1</v>
      </c>
      <c r="F193">
        <v>1</v>
      </c>
      <c r="G193">
        <v>1</v>
      </c>
      <c r="H193">
        <v>2</v>
      </c>
      <c r="I193" t="s">
        <v>336</v>
      </c>
      <c r="J193" t="s">
        <v>337</v>
      </c>
      <c r="K193" t="s">
        <v>338</v>
      </c>
      <c r="L193">
        <v>1368</v>
      </c>
      <c r="N193">
        <v>1011</v>
      </c>
      <c r="O193" t="s">
        <v>321</v>
      </c>
      <c r="P193" t="s">
        <v>321</v>
      </c>
      <c r="Q193">
        <v>1</v>
      </c>
      <c r="W193">
        <v>0</v>
      </c>
      <c r="X193">
        <v>1323835807</v>
      </c>
      <c r="Y193">
        <v>1.4209999999999998</v>
      </c>
      <c r="AA193">
        <v>0</v>
      </c>
      <c r="AB193">
        <v>12.31</v>
      </c>
      <c r="AC193">
        <v>0</v>
      </c>
      <c r="AD193">
        <v>0</v>
      </c>
      <c r="AE193">
        <v>0</v>
      </c>
      <c r="AF193">
        <v>12.31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2.0299999999999998</v>
      </c>
      <c r="AU193" t="s">
        <v>40</v>
      </c>
      <c r="AV193">
        <v>0</v>
      </c>
      <c r="AW193">
        <v>2</v>
      </c>
      <c r="AX193">
        <v>16856529</v>
      </c>
      <c r="AY193">
        <v>1</v>
      </c>
      <c r="AZ193">
        <v>0</v>
      </c>
      <c r="BA193">
        <v>195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Y193*Source!I78</f>
        <v>0.88101999999999991</v>
      </c>
      <c r="CY193">
        <f>AB193</f>
        <v>12.31</v>
      </c>
      <c r="CZ193">
        <f>AF193</f>
        <v>12.31</v>
      </c>
      <c r="DA193">
        <f>AJ193</f>
        <v>1</v>
      </c>
      <c r="DB193">
        <f>ROUND((ROUND(AT193*CZ193,2)*0.7),6)</f>
        <v>17.492999999999999</v>
      </c>
      <c r="DC193">
        <f>ROUND((ROUND(AT193*AG193,2)*0.7),6)</f>
        <v>0</v>
      </c>
    </row>
    <row r="194" spans="1:107" x14ac:dyDescent="0.2">
      <c r="A194">
        <f>ROW(Source!A78)</f>
        <v>78</v>
      </c>
      <c r="B194">
        <v>16856227</v>
      </c>
      <c r="C194">
        <v>16856504</v>
      </c>
      <c r="D194">
        <v>15165653</v>
      </c>
      <c r="E194">
        <v>1</v>
      </c>
      <c r="F194">
        <v>1</v>
      </c>
      <c r="G194">
        <v>1</v>
      </c>
      <c r="H194">
        <v>3</v>
      </c>
      <c r="I194" t="s">
        <v>339</v>
      </c>
      <c r="J194" t="s">
        <v>340</v>
      </c>
      <c r="K194" t="s">
        <v>341</v>
      </c>
      <c r="L194">
        <v>1339</v>
      </c>
      <c r="N194">
        <v>1007</v>
      </c>
      <c r="O194" t="s">
        <v>107</v>
      </c>
      <c r="P194" t="s">
        <v>107</v>
      </c>
      <c r="Q194">
        <v>1</v>
      </c>
      <c r="W194">
        <v>0</v>
      </c>
      <c r="X194">
        <v>1262771840</v>
      </c>
      <c r="Y194">
        <v>0</v>
      </c>
      <c r="AA194">
        <v>6.22</v>
      </c>
      <c r="AB194">
        <v>0</v>
      </c>
      <c r="AC194">
        <v>0</v>
      </c>
      <c r="AD194">
        <v>0</v>
      </c>
      <c r="AE194">
        <v>6.22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1.5</v>
      </c>
      <c r="AU194" t="s">
        <v>19</v>
      </c>
      <c r="AV194">
        <v>0</v>
      </c>
      <c r="AW194">
        <v>2</v>
      </c>
      <c r="AX194">
        <v>16856530</v>
      </c>
      <c r="AY194">
        <v>1</v>
      </c>
      <c r="AZ194">
        <v>0</v>
      </c>
      <c r="BA194">
        <v>196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Y194*Source!I78</f>
        <v>0</v>
      </c>
      <c r="CY194">
        <f t="shared" ref="CY194:CY204" si="54">AA194</f>
        <v>6.22</v>
      </c>
      <c r="CZ194">
        <f t="shared" ref="CZ194:CZ204" si="55">AE194</f>
        <v>6.22</v>
      </c>
      <c r="DA194">
        <f t="shared" ref="DA194:DA204" si="56">AI194</f>
        <v>1</v>
      </c>
      <c r="DB194">
        <f t="shared" ref="DB194:DB204" si="57">ROUND((ROUND(AT194*CZ194,2)*0),6)</f>
        <v>0</v>
      </c>
      <c r="DC194">
        <f t="shared" ref="DC194:DC204" si="58">ROUND((ROUND(AT194*AG194,2)*0),6)</f>
        <v>0</v>
      </c>
    </row>
    <row r="195" spans="1:107" x14ac:dyDescent="0.2">
      <c r="A195">
        <f>ROW(Source!A78)</f>
        <v>78</v>
      </c>
      <c r="B195">
        <v>16856227</v>
      </c>
      <c r="C195">
        <v>16856504</v>
      </c>
      <c r="D195">
        <v>15165660</v>
      </c>
      <c r="E195">
        <v>1</v>
      </c>
      <c r="F195">
        <v>1</v>
      </c>
      <c r="G195">
        <v>1</v>
      </c>
      <c r="H195">
        <v>3</v>
      </c>
      <c r="I195" t="s">
        <v>342</v>
      </c>
      <c r="J195" t="s">
        <v>343</v>
      </c>
      <c r="K195" t="s">
        <v>344</v>
      </c>
      <c r="L195">
        <v>1346</v>
      </c>
      <c r="N195">
        <v>1009</v>
      </c>
      <c r="O195" t="s">
        <v>129</v>
      </c>
      <c r="P195" t="s">
        <v>129</v>
      </c>
      <c r="Q195">
        <v>1</v>
      </c>
      <c r="W195">
        <v>0</v>
      </c>
      <c r="X195">
        <v>1721895514</v>
      </c>
      <c r="Y195">
        <v>0</v>
      </c>
      <c r="AA195">
        <v>6.09</v>
      </c>
      <c r="AB195">
        <v>0</v>
      </c>
      <c r="AC195">
        <v>0</v>
      </c>
      <c r="AD195">
        <v>0</v>
      </c>
      <c r="AE195">
        <v>6.09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0.45</v>
      </c>
      <c r="AU195" t="s">
        <v>19</v>
      </c>
      <c r="AV195">
        <v>0</v>
      </c>
      <c r="AW195">
        <v>2</v>
      </c>
      <c r="AX195">
        <v>16856531</v>
      </c>
      <c r="AY195">
        <v>1</v>
      </c>
      <c r="AZ195">
        <v>0</v>
      </c>
      <c r="BA195">
        <v>197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Y195*Source!I78</f>
        <v>0</v>
      </c>
      <c r="CY195">
        <f t="shared" si="54"/>
        <v>6.09</v>
      </c>
      <c r="CZ195">
        <f t="shared" si="55"/>
        <v>6.09</v>
      </c>
      <c r="DA195">
        <f t="shared" si="56"/>
        <v>1</v>
      </c>
      <c r="DB195">
        <f t="shared" si="57"/>
        <v>0</v>
      </c>
      <c r="DC195">
        <f t="shared" si="58"/>
        <v>0</v>
      </c>
    </row>
    <row r="196" spans="1:107" x14ac:dyDescent="0.2">
      <c r="A196">
        <f>ROW(Source!A78)</f>
        <v>78</v>
      </c>
      <c r="B196">
        <v>16856227</v>
      </c>
      <c r="C196">
        <v>16856504</v>
      </c>
      <c r="D196">
        <v>15168753</v>
      </c>
      <c r="E196">
        <v>1</v>
      </c>
      <c r="F196">
        <v>1</v>
      </c>
      <c r="G196">
        <v>1</v>
      </c>
      <c r="H196">
        <v>3</v>
      </c>
      <c r="I196" t="s">
        <v>345</v>
      </c>
      <c r="J196" t="s">
        <v>346</v>
      </c>
      <c r="K196" t="s">
        <v>347</v>
      </c>
      <c r="L196">
        <v>1348</v>
      </c>
      <c r="N196">
        <v>1009</v>
      </c>
      <c r="O196" t="s">
        <v>37</v>
      </c>
      <c r="P196" t="s">
        <v>37</v>
      </c>
      <c r="Q196">
        <v>1000</v>
      </c>
      <c r="W196">
        <v>0</v>
      </c>
      <c r="X196">
        <v>1225357214</v>
      </c>
      <c r="Y196">
        <v>0</v>
      </c>
      <c r="AA196">
        <v>10749</v>
      </c>
      <c r="AB196">
        <v>0</v>
      </c>
      <c r="AC196">
        <v>0</v>
      </c>
      <c r="AD196">
        <v>0</v>
      </c>
      <c r="AE196">
        <v>10749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1.4E-3</v>
      </c>
      <c r="AU196" t="s">
        <v>19</v>
      </c>
      <c r="AV196">
        <v>0</v>
      </c>
      <c r="AW196">
        <v>2</v>
      </c>
      <c r="AX196">
        <v>16856532</v>
      </c>
      <c r="AY196">
        <v>1</v>
      </c>
      <c r="AZ196">
        <v>0</v>
      </c>
      <c r="BA196">
        <v>198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Y196*Source!I78</f>
        <v>0</v>
      </c>
      <c r="CY196">
        <f t="shared" si="54"/>
        <v>10749</v>
      </c>
      <c r="CZ196">
        <f t="shared" si="55"/>
        <v>10749</v>
      </c>
      <c r="DA196">
        <f t="shared" si="56"/>
        <v>1</v>
      </c>
      <c r="DB196">
        <f t="shared" si="57"/>
        <v>0</v>
      </c>
      <c r="DC196">
        <f t="shared" si="58"/>
        <v>0</v>
      </c>
    </row>
    <row r="197" spans="1:107" x14ac:dyDescent="0.2">
      <c r="A197">
        <f>ROW(Source!A78)</f>
        <v>78</v>
      </c>
      <c r="B197">
        <v>16856227</v>
      </c>
      <c r="C197">
        <v>16856504</v>
      </c>
      <c r="D197">
        <v>15169941</v>
      </c>
      <c r="E197">
        <v>1</v>
      </c>
      <c r="F197">
        <v>1</v>
      </c>
      <c r="G197">
        <v>1</v>
      </c>
      <c r="H197">
        <v>3</v>
      </c>
      <c r="I197" t="s">
        <v>348</v>
      </c>
      <c r="J197" t="s">
        <v>349</v>
      </c>
      <c r="K197" t="s">
        <v>350</v>
      </c>
      <c r="L197">
        <v>1348</v>
      </c>
      <c r="N197">
        <v>1009</v>
      </c>
      <c r="O197" t="s">
        <v>37</v>
      </c>
      <c r="P197" t="s">
        <v>37</v>
      </c>
      <c r="Q197">
        <v>1000</v>
      </c>
      <c r="W197">
        <v>0</v>
      </c>
      <c r="X197">
        <v>-437906794</v>
      </c>
      <c r="Y197">
        <v>0</v>
      </c>
      <c r="AA197">
        <v>9040.01</v>
      </c>
      <c r="AB197">
        <v>0</v>
      </c>
      <c r="AC197">
        <v>0</v>
      </c>
      <c r="AD197">
        <v>0</v>
      </c>
      <c r="AE197">
        <v>9040.01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3.3E-3</v>
      </c>
      <c r="AU197" t="s">
        <v>19</v>
      </c>
      <c r="AV197">
        <v>0</v>
      </c>
      <c r="AW197">
        <v>2</v>
      </c>
      <c r="AX197">
        <v>16856533</v>
      </c>
      <c r="AY197">
        <v>1</v>
      </c>
      <c r="AZ197">
        <v>0</v>
      </c>
      <c r="BA197">
        <v>199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Y197*Source!I78</f>
        <v>0</v>
      </c>
      <c r="CY197">
        <f t="shared" si="54"/>
        <v>9040.01</v>
      </c>
      <c r="CZ197">
        <f t="shared" si="55"/>
        <v>9040.01</v>
      </c>
      <c r="DA197">
        <f t="shared" si="56"/>
        <v>1</v>
      </c>
      <c r="DB197">
        <f t="shared" si="57"/>
        <v>0</v>
      </c>
      <c r="DC197">
        <f t="shared" si="58"/>
        <v>0</v>
      </c>
    </row>
    <row r="198" spans="1:107" x14ac:dyDescent="0.2">
      <c r="A198">
        <f>ROW(Source!A78)</f>
        <v>78</v>
      </c>
      <c r="B198">
        <v>16856227</v>
      </c>
      <c r="C198">
        <v>16856504</v>
      </c>
      <c r="D198">
        <v>15170039</v>
      </c>
      <c r="E198">
        <v>1</v>
      </c>
      <c r="F198">
        <v>1</v>
      </c>
      <c r="G198">
        <v>1</v>
      </c>
      <c r="H198">
        <v>3</v>
      </c>
      <c r="I198" t="s">
        <v>351</v>
      </c>
      <c r="J198" t="s">
        <v>352</v>
      </c>
      <c r="K198" t="s">
        <v>353</v>
      </c>
      <c r="L198">
        <v>1348</v>
      </c>
      <c r="N198">
        <v>1009</v>
      </c>
      <c r="O198" t="s">
        <v>37</v>
      </c>
      <c r="P198" t="s">
        <v>37</v>
      </c>
      <c r="Q198">
        <v>1000</v>
      </c>
      <c r="W198">
        <v>0</v>
      </c>
      <c r="X198">
        <v>1174701286</v>
      </c>
      <c r="Y198">
        <v>0</v>
      </c>
      <c r="AA198">
        <v>11978</v>
      </c>
      <c r="AB198">
        <v>0</v>
      </c>
      <c r="AC198">
        <v>0</v>
      </c>
      <c r="AD198">
        <v>0</v>
      </c>
      <c r="AE198">
        <v>11978</v>
      </c>
      <c r="AF198">
        <v>0</v>
      </c>
      <c r="AG198">
        <v>0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</v>
      </c>
      <c r="AT198">
        <v>1.0000000000000001E-5</v>
      </c>
      <c r="AU198" t="s">
        <v>19</v>
      </c>
      <c r="AV198">
        <v>0</v>
      </c>
      <c r="AW198">
        <v>2</v>
      </c>
      <c r="AX198">
        <v>16856534</v>
      </c>
      <c r="AY198">
        <v>1</v>
      </c>
      <c r="AZ198">
        <v>0</v>
      </c>
      <c r="BA198">
        <v>200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Y198*Source!I78</f>
        <v>0</v>
      </c>
      <c r="CY198">
        <f t="shared" si="54"/>
        <v>11978</v>
      </c>
      <c r="CZ198">
        <f t="shared" si="55"/>
        <v>11978</v>
      </c>
      <c r="DA198">
        <f t="shared" si="56"/>
        <v>1</v>
      </c>
      <c r="DB198">
        <f t="shared" si="57"/>
        <v>0</v>
      </c>
      <c r="DC198">
        <f t="shared" si="58"/>
        <v>0</v>
      </c>
    </row>
    <row r="199" spans="1:107" x14ac:dyDescent="0.2">
      <c r="A199">
        <f>ROW(Source!A78)</f>
        <v>78</v>
      </c>
      <c r="B199">
        <v>16856227</v>
      </c>
      <c r="C199">
        <v>16856504</v>
      </c>
      <c r="D199">
        <v>15171021</v>
      </c>
      <c r="E199">
        <v>1</v>
      </c>
      <c r="F199">
        <v>1</v>
      </c>
      <c r="G199">
        <v>1</v>
      </c>
      <c r="H199">
        <v>3</v>
      </c>
      <c r="I199" t="s">
        <v>354</v>
      </c>
      <c r="J199" t="s">
        <v>355</v>
      </c>
      <c r="K199" t="s">
        <v>356</v>
      </c>
      <c r="L199">
        <v>1348</v>
      </c>
      <c r="N199">
        <v>1009</v>
      </c>
      <c r="O199" t="s">
        <v>37</v>
      </c>
      <c r="P199" t="s">
        <v>37</v>
      </c>
      <c r="Q199">
        <v>1000</v>
      </c>
      <c r="W199">
        <v>0</v>
      </c>
      <c r="X199">
        <v>-2116243625</v>
      </c>
      <c r="Y199">
        <v>0</v>
      </c>
      <c r="AA199">
        <v>37900</v>
      </c>
      <c r="AB199">
        <v>0</v>
      </c>
      <c r="AC199">
        <v>0</v>
      </c>
      <c r="AD199">
        <v>0</v>
      </c>
      <c r="AE199">
        <v>37900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1E-4</v>
      </c>
      <c r="AU199" t="s">
        <v>19</v>
      </c>
      <c r="AV199">
        <v>0</v>
      </c>
      <c r="AW199">
        <v>2</v>
      </c>
      <c r="AX199">
        <v>16856535</v>
      </c>
      <c r="AY199">
        <v>1</v>
      </c>
      <c r="AZ199">
        <v>0</v>
      </c>
      <c r="BA199">
        <v>201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Y199*Source!I78</f>
        <v>0</v>
      </c>
      <c r="CY199">
        <f t="shared" si="54"/>
        <v>37900</v>
      </c>
      <c r="CZ199">
        <f t="shared" si="55"/>
        <v>37900</v>
      </c>
      <c r="DA199">
        <f t="shared" si="56"/>
        <v>1</v>
      </c>
      <c r="DB199">
        <f t="shared" si="57"/>
        <v>0</v>
      </c>
      <c r="DC199">
        <f t="shared" si="58"/>
        <v>0</v>
      </c>
    </row>
    <row r="200" spans="1:107" x14ac:dyDescent="0.2">
      <c r="A200">
        <f>ROW(Source!A78)</f>
        <v>78</v>
      </c>
      <c r="B200">
        <v>16856227</v>
      </c>
      <c r="C200">
        <v>16856504</v>
      </c>
      <c r="D200">
        <v>15190794</v>
      </c>
      <c r="E200">
        <v>1</v>
      </c>
      <c r="F200">
        <v>1</v>
      </c>
      <c r="G200">
        <v>1</v>
      </c>
      <c r="H200">
        <v>3</v>
      </c>
      <c r="I200" t="s">
        <v>357</v>
      </c>
      <c r="J200" t="s">
        <v>358</v>
      </c>
      <c r="K200" t="s">
        <v>359</v>
      </c>
      <c r="L200">
        <v>1302</v>
      </c>
      <c r="N200">
        <v>1003</v>
      </c>
      <c r="O200" t="s">
        <v>152</v>
      </c>
      <c r="P200" t="s">
        <v>152</v>
      </c>
      <c r="Q200">
        <v>10</v>
      </c>
      <c r="W200">
        <v>0</v>
      </c>
      <c r="X200">
        <v>-1640127157</v>
      </c>
      <c r="Y200">
        <v>0</v>
      </c>
      <c r="AA200">
        <v>50.24</v>
      </c>
      <c r="AB200">
        <v>0</v>
      </c>
      <c r="AC200">
        <v>0</v>
      </c>
      <c r="AD200">
        <v>0</v>
      </c>
      <c r="AE200">
        <v>50.24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1.8700000000000001E-2</v>
      </c>
      <c r="AU200" t="s">
        <v>19</v>
      </c>
      <c r="AV200">
        <v>0</v>
      </c>
      <c r="AW200">
        <v>2</v>
      </c>
      <c r="AX200">
        <v>16856537</v>
      </c>
      <c r="AY200">
        <v>1</v>
      </c>
      <c r="AZ200">
        <v>0</v>
      </c>
      <c r="BA200">
        <v>203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Y200*Source!I78</f>
        <v>0</v>
      </c>
      <c r="CY200">
        <f t="shared" si="54"/>
        <v>50.24</v>
      </c>
      <c r="CZ200">
        <f t="shared" si="55"/>
        <v>50.24</v>
      </c>
      <c r="DA200">
        <f t="shared" si="56"/>
        <v>1</v>
      </c>
      <c r="DB200">
        <f t="shared" si="57"/>
        <v>0</v>
      </c>
      <c r="DC200">
        <f t="shared" si="58"/>
        <v>0</v>
      </c>
    </row>
    <row r="201" spans="1:107" x14ac:dyDescent="0.2">
      <c r="A201">
        <f>ROW(Source!A78)</f>
        <v>78</v>
      </c>
      <c r="B201">
        <v>16856227</v>
      </c>
      <c r="C201">
        <v>16856504</v>
      </c>
      <c r="D201">
        <v>15191153</v>
      </c>
      <c r="E201">
        <v>1</v>
      </c>
      <c r="F201">
        <v>1</v>
      </c>
      <c r="G201">
        <v>1</v>
      </c>
      <c r="H201">
        <v>3</v>
      </c>
      <c r="I201" t="s">
        <v>360</v>
      </c>
      <c r="J201" t="s">
        <v>361</v>
      </c>
      <c r="K201" t="s">
        <v>362</v>
      </c>
      <c r="L201">
        <v>1348</v>
      </c>
      <c r="N201">
        <v>1009</v>
      </c>
      <c r="O201" t="s">
        <v>37</v>
      </c>
      <c r="P201" t="s">
        <v>37</v>
      </c>
      <c r="Q201">
        <v>1000</v>
      </c>
      <c r="W201">
        <v>0</v>
      </c>
      <c r="X201">
        <v>-1396314973</v>
      </c>
      <c r="Y201">
        <v>0</v>
      </c>
      <c r="AA201">
        <v>4455.2</v>
      </c>
      <c r="AB201">
        <v>0</v>
      </c>
      <c r="AC201">
        <v>0</v>
      </c>
      <c r="AD201">
        <v>0</v>
      </c>
      <c r="AE201">
        <v>4455.2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3.0000000000000001E-5</v>
      </c>
      <c r="AU201" t="s">
        <v>19</v>
      </c>
      <c r="AV201">
        <v>0</v>
      </c>
      <c r="AW201">
        <v>2</v>
      </c>
      <c r="AX201">
        <v>16856538</v>
      </c>
      <c r="AY201">
        <v>1</v>
      </c>
      <c r="AZ201">
        <v>0</v>
      </c>
      <c r="BA201">
        <v>204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Y201*Source!I78</f>
        <v>0</v>
      </c>
      <c r="CY201">
        <f t="shared" si="54"/>
        <v>4455.2</v>
      </c>
      <c r="CZ201">
        <f t="shared" si="55"/>
        <v>4455.2</v>
      </c>
      <c r="DA201">
        <f t="shared" si="56"/>
        <v>1</v>
      </c>
      <c r="DB201">
        <f t="shared" si="57"/>
        <v>0</v>
      </c>
      <c r="DC201">
        <f t="shared" si="58"/>
        <v>0</v>
      </c>
    </row>
    <row r="202" spans="1:107" x14ac:dyDescent="0.2">
      <c r="A202">
        <f>ROW(Source!A78)</f>
        <v>78</v>
      </c>
      <c r="B202">
        <v>16856227</v>
      </c>
      <c r="C202">
        <v>16856504</v>
      </c>
      <c r="D202">
        <v>15191913</v>
      </c>
      <c r="E202">
        <v>1</v>
      </c>
      <c r="F202">
        <v>1</v>
      </c>
      <c r="G202">
        <v>1</v>
      </c>
      <c r="H202">
        <v>3</v>
      </c>
      <c r="I202" t="s">
        <v>363</v>
      </c>
      <c r="J202" t="s">
        <v>364</v>
      </c>
      <c r="K202" t="s">
        <v>365</v>
      </c>
      <c r="L202">
        <v>1348</v>
      </c>
      <c r="N202">
        <v>1009</v>
      </c>
      <c r="O202" t="s">
        <v>37</v>
      </c>
      <c r="P202" t="s">
        <v>37</v>
      </c>
      <c r="Q202">
        <v>1000</v>
      </c>
      <c r="W202">
        <v>0</v>
      </c>
      <c r="X202">
        <v>900832145</v>
      </c>
      <c r="Y202">
        <v>0</v>
      </c>
      <c r="AA202">
        <v>4920</v>
      </c>
      <c r="AB202">
        <v>0</v>
      </c>
      <c r="AC202">
        <v>0</v>
      </c>
      <c r="AD202">
        <v>0</v>
      </c>
      <c r="AE202">
        <v>4920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6</v>
      </c>
      <c r="AT202">
        <v>1.9400000000000001E-3</v>
      </c>
      <c r="AU202" t="s">
        <v>19</v>
      </c>
      <c r="AV202">
        <v>0</v>
      </c>
      <c r="AW202">
        <v>2</v>
      </c>
      <c r="AX202">
        <v>16856539</v>
      </c>
      <c r="AY202">
        <v>1</v>
      </c>
      <c r="AZ202">
        <v>0</v>
      </c>
      <c r="BA202">
        <v>205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Y202*Source!I78</f>
        <v>0</v>
      </c>
      <c r="CY202">
        <f t="shared" si="54"/>
        <v>4920</v>
      </c>
      <c r="CZ202">
        <f t="shared" si="55"/>
        <v>4920</v>
      </c>
      <c r="DA202">
        <f t="shared" si="56"/>
        <v>1</v>
      </c>
      <c r="DB202">
        <f t="shared" si="57"/>
        <v>0</v>
      </c>
      <c r="DC202">
        <f t="shared" si="58"/>
        <v>0</v>
      </c>
    </row>
    <row r="203" spans="1:107" x14ac:dyDescent="0.2">
      <c r="A203">
        <f>ROW(Source!A78)</f>
        <v>78</v>
      </c>
      <c r="B203">
        <v>16856227</v>
      </c>
      <c r="C203">
        <v>16856504</v>
      </c>
      <c r="D203">
        <v>15203461</v>
      </c>
      <c r="E203">
        <v>1</v>
      </c>
      <c r="F203">
        <v>1</v>
      </c>
      <c r="G203">
        <v>1</v>
      </c>
      <c r="H203">
        <v>3</v>
      </c>
      <c r="I203" t="s">
        <v>366</v>
      </c>
      <c r="J203" t="s">
        <v>367</v>
      </c>
      <c r="K203" t="s">
        <v>368</v>
      </c>
      <c r="L203">
        <v>1348</v>
      </c>
      <c r="N203">
        <v>1009</v>
      </c>
      <c r="O203" t="s">
        <v>37</v>
      </c>
      <c r="P203" t="s">
        <v>37</v>
      </c>
      <c r="Q203">
        <v>1000</v>
      </c>
      <c r="W203">
        <v>0</v>
      </c>
      <c r="X203">
        <v>-1655298345</v>
      </c>
      <c r="Y203">
        <v>0</v>
      </c>
      <c r="AA203">
        <v>15620</v>
      </c>
      <c r="AB203">
        <v>0</v>
      </c>
      <c r="AC203">
        <v>0</v>
      </c>
      <c r="AD203">
        <v>0</v>
      </c>
      <c r="AE203">
        <v>15620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6</v>
      </c>
      <c r="AT203">
        <v>3.1E-4</v>
      </c>
      <c r="AU203" t="s">
        <v>19</v>
      </c>
      <c r="AV203">
        <v>0</v>
      </c>
      <c r="AW203">
        <v>2</v>
      </c>
      <c r="AX203">
        <v>16856540</v>
      </c>
      <c r="AY203">
        <v>1</v>
      </c>
      <c r="AZ203">
        <v>0</v>
      </c>
      <c r="BA203">
        <v>206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Y203*Source!I78</f>
        <v>0</v>
      </c>
      <c r="CY203">
        <f t="shared" si="54"/>
        <v>15620</v>
      </c>
      <c r="CZ203">
        <f t="shared" si="55"/>
        <v>15620</v>
      </c>
      <c r="DA203">
        <f t="shared" si="56"/>
        <v>1</v>
      </c>
      <c r="DB203">
        <f t="shared" si="57"/>
        <v>0</v>
      </c>
      <c r="DC203">
        <f t="shared" si="58"/>
        <v>0</v>
      </c>
    </row>
    <row r="204" spans="1:107" x14ac:dyDescent="0.2">
      <c r="A204">
        <f>ROW(Source!A78)</f>
        <v>78</v>
      </c>
      <c r="B204">
        <v>16856227</v>
      </c>
      <c r="C204">
        <v>16856504</v>
      </c>
      <c r="D204">
        <v>15204663</v>
      </c>
      <c r="E204">
        <v>1</v>
      </c>
      <c r="F204">
        <v>1</v>
      </c>
      <c r="G204">
        <v>1</v>
      </c>
      <c r="H204">
        <v>3</v>
      </c>
      <c r="I204" t="s">
        <v>369</v>
      </c>
      <c r="J204" t="s">
        <v>370</v>
      </c>
      <c r="K204" t="s">
        <v>371</v>
      </c>
      <c r="L204">
        <v>1348</v>
      </c>
      <c r="N204">
        <v>1009</v>
      </c>
      <c r="O204" t="s">
        <v>37</v>
      </c>
      <c r="P204" t="s">
        <v>37</v>
      </c>
      <c r="Q204">
        <v>1000</v>
      </c>
      <c r="W204">
        <v>0</v>
      </c>
      <c r="X204">
        <v>-639604785</v>
      </c>
      <c r="Y204">
        <v>0</v>
      </c>
      <c r="AA204">
        <v>9420</v>
      </c>
      <c r="AB204">
        <v>0</v>
      </c>
      <c r="AC204">
        <v>0</v>
      </c>
      <c r="AD204">
        <v>0</v>
      </c>
      <c r="AE204">
        <v>9420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6</v>
      </c>
      <c r="AT204">
        <v>5.9999999999999995E-4</v>
      </c>
      <c r="AU204" t="s">
        <v>19</v>
      </c>
      <c r="AV204">
        <v>0</v>
      </c>
      <c r="AW204">
        <v>2</v>
      </c>
      <c r="AX204">
        <v>16856541</v>
      </c>
      <c r="AY204">
        <v>1</v>
      </c>
      <c r="AZ204">
        <v>0</v>
      </c>
      <c r="BA204">
        <v>207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Y204*Source!I78</f>
        <v>0</v>
      </c>
      <c r="CY204">
        <f t="shared" si="54"/>
        <v>9420</v>
      </c>
      <c r="CZ204">
        <f t="shared" si="55"/>
        <v>9420</v>
      </c>
      <c r="DA204">
        <f t="shared" si="56"/>
        <v>1</v>
      </c>
      <c r="DB204">
        <f t="shared" si="57"/>
        <v>0</v>
      </c>
      <c r="DC204">
        <f t="shared" si="58"/>
        <v>0</v>
      </c>
    </row>
    <row r="205" spans="1:107" x14ac:dyDescent="0.2">
      <c r="A205">
        <f>ROW(Source!A79)</f>
        <v>79</v>
      </c>
      <c r="B205">
        <v>16856228</v>
      </c>
      <c r="C205">
        <v>16856504</v>
      </c>
      <c r="D205">
        <v>15430767</v>
      </c>
      <c r="E205">
        <v>1</v>
      </c>
      <c r="F205">
        <v>1</v>
      </c>
      <c r="G205">
        <v>1</v>
      </c>
      <c r="H205">
        <v>1</v>
      </c>
      <c r="I205" t="s">
        <v>399</v>
      </c>
      <c r="J205" t="s">
        <v>6</v>
      </c>
      <c r="K205" t="s">
        <v>400</v>
      </c>
      <c r="L205">
        <v>1191</v>
      </c>
      <c r="N205">
        <v>1013</v>
      </c>
      <c r="O205" t="s">
        <v>313</v>
      </c>
      <c r="P205" t="s">
        <v>313</v>
      </c>
      <c r="Q205">
        <v>1</v>
      </c>
      <c r="W205">
        <v>0</v>
      </c>
      <c r="X205">
        <v>-400197608</v>
      </c>
      <c r="Y205">
        <v>35.552999999999997</v>
      </c>
      <c r="AA205">
        <v>0</v>
      </c>
      <c r="AB205">
        <v>0</v>
      </c>
      <c r="AC205">
        <v>0</v>
      </c>
      <c r="AD205">
        <v>57.75</v>
      </c>
      <c r="AE205">
        <v>0</v>
      </c>
      <c r="AF205">
        <v>0</v>
      </c>
      <c r="AG205">
        <v>0</v>
      </c>
      <c r="AH205">
        <v>8.5299999999999994</v>
      </c>
      <c r="AI205">
        <v>1</v>
      </c>
      <c r="AJ205">
        <v>1</v>
      </c>
      <c r="AK205">
        <v>1</v>
      </c>
      <c r="AL205">
        <v>6.77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50.79</v>
      </c>
      <c r="AU205" t="s">
        <v>40</v>
      </c>
      <c r="AV205">
        <v>1</v>
      </c>
      <c r="AW205">
        <v>2</v>
      </c>
      <c r="AX205">
        <v>16856523</v>
      </c>
      <c r="AY205">
        <v>1</v>
      </c>
      <c r="AZ205">
        <v>0</v>
      </c>
      <c r="BA205">
        <v>208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Y205*Source!I79</f>
        <v>22.042859999999997</v>
      </c>
      <c r="CY205">
        <f>AD205</f>
        <v>57.75</v>
      </c>
      <c r="CZ205">
        <f>AH205</f>
        <v>8.5299999999999994</v>
      </c>
      <c r="DA205">
        <f>AL205</f>
        <v>6.77</v>
      </c>
      <c r="DB205">
        <f>ROUND((ROUND(AT205*CZ205,2)*0.7),6)</f>
        <v>303.26799999999997</v>
      </c>
      <c r="DC205">
        <f>ROUND((ROUND(AT205*AG205,2)*0.7),6)</f>
        <v>0</v>
      </c>
    </row>
    <row r="206" spans="1:107" x14ac:dyDescent="0.2">
      <c r="A206">
        <f>ROW(Source!A79)</f>
        <v>79</v>
      </c>
      <c r="B206">
        <v>16856228</v>
      </c>
      <c r="C206">
        <v>16856504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316</v>
      </c>
      <c r="J206" t="s">
        <v>6</v>
      </c>
      <c r="K206" t="s">
        <v>317</v>
      </c>
      <c r="L206">
        <v>1191</v>
      </c>
      <c r="N206">
        <v>1013</v>
      </c>
      <c r="O206" t="s">
        <v>313</v>
      </c>
      <c r="P206" t="s">
        <v>313</v>
      </c>
      <c r="Q206">
        <v>1</v>
      </c>
      <c r="W206">
        <v>0</v>
      </c>
      <c r="X206">
        <v>-1417349443</v>
      </c>
      <c r="Y206">
        <v>0.31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6.77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0.31</v>
      </c>
      <c r="AU206" t="s">
        <v>6</v>
      </c>
      <c r="AV206">
        <v>2</v>
      </c>
      <c r="AW206">
        <v>2</v>
      </c>
      <c r="AX206">
        <v>16856524</v>
      </c>
      <c r="AY206">
        <v>1</v>
      </c>
      <c r="AZ206">
        <v>2048</v>
      </c>
      <c r="BA206">
        <v>209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Y206*Source!I79</f>
        <v>0.19220000000000001</v>
      </c>
      <c r="CY206">
        <f>AD206</f>
        <v>0</v>
      </c>
      <c r="CZ206">
        <f>AH206</f>
        <v>0</v>
      </c>
      <c r="DA206">
        <f>AL206</f>
        <v>1</v>
      </c>
      <c r="DB206">
        <f>ROUND(ROUND(AT206*CZ206,2),6)</f>
        <v>0</v>
      </c>
      <c r="DC206">
        <f>ROUND(ROUND(AT206*AG206,2),6)</f>
        <v>0</v>
      </c>
    </row>
    <row r="207" spans="1:107" x14ac:dyDescent="0.2">
      <c r="A207">
        <f>ROW(Source!A79)</f>
        <v>79</v>
      </c>
      <c r="B207">
        <v>16856228</v>
      </c>
      <c r="C207">
        <v>16856504</v>
      </c>
      <c r="D207">
        <v>15247680</v>
      </c>
      <c r="E207">
        <v>1</v>
      </c>
      <c r="F207">
        <v>1</v>
      </c>
      <c r="G207">
        <v>1</v>
      </c>
      <c r="H207">
        <v>2</v>
      </c>
      <c r="I207" t="s">
        <v>324</v>
      </c>
      <c r="J207" t="s">
        <v>325</v>
      </c>
      <c r="K207" t="s">
        <v>326</v>
      </c>
      <c r="L207">
        <v>1368</v>
      </c>
      <c r="N207">
        <v>1011</v>
      </c>
      <c r="O207" t="s">
        <v>321</v>
      </c>
      <c r="P207" t="s">
        <v>321</v>
      </c>
      <c r="Q207">
        <v>1</v>
      </c>
      <c r="W207">
        <v>0</v>
      </c>
      <c r="X207">
        <v>-1718674368</v>
      </c>
      <c r="Y207">
        <v>8.3999999999999991E-2</v>
      </c>
      <c r="AA207">
        <v>0</v>
      </c>
      <c r="AB207">
        <v>758.17</v>
      </c>
      <c r="AC207">
        <v>13.5</v>
      </c>
      <c r="AD207">
        <v>0</v>
      </c>
      <c r="AE207">
        <v>0</v>
      </c>
      <c r="AF207">
        <v>111.99</v>
      </c>
      <c r="AG207">
        <v>13.5</v>
      </c>
      <c r="AH207">
        <v>0</v>
      </c>
      <c r="AI207">
        <v>1</v>
      </c>
      <c r="AJ207">
        <v>6.77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0.12</v>
      </c>
      <c r="AU207" t="s">
        <v>40</v>
      </c>
      <c r="AV207">
        <v>0</v>
      </c>
      <c r="AW207">
        <v>2</v>
      </c>
      <c r="AX207">
        <v>16856525</v>
      </c>
      <c r="AY207">
        <v>1</v>
      </c>
      <c r="AZ207">
        <v>0</v>
      </c>
      <c r="BA207">
        <v>210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Y207*Source!I79</f>
        <v>5.2079999999999994E-2</v>
      </c>
      <c r="CY207">
        <f>AB207</f>
        <v>758.17</v>
      </c>
      <c r="CZ207">
        <f>AF207</f>
        <v>111.99</v>
      </c>
      <c r="DA207">
        <f>AJ207</f>
        <v>6.77</v>
      </c>
      <c r="DB207">
        <f>ROUND((ROUND(AT207*CZ207,2)*0.7),6)</f>
        <v>9.4079999999999995</v>
      </c>
      <c r="DC207">
        <f>ROUND((ROUND(AT207*AG207,2)*0.7),6)</f>
        <v>1.1339999999999999</v>
      </c>
    </row>
    <row r="208" spans="1:107" x14ac:dyDescent="0.2">
      <c r="A208">
        <f>ROW(Source!A79)</f>
        <v>79</v>
      </c>
      <c r="B208">
        <v>16856228</v>
      </c>
      <c r="C208">
        <v>16856504</v>
      </c>
      <c r="D208">
        <v>15247880</v>
      </c>
      <c r="E208">
        <v>1</v>
      </c>
      <c r="F208">
        <v>1</v>
      </c>
      <c r="G208">
        <v>1</v>
      </c>
      <c r="H208">
        <v>2</v>
      </c>
      <c r="I208" t="s">
        <v>424</v>
      </c>
      <c r="J208" t="s">
        <v>425</v>
      </c>
      <c r="K208" t="s">
        <v>426</v>
      </c>
      <c r="L208">
        <v>1368</v>
      </c>
      <c r="N208">
        <v>1011</v>
      </c>
      <c r="O208" t="s">
        <v>321</v>
      </c>
      <c r="P208" t="s">
        <v>321</v>
      </c>
      <c r="Q208">
        <v>1</v>
      </c>
      <c r="W208">
        <v>0</v>
      </c>
      <c r="X208">
        <v>1544661785</v>
      </c>
      <c r="Y208">
        <v>7.3709999999999987</v>
      </c>
      <c r="AA208">
        <v>0</v>
      </c>
      <c r="AB208">
        <v>46.71</v>
      </c>
      <c r="AC208">
        <v>0</v>
      </c>
      <c r="AD208">
        <v>0</v>
      </c>
      <c r="AE208">
        <v>0</v>
      </c>
      <c r="AF208">
        <v>6.9</v>
      </c>
      <c r="AG208">
        <v>0</v>
      </c>
      <c r="AH208">
        <v>0</v>
      </c>
      <c r="AI208">
        <v>1</v>
      </c>
      <c r="AJ208">
        <v>6.77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6</v>
      </c>
      <c r="AT208">
        <v>10.53</v>
      </c>
      <c r="AU208" t="s">
        <v>40</v>
      </c>
      <c r="AV208">
        <v>0</v>
      </c>
      <c r="AW208">
        <v>2</v>
      </c>
      <c r="AX208">
        <v>16856526</v>
      </c>
      <c r="AY208">
        <v>1</v>
      </c>
      <c r="AZ208">
        <v>0</v>
      </c>
      <c r="BA208">
        <v>211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Y208*Source!I79</f>
        <v>4.5700199999999995</v>
      </c>
      <c r="CY208">
        <f>AB208</f>
        <v>46.71</v>
      </c>
      <c r="CZ208">
        <f>AF208</f>
        <v>6.9</v>
      </c>
      <c r="DA208">
        <f>AJ208</f>
        <v>6.77</v>
      </c>
      <c r="DB208">
        <f>ROUND((ROUND(AT208*CZ208,2)*0.7),6)</f>
        <v>50.862000000000002</v>
      </c>
      <c r="DC208">
        <f>ROUND((ROUND(AT208*AG208,2)*0.7),6)</f>
        <v>0</v>
      </c>
    </row>
    <row r="209" spans="1:107" x14ac:dyDescent="0.2">
      <c r="A209">
        <f>ROW(Source!A79)</f>
        <v>79</v>
      </c>
      <c r="B209">
        <v>16856228</v>
      </c>
      <c r="C209">
        <v>16856504</v>
      </c>
      <c r="D209">
        <v>15249073</v>
      </c>
      <c r="E209">
        <v>1</v>
      </c>
      <c r="F209">
        <v>1</v>
      </c>
      <c r="G209">
        <v>1</v>
      </c>
      <c r="H209">
        <v>2</v>
      </c>
      <c r="I209" t="s">
        <v>330</v>
      </c>
      <c r="J209" t="s">
        <v>331</v>
      </c>
      <c r="K209" t="s">
        <v>332</v>
      </c>
      <c r="L209">
        <v>1368</v>
      </c>
      <c r="N209">
        <v>1011</v>
      </c>
      <c r="O209" t="s">
        <v>321</v>
      </c>
      <c r="P209" t="s">
        <v>321</v>
      </c>
      <c r="Q209">
        <v>1</v>
      </c>
      <c r="W209">
        <v>0</v>
      </c>
      <c r="X209">
        <v>1372534845</v>
      </c>
      <c r="Y209">
        <v>0.13299999999999998</v>
      </c>
      <c r="AA209">
        <v>0</v>
      </c>
      <c r="AB209">
        <v>444.86</v>
      </c>
      <c r="AC209">
        <v>11.6</v>
      </c>
      <c r="AD209">
        <v>0</v>
      </c>
      <c r="AE209">
        <v>0</v>
      </c>
      <c r="AF209">
        <v>65.709999999999994</v>
      </c>
      <c r="AG209">
        <v>11.6</v>
      </c>
      <c r="AH209">
        <v>0</v>
      </c>
      <c r="AI209">
        <v>1</v>
      </c>
      <c r="AJ209">
        <v>6.77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6</v>
      </c>
      <c r="AT209">
        <v>0.19</v>
      </c>
      <c r="AU209" t="s">
        <v>40</v>
      </c>
      <c r="AV209">
        <v>0</v>
      </c>
      <c r="AW209">
        <v>2</v>
      </c>
      <c r="AX209">
        <v>16856527</v>
      </c>
      <c r="AY209">
        <v>1</v>
      </c>
      <c r="AZ209">
        <v>0</v>
      </c>
      <c r="BA209">
        <v>212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Y209*Source!I79</f>
        <v>8.2459999999999992E-2</v>
      </c>
      <c r="CY209">
        <f>AB209</f>
        <v>444.86</v>
      </c>
      <c r="CZ209">
        <f>AF209</f>
        <v>65.709999999999994</v>
      </c>
      <c r="DA209">
        <f>AJ209</f>
        <v>6.77</v>
      </c>
      <c r="DB209">
        <f>ROUND((ROUND(AT209*CZ209,2)*0.7),6)</f>
        <v>8.7360000000000007</v>
      </c>
      <c r="DC209">
        <f>ROUND((ROUND(AT209*AG209,2)*0.7),6)</f>
        <v>1.54</v>
      </c>
    </row>
    <row r="210" spans="1:107" x14ac:dyDescent="0.2">
      <c r="A210">
        <f>ROW(Source!A79)</f>
        <v>79</v>
      </c>
      <c r="B210">
        <v>16856228</v>
      </c>
      <c r="C210">
        <v>16856504</v>
      </c>
      <c r="D210">
        <v>15249308</v>
      </c>
      <c r="E210">
        <v>1</v>
      </c>
      <c r="F210">
        <v>1</v>
      </c>
      <c r="G210">
        <v>1</v>
      </c>
      <c r="H210">
        <v>2</v>
      </c>
      <c r="I210" t="s">
        <v>333</v>
      </c>
      <c r="J210" t="s">
        <v>334</v>
      </c>
      <c r="K210" t="s">
        <v>335</v>
      </c>
      <c r="L210">
        <v>1368</v>
      </c>
      <c r="N210">
        <v>1011</v>
      </c>
      <c r="O210" t="s">
        <v>321</v>
      </c>
      <c r="P210" t="s">
        <v>321</v>
      </c>
      <c r="Q210">
        <v>1</v>
      </c>
      <c r="W210">
        <v>0</v>
      </c>
      <c r="X210">
        <v>792402865</v>
      </c>
      <c r="Y210">
        <v>1.302</v>
      </c>
      <c r="AA210">
        <v>0</v>
      </c>
      <c r="AB210">
        <v>8.1199999999999992</v>
      </c>
      <c r="AC210">
        <v>0</v>
      </c>
      <c r="AD210">
        <v>0</v>
      </c>
      <c r="AE210">
        <v>0</v>
      </c>
      <c r="AF210">
        <v>1.2</v>
      </c>
      <c r="AG210">
        <v>0</v>
      </c>
      <c r="AH210">
        <v>0</v>
      </c>
      <c r="AI210">
        <v>1</v>
      </c>
      <c r="AJ210">
        <v>6.77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1.86</v>
      </c>
      <c r="AU210" t="s">
        <v>40</v>
      </c>
      <c r="AV210">
        <v>0</v>
      </c>
      <c r="AW210">
        <v>2</v>
      </c>
      <c r="AX210">
        <v>16856528</v>
      </c>
      <c r="AY210">
        <v>1</v>
      </c>
      <c r="AZ210">
        <v>0</v>
      </c>
      <c r="BA210">
        <v>213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Y210*Source!I79</f>
        <v>0.80724000000000007</v>
      </c>
      <c r="CY210">
        <f>AB210</f>
        <v>8.1199999999999992</v>
      </c>
      <c r="CZ210">
        <f>AF210</f>
        <v>1.2</v>
      </c>
      <c r="DA210">
        <f>AJ210</f>
        <v>6.77</v>
      </c>
      <c r="DB210">
        <f>ROUND((ROUND(AT210*CZ210,2)*0.7),6)</f>
        <v>1.5609999999999999</v>
      </c>
      <c r="DC210">
        <f>ROUND((ROUND(AT210*AG210,2)*0.7),6)</f>
        <v>0</v>
      </c>
    </row>
    <row r="211" spans="1:107" x14ac:dyDescent="0.2">
      <c r="A211">
        <f>ROW(Source!A79)</f>
        <v>79</v>
      </c>
      <c r="B211">
        <v>16856228</v>
      </c>
      <c r="C211">
        <v>16856504</v>
      </c>
      <c r="D211">
        <v>15249355</v>
      </c>
      <c r="E211">
        <v>1</v>
      </c>
      <c r="F211">
        <v>1</v>
      </c>
      <c r="G211">
        <v>1</v>
      </c>
      <c r="H211">
        <v>2</v>
      </c>
      <c r="I211" t="s">
        <v>336</v>
      </c>
      <c r="J211" t="s">
        <v>337</v>
      </c>
      <c r="K211" t="s">
        <v>338</v>
      </c>
      <c r="L211">
        <v>1368</v>
      </c>
      <c r="N211">
        <v>1011</v>
      </c>
      <c r="O211" t="s">
        <v>321</v>
      </c>
      <c r="P211" t="s">
        <v>321</v>
      </c>
      <c r="Q211">
        <v>1</v>
      </c>
      <c r="W211">
        <v>0</v>
      </c>
      <c r="X211">
        <v>1323835807</v>
      </c>
      <c r="Y211">
        <v>1.4209999999999998</v>
      </c>
      <c r="AA211">
        <v>0</v>
      </c>
      <c r="AB211">
        <v>83.34</v>
      </c>
      <c r="AC211">
        <v>0</v>
      </c>
      <c r="AD211">
        <v>0</v>
      </c>
      <c r="AE211">
        <v>0</v>
      </c>
      <c r="AF211">
        <v>12.31</v>
      </c>
      <c r="AG211">
        <v>0</v>
      </c>
      <c r="AH211">
        <v>0</v>
      </c>
      <c r="AI211">
        <v>1</v>
      </c>
      <c r="AJ211">
        <v>6.77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2.0299999999999998</v>
      </c>
      <c r="AU211" t="s">
        <v>40</v>
      </c>
      <c r="AV211">
        <v>0</v>
      </c>
      <c r="AW211">
        <v>2</v>
      </c>
      <c r="AX211">
        <v>16856529</v>
      </c>
      <c r="AY211">
        <v>1</v>
      </c>
      <c r="AZ211">
        <v>0</v>
      </c>
      <c r="BA211">
        <v>214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Y211*Source!I79</f>
        <v>0.88101999999999991</v>
      </c>
      <c r="CY211">
        <f>AB211</f>
        <v>83.34</v>
      </c>
      <c r="CZ211">
        <f>AF211</f>
        <v>12.31</v>
      </c>
      <c r="DA211">
        <f>AJ211</f>
        <v>6.77</v>
      </c>
      <c r="DB211">
        <f>ROUND((ROUND(AT211*CZ211,2)*0.7),6)</f>
        <v>17.492999999999999</v>
      </c>
      <c r="DC211">
        <f>ROUND((ROUND(AT211*AG211,2)*0.7),6)</f>
        <v>0</v>
      </c>
    </row>
    <row r="212" spans="1:107" x14ac:dyDescent="0.2">
      <c r="A212">
        <f>ROW(Source!A79)</f>
        <v>79</v>
      </c>
      <c r="B212">
        <v>16856228</v>
      </c>
      <c r="C212">
        <v>16856504</v>
      </c>
      <c r="D212">
        <v>15165653</v>
      </c>
      <c r="E212">
        <v>1</v>
      </c>
      <c r="F212">
        <v>1</v>
      </c>
      <c r="G212">
        <v>1</v>
      </c>
      <c r="H212">
        <v>3</v>
      </c>
      <c r="I212" t="s">
        <v>339</v>
      </c>
      <c r="J212" t="s">
        <v>340</v>
      </c>
      <c r="K212" t="s">
        <v>341</v>
      </c>
      <c r="L212">
        <v>1339</v>
      </c>
      <c r="N212">
        <v>1007</v>
      </c>
      <c r="O212" t="s">
        <v>107</v>
      </c>
      <c r="P212" t="s">
        <v>107</v>
      </c>
      <c r="Q212">
        <v>1</v>
      </c>
      <c r="W212">
        <v>0</v>
      </c>
      <c r="X212">
        <v>1262771840</v>
      </c>
      <c r="Y212">
        <v>0</v>
      </c>
      <c r="AA212">
        <v>42.11</v>
      </c>
      <c r="AB212">
        <v>0</v>
      </c>
      <c r="AC212">
        <v>0</v>
      </c>
      <c r="AD212">
        <v>0</v>
      </c>
      <c r="AE212">
        <v>6.22</v>
      </c>
      <c r="AF212">
        <v>0</v>
      </c>
      <c r="AG212">
        <v>0</v>
      </c>
      <c r="AH212">
        <v>0</v>
      </c>
      <c r="AI212">
        <v>6.77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6</v>
      </c>
      <c r="AT212">
        <v>1.5</v>
      </c>
      <c r="AU212" t="s">
        <v>19</v>
      </c>
      <c r="AV212">
        <v>0</v>
      </c>
      <c r="AW212">
        <v>2</v>
      </c>
      <c r="AX212">
        <v>16856530</v>
      </c>
      <c r="AY212">
        <v>1</v>
      </c>
      <c r="AZ212">
        <v>0</v>
      </c>
      <c r="BA212">
        <v>215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Y212*Source!I79</f>
        <v>0</v>
      </c>
      <c r="CY212">
        <f t="shared" ref="CY212:CY222" si="59">AA212</f>
        <v>42.11</v>
      </c>
      <c r="CZ212">
        <f t="shared" ref="CZ212:CZ222" si="60">AE212</f>
        <v>6.22</v>
      </c>
      <c r="DA212">
        <f t="shared" ref="DA212:DA222" si="61">AI212</f>
        <v>6.77</v>
      </c>
      <c r="DB212">
        <f t="shared" ref="DB212:DB222" si="62">ROUND((ROUND(AT212*CZ212,2)*0),6)</f>
        <v>0</v>
      </c>
      <c r="DC212">
        <f t="shared" ref="DC212:DC222" si="63">ROUND((ROUND(AT212*AG212,2)*0),6)</f>
        <v>0</v>
      </c>
    </row>
    <row r="213" spans="1:107" x14ac:dyDescent="0.2">
      <c r="A213">
        <f>ROW(Source!A79)</f>
        <v>79</v>
      </c>
      <c r="B213">
        <v>16856228</v>
      </c>
      <c r="C213">
        <v>16856504</v>
      </c>
      <c r="D213">
        <v>15165660</v>
      </c>
      <c r="E213">
        <v>1</v>
      </c>
      <c r="F213">
        <v>1</v>
      </c>
      <c r="G213">
        <v>1</v>
      </c>
      <c r="H213">
        <v>3</v>
      </c>
      <c r="I213" t="s">
        <v>342</v>
      </c>
      <c r="J213" t="s">
        <v>343</v>
      </c>
      <c r="K213" t="s">
        <v>344</v>
      </c>
      <c r="L213">
        <v>1346</v>
      </c>
      <c r="N213">
        <v>1009</v>
      </c>
      <c r="O213" t="s">
        <v>129</v>
      </c>
      <c r="P213" t="s">
        <v>129</v>
      </c>
      <c r="Q213">
        <v>1</v>
      </c>
      <c r="W213">
        <v>0</v>
      </c>
      <c r="X213">
        <v>1721895514</v>
      </c>
      <c r="Y213">
        <v>0</v>
      </c>
      <c r="AA213">
        <v>41.23</v>
      </c>
      <c r="AB213">
        <v>0</v>
      </c>
      <c r="AC213">
        <v>0</v>
      </c>
      <c r="AD213">
        <v>0</v>
      </c>
      <c r="AE213">
        <v>6.09</v>
      </c>
      <c r="AF213">
        <v>0</v>
      </c>
      <c r="AG213">
        <v>0</v>
      </c>
      <c r="AH213">
        <v>0</v>
      </c>
      <c r="AI213">
        <v>6.77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6</v>
      </c>
      <c r="AT213">
        <v>0.45</v>
      </c>
      <c r="AU213" t="s">
        <v>19</v>
      </c>
      <c r="AV213">
        <v>0</v>
      </c>
      <c r="AW213">
        <v>2</v>
      </c>
      <c r="AX213">
        <v>16856531</v>
      </c>
      <c r="AY213">
        <v>1</v>
      </c>
      <c r="AZ213">
        <v>0</v>
      </c>
      <c r="BA213">
        <v>216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Y213*Source!I79</f>
        <v>0</v>
      </c>
      <c r="CY213">
        <f t="shared" si="59"/>
        <v>41.23</v>
      </c>
      <c r="CZ213">
        <f t="shared" si="60"/>
        <v>6.09</v>
      </c>
      <c r="DA213">
        <f t="shared" si="61"/>
        <v>6.77</v>
      </c>
      <c r="DB213">
        <f t="shared" si="62"/>
        <v>0</v>
      </c>
      <c r="DC213">
        <f t="shared" si="63"/>
        <v>0</v>
      </c>
    </row>
    <row r="214" spans="1:107" x14ac:dyDescent="0.2">
      <c r="A214">
        <f>ROW(Source!A79)</f>
        <v>79</v>
      </c>
      <c r="B214">
        <v>16856228</v>
      </c>
      <c r="C214">
        <v>16856504</v>
      </c>
      <c r="D214">
        <v>15168753</v>
      </c>
      <c r="E214">
        <v>1</v>
      </c>
      <c r="F214">
        <v>1</v>
      </c>
      <c r="G214">
        <v>1</v>
      </c>
      <c r="H214">
        <v>3</v>
      </c>
      <c r="I214" t="s">
        <v>345</v>
      </c>
      <c r="J214" t="s">
        <v>346</v>
      </c>
      <c r="K214" t="s">
        <v>347</v>
      </c>
      <c r="L214">
        <v>1348</v>
      </c>
      <c r="N214">
        <v>1009</v>
      </c>
      <c r="O214" t="s">
        <v>37</v>
      </c>
      <c r="P214" t="s">
        <v>37</v>
      </c>
      <c r="Q214">
        <v>1000</v>
      </c>
      <c r="W214">
        <v>0</v>
      </c>
      <c r="X214">
        <v>1225357214</v>
      </c>
      <c r="Y214">
        <v>0</v>
      </c>
      <c r="AA214">
        <v>72770.73</v>
      </c>
      <c r="AB214">
        <v>0</v>
      </c>
      <c r="AC214">
        <v>0</v>
      </c>
      <c r="AD214">
        <v>0</v>
      </c>
      <c r="AE214">
        <v>10749</v>
      </c>
      <c r="AF214">
        <v>0</v>
      </c>
      <c r="AG214">
        <v>0</v>
      </c>
      <c r="AH214">
        <v>0</v>
      </c>
      <c r="AI214">
        <v>6.77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6</v>
      </c>
      <c r="AT214">
        <v>1.4E-3</v>
      </c>
      <c r="AU214" t="s">
        <v>19</v>
      </c>
      <c r="AV214">
        <v>0</v>
      </c>
      <c r="AW214">
        <v>2</v>
      </c>
      <c r="AX214">
        <v>16856532</v>
      </c>
      <c r="AY214">
        <v>1</v>
      </c>
      <c r="AZ214">
        <v>0</v>
      </c>
      <c r="BA214">
        <v>217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Y214*Source!I79</f>
        <v>0</v>
      </c>
      <c r="CY214">
        <f t="shared" si="59"/>
        <v>72770.73</v>
      </c>
      <c r="CZ214">
        <f t="shared" si="60"/>
        <v>10749</v>
      </c>
      <c r="DA214">
        <f t="shared" si="61"/>
        <v>6.77</v>
      </c>
      <c r="DB214">
        <f t="shared" si="62"/>
        <v>0</v>
      </c>
      <c r="DC214">
        <f t="shared" si="63"/>
        <v>0</v>
      </c>
    </row>
    <row r="215" spans="1:107" x14ac:dyDescent="0.2">
      <c r="A215">
        <f>ROW(Source!A79)</f>
        <v>79</v>
      </c>
      <c r="B215">
        <v>16856228</v>
      </c>
      <c r="C215">
        <v>16856504</v>
      </c>
      <c r="D215">
        <v>15169941</v>
      </c>
      <c r="E215">
        <v>1</v>
      </c>
      <c r="F215">
        <v>1</v>
      </c>
      <c r="G215">
        <v>1</v>
      </c>
      <c r="H215">
        <v>3</v>
      </c>
      <c r="I215" t="s">
        <v>348</v>
      </c>
      <c r="J215" t="s">
        <v>349</v>
      </c>
      <c r="K215" t="s">
        <v>350</v>
      </c>
      <c r="L215">
        <v>1348</v>
      </c>
      <c r="N215">
        <v>1009</v>
      </c>
      <c r="O215" t="s">
        <v>37</v>
      </c>
      <c r="P215" t="s">
        <v>37</v>
      </c>
      <c r="Q215">
        <v>1000</v>
      </c>
      <c r="W215">
        <v>0</v>
      </c>
      <c r="X215">
        <v>-437906794</v>
      </c>
      <c r="Y215">
        <v>0</v>
      </c>
      <c r="AA215">
        <v>61200.87</v>
      </c>
      <c r="AB215">
        <v>0</v>
      </c>
      <c r="AC215">
        <v>0</v>
      </c>
      <c r="AD215">
        <v>0</v>
      </c>
      <c r="AE215">
        <v>9040.01</v>
      </c>
      <c r="AF215">
        <v>0</v>
      </c>
      <c r="AG215">
        <v>0</v>
      </c>
      <c r="AH215">
        <v>0</v>
      </c>
      <c r="AI215">
        <v>6.77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</v>
      </c>
      <c r="AT215">
        <v>3.3E-3</v>
      </c>
      <c r="AU215" t="s">
        <v>19</v>
      </c>
      <c r="AV215">
        <v>0</v>
      </c>
      <c r="AW215">
        <v>2</v>
      </c>
      <c r="AX215">
        <v>16856533</v>
      </c>
      <c r="AY215">
        <v>1</v>
      </c>
      <c r="AZ215">
        <v>0</v>
      </c>
      <c r="BA215">
        <v>218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Y215*Source!I79</f>
        <v>0</v>
      </c>
      <c r="CY215">
        <f t="shared" si="59"/>
        <v>61200.87</v>
      </c>
      <c r="CZ215">
        <f t="shared" si="60"/>
        <v>9040.01</v>
      </c>
      <c r="DA215">
        <f t="shared" si="61"/>
        <v>6.77</v>
      </c>
      <c r="DB215">
        <f t="shared" si="62"/>
        <v>0</v>
      </c>
      <c r="DC215">
        <f t="shared" si="63"/>
        <v>0</v>
      </c>
    </row>
    <row r="216" spans="1:107" x14ac:dyDescent="0.2">
      <c r="A216">
        <f>ROW(Source!A79)</f>
        <v>79</v>
      </c>
      <c r="B216">
        <v>16856228</v>
      </c>
      <c r="C216">
        <v>16856504</v>
      </c>
      <c r="D216">
        <v>15170039</v>
      </c>
      <c r="E216">
        <v>1</v>
      </c>
      <c r="F216">
        <v>1</v>
      </c>
      <c r="G216">
        <v>1</v>
      </c>
      <c r="H216">
        <v>3</v>
      </c>
      <c r="I216" t="s">
        <v>351</v>
      </c>
      <c r="J216" t="s">
        <v>352</v>
      </c>
      <c r="K216" t="s">
        <v>353</v>
      </c>
      <c r="L216">
        <v>1348</v>
      </c>
      <c r="N216">
        <v>1009</v>
      </c>
      <c r="O216" t="s">
        <v>37</v>
      </c>
      <c r="P216" t="s">
        <v>37</v>
      </c>
      <c r="Q216">
        <v>1000</v>
      </c>
      <c r="W216">
        <v>0</v>
      </c>
      <c r="X216">
        <v>1174701286</v>
      </c>
      <c r="Y216">
        <v>0</v>
      </c>
      <c r="AA216">
        <v>81091.06</v>
      </c>
      <c r="AB216">
        <v>0</v>
      </c>
      <c r="AC216">
        <v>0</v>
      </c>
      <c r="AD216">
        <v>0</v>
      </c>
      <c r="AE216">
        <v>11978</v>
      </c>
      <c r="AF216">
        <v>0</v>
      </c>
      <c r="AG216">
        <v>0</v>
      </c>
      <c r="AH216">
        <v>0</v>
      </c>
      <c r="AI216">
        <v>6.77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6</v>
      </c>
      <c r="AT216">
        <v>1.0000000000000001E-5</v>
      </c>
      <c r="AU216" t="s">
        <v>19</v>
      </c>
      <c r="AV216">
        <v>0</v>
      </c>
      <c r="AW216">
        <v>2</v>
      </c>
      <c r="AX216">
        <v>16856534</v>
      </c>
      <c r="AY216">
        <v>1</v>
      </c>
      <c r="AZ216">
        <v>0</v>
      </c>
      <c r="BA216">
        <v>219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Y216*Source!I79</f>
        <v>0</v>
      </c>
      <c r="CY216">
        <f t="shared" si="59"/>
        <v>81091.06</v>
      </c>
      <c r="CZ216">
        <f t="shared" si="60"/>
        <v>11978</v>
      </c>
      <c r="DA216">
        <f t="shared" si="61"/>
        <v>6.77</v>
      </c>
      <c r="DB216">
        <f t="shared" si="62"/>
        <v>0</v>
      </c>
      <c r="DC216">
        <f t="shared" si="63"/>
        <v>0</v>
      </c>
    </row>
    <row r="217" spans="1:107" x14ac:dyDescent="0.2">
      <c r="A217">
        <f>ROW(Source!A79)</f>
        <v>79</v>
      </c>
      <c r="B217">
        <v>16856228</v>
      </c>
      <c r="C217">
        <v>16856504</v>
      </c>
      <c r="D217">
        <v>15171021</v>
      </c>
      <c r="E217">
        <v>1</v>
      </c>
      <c r="F217">
        <v>1</v>
      </c>
      <c r="G217">
        <v>1</v>
      </c>
      <c r="H217">
        <v>3</v>
      </c>
      <c r="I217" t="s">
        <v>354</v>
      </c>
      <c r="J217" t="s">
        <v>355</v>
      </c>
      <c r="K217" t="s">
        <v>356</v>
      </c>
      <c r="L217">
        <v>1348</v>
      </c>
      <c r="N217">
        <v>1009</v>
      </c>
      <c r="O217" t="s">
        <v>37</v>
      </c>
      <c r="P217" t="s">
        <v>37</v>
      </c>
      <c r="Q217">
        <v>1000</v>
      </c>
      <c r="W217">
        <v>0</v>
      </c>
      <c r="X217">
        <v>-2116243625</v>
      </c>
      <c r="Y217">
        <v>0</v>
      </c>
      <c r="AA217">
        <v>256583</v>
      </c>
      <c r="AB217">
        <v>0</v>
      </c>
      <c r="AC217">
        <v>0</v>
      </c>
      <c r="AD217">
        <v>0</v>
      </c>
      <c r="AE217">
        <v>37900</v>
      </c>
      <c r="AF217">
        <v>0</v>
      </c>
      <c r="AG217">
        <v>0</v>
      </c>
      <c r="AH217">
        <v>0</v>
      </c>
      <c r="AI217">
        <v>6.77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1E-4</v>
      </c>
      <c r="AU217" t="s">
        <v>19</v>
      </c>
      <c r="AV217">
        <v>0</v>
      </c>
      <c r="AW217">
        <v>2</v>
      </c>
      <c r="AX217">
        <v>16856535</v>
      </c>
      <c r="AY217">
        <v>1</v>
      </c>
      <c r="AZ217">
        <v>0</v>
      </c>
      <c r="BA217">
        <v>220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Y217*Source!I79</f>
        <v>0</v>
      </c>
      <c r="CY217">
        <f t="shared" si="59"/>
        <v>256583</v>
      </c>
      <c r="CZ217">
        <f t="shared" si="60"/>
        <v>37900</v>
      </c>
      <c r="DA217">
        <f t="shared" si="61"/>
        <v>6.77</v>
      </c>
      <c r="DB217">
        <f t="shared" si="62"/>
        <v>0</v>
      </c>
      <c r="DC217">
        <f t="shared" si="63"/>
        <v>0</v>
      </c>
    </row>
    <row r="218" spans="1:107" x14ac:dyDescent="0.2">
      <c r="A218">
        <f>ROW(Source!A79)</f>
        <v>79</v>
      </c>
      <c r="B218">
        <v>16856228</v>
      </c>
      <c r="C218">
        <v>16856504</v>
      </c>
      <c r="D218">
        <v>15190794</v>
      </c>
      <c r="E218">
        <v>1</v>
      </c>
      <c r="F218">
        <v>1</v>
      </c>
      <c r="G218">
        <v>1</v>
      </c>
      <c r="H218">
        <v>3</v>
      </c>
      <c r="I218" t="s">
        <v>357</v>
      </c>
      <c r="J218" t="s">
        <v>358</v>
      </c>
      <c r="K218" t="s">
        <v>359</v>
      </c>
      <c r="L218">
        <v>1302</v>
      </c>
      <c r="N218">
        <v>1003</v>
      </c>
      <c r="O218" t="s">
        <v>152</v>
      </c>
      <c r="P218" t="s">
        <v>152</v>
      </c>
      <c r="Q218">
        <v>10</v>
      </c>
      <c r="W218">
        <v>0</v>
      </c>
      <c r="X218">
        <v>-1640127157</v>
      </c>
      <c r="Y218">
        <v>0</v>
      </c>
      <c r="AA218">
        <v>340.12</v>
      </c>
      <c r="AB218">
        <v>0</v>
      </c>
      <c r="AC218">
        <v>0</v>
      </c>
      <c r="AD218">
        <v>0</v>
      </c>
      <c r="AE218">
        <v>50.24</v>
      </c>
      <c r="AF218">
        <v>0</v>
      </c>
      <c r="AG218">
        <v>0</v>
      </c>
      <c r="AH218">
        <v>0</v>
      </c>
      <c r="AI218">
        <v>6.77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1.8700000000000001E-2</v>
      </c>
      <c r="AU218" t="s">
        <v>19</v>
      </c>
      <c r="AV218">
        <v>0</v>
      </c>
      <c r="AW218">
        <v>2</v>
      </c>
      <c r="AX218">
        <v>16856537</v>
      </c>
      <c r="AY218">
        <v>1</v>
      </c>
      <c r="AZ218">
        <v>0</v>
      </c>
      <c r="BA218">
        <v>222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Y218*Source!I79</f>
        <v>0</v>
      </c>
      <c r="CY218">
        <f t="shared" si="59"/>
        <v>340.12</v>
      </c>
      <c r="CZ218">
        <f t="shared" si="60"/>
        <v>50.24</v>
      </c>
      <c r="DA218">
        <f t="shared" si="61"/>
        <v>6.77</v>
      </c>
      <c r="DB218">
        <f t="shared" si="62"/>
        <v>0</v>
      </c>
      <c r="DC218">
        <f t="shared" si="63"/>
        <v>0</v>
      </c>
    </row>
    <row r="219" spans="1:107" x14ac:dyDescent="0.2">
      <c r="A219">
        <f>ROW(Source!A79)</f>
        <v>79</v>
      </c>
      <c r="B219">
        <v>16856228</v>
      </c>
      <c r="C219">
        <v>16856504</v>
      </c>
      <c r="D219">
        <v>15191153</v>
      </c>
      <c r="E219">
        <v>1</v>
      </c>
      <c r="F219">
        <v>1</v>
      </c>
      <c r="G219">
        <v>1</v>
      </c>
      <c r="H219">
        <v>3</v>
      </c>
      <c r="I219" t="s">
        <v>360</v>
      </c>
      <c r="J219" t="s">
        <v>361</v>
      </c>
      <c r="K219" t="s">
        <v>362</v>
      </c>
      <c r="L219">
        <v>1348</v>
      </c>
      <c r="N219">
        <v>1009</v>
      </c>
      <c r="O219" t="s">
        <v>37</v>
      </c>
      <c r="P219" t="s">
        <v>37</v>
      </c>
      <c r="Q219">
        <v>1000</v>
      </c>
      <c r="W219">
        <v>0</v>
      </c>
      <c r="X219">
        <v>-1396314973</v>
      </c>
      <c r="Y219">
        <v>0</v>
      </c>
      <c r="AA219">
        <v>30161.7</v>
      </c>
      <c r="AB219">
        <v>0</v>
      </c>
      <c r="AC219">
        <v>0</v>
      </c>
      <c r="AD219">
        <v>0</v>
      </c>
      <c r="AE219">
        <v>4455.2</v>
      </c>
      <c r="AF219">
        <v>0</v>
      </c>
      <c r="AG219">
        <v>0</v>
      </c>
      <c r="AH219">
        <v>0</v>
      </c>
      <c r="AI219">
        <v>6.77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3.0000000000000001E-5</v>
      </c>
      <c r="AU219" t="s">
        <v>19</v>
      </c>
      <c r="AV219">
        <v>0</v>
      </c>
      <c r="AW219">
        <v>2</v>
      </c>
      <c r="AX219">
        <v>16856538</v>
      </c>
      <c r="AY219">
        <v>1</v>
      </c>
      <c r="AZ219">
        <v>0</v>
      </c>
      <c r="BA219">
        <v>223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Y219*Source!I79</f>
        <v>0</v>
      </c>
      <c r="CY219">
        <f t="shared" si="59"/>
        <v>30161.7</v>
      </c>
      <c r="CZ219">
        <f t="shared" si="60"/>
        <v>4455.2</v>
      </c>
      <c r="DA219">
        <f t="shared" si="61"/>
        <v>6.77</v>
      </c>
      <c r="DB219">
        <f t="shared" si="62"/>
        <v>0</v>
      </c>
      <c r="DC219">
        <f t="shared" si="63"/>
        <v>0</v>
      </c>
    </row>
    <row r="220" spans="1:107" x14ac:dyDescent="0.2">
      <c r="A220">
        <f>ROW(Source!A79)</f>
        <v>79</v>
      </c>
      <c r="B220">
        <v>16856228</v>
      </c>
      <c r="C220">
        <v>16856504</v>
      </c>
      <c r="D220">
        <v>15191913</v>
      </c>
      <c r="E220">
        <v>1</v>
      </c>
      <c r="F220">
        <v>1</v>
      </c>
      <c r="G220">
        <v>1</v>
      </c>
      <c r="H220">
        <v>3</v>
      </c>
      <c r="I220" t="s">
        <v>363</v>
      </c>
      <c r="J220" t="s">
        <v>364</v>
      </c>
      <c r="K220" t="s">
        <v>365</v>
      </c>
      <c r="L220">
        <v>1348</v>
      </c>
      <c r="N220">
        <v>1009</v>
      </c>
      <c r="O220" t="s">
        <v>37</v>
      </c>
      <c r="P220" t="s">
        <v>37</v>
      </c>
      <c r="Q220">
        <v>1000</v>
      </c>
      <c r="W220">
        <v>0</v>
      </c>
      <c r="X220">
        <v>900832145</v>
      </c>
      <c r="Y220">
        <v>0</v>
      </c>
      <c r="AA220">
        <v>33308.400000000001</v>
      </c>
      <c r="AB220">
        <v>0</v>
      </c>
      <c r="AC220">
        <v>0</v>
      </c>
      <c r="AD220">
        <v>0</v>
      </c>
      <c r="AE220">
        <v>4920</v>
      </c>
      <c r="AF220">
        <v>0</v>
      </c>
      <c r="AG220">
        <v>0</v>
      </c>
      <c r="AH220">
        <v>0</v>
      </c>
      <c r="AI220">
        <v>6.77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</v>
      </c>
      <c r="AT220">
        <v>1.9400000000000001E-3</v>
      </c>
      <c r="AU220" t="s">
        <v>19</v>
      </c>
      <c r="AV220">
        <v>0</v>
      </c>
      <c r="AW220">
        <v>2</v>
      </c>
      <c r="AX220">
        <v>16856539</v>
      </c>
      <c r="AY220">
        <v>1</v>
      </c>
      <c r="AZ220">
        <v>0</v>
      </c>
      <c r="BA220">
        <v>224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Y220*Source!I79</f>
        <v>0</v>
      </c>
      <c r="CY220">
        <f t="shared" si="59"/>
        <v>33308.400000000001</v>
      </c>
      <c r="CZ220">
        <f t="shared" si="60"/>
        <v>4920</v>
      </c>
      <c r="DA220">
        <f t="shared" si="61"/>
        <v>6.77</v>
      </c>
      <c r="DB220">
        <f t="shared" si="62"/>
        <v>0</v>
      </c>
      <c r="DC220">
        <f t="shared" si="63"/>
        <v>0</v>
      </c>
    </row>
    <row r="221" spans="1:107" x14ac:dyDescent="0.2">
      <c r="A221">
        <f>ROW(Source!A79)</f>
        <v>79</v>
      </c>
      <c r="B221">
        <v>16856228</v>
      </c>
      <c r="C221">
        <v>16856504</v>
      </c>
      <c r="D221">
        <v>15203461</v>
      </c>
      <c r="E221">
        <v>1</v>
      </c>
      <c r="F221">
        <v>1</v>
      </c>
      <c r="G221">
        <v>1</v>
      </c>
      <c r="H221">
        <v>3</v>
      </c>
      <c r="I221" t="s">
        <v>366</v>
      </c>
      <c r="J221" t="s">
        <v>367</v>
      </c>
      <c r="K221" t="s">
        <v>368</v>
      </c>
      <c r="L221">
        <v>1348</v>
      </c>
      <c r="N221">
        <v>1009</v>
      </c>
      <c r="O221" t="s">
        <v>37</v>
      </c>
      <c r="P221" t="s">
        <v>37</v>
      </c>
      <c r="Q221">
        <v>1000</v>
      </c>
      <c r="W221">
        <v>0</v>
      </c>
      <c r="X221">
        <v>-1655298345</v>
      </c>
      <c r="Y221">
        <v>0</v>
      </c>
      <c r="AA221">
        <v>105747.4</v>
      </c>
      <c r="AB221">
        <v>0</v>
      </c>
      <c r="AC221">
        <v>0</v>
      </c>
      <c r="AD221">
        <v>0</v>
      </c>
      <c r="AE221">
        <v>15620</v>
      </c>
      <c r="AF221">
        <v>0</v>
      </c>
      <c r="AG221">
        <v>0</v>
      </c>
      <c r="AH221">
        <v>0</v>
      </c>
      <c r="AI221">
        <v>6.77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</v>
      </c>
      <c r="AT221">
        <v>3.1E-4</v>
      </c>
      <c r="AU221" t="s">
        <v>19</v>
      </c>
      <c r="AV221">
        <v>0</v>
      </c>
      <c r="AW221">
        <v>2</v>
      </c>
      <c r="AX221">
        <v>16856540</v>
      </c>
      <c r="AY221">
        <v>1</v>
      </c>
      <c r="AZ221">
        <v>0</v>
      </c>
      <c r="BA221">
        <v>225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Y221*Source!I79</f>
        <v>0</v>
      </c>
      <c r="CY221">
        <f t="shared" si="59"/>
        <v>105747.4</v>
      </c>
      <c r="CZ221">
        <f t="shared" si="60"/>
        <v>15620</v>
      </c>
      <c r="DA221">
        <f t="shared" si="61"/>
        <v>6.77</v>
      </c>
      <c r="DB221">
        <f t="shared" si="62"/>
        <v>0</v>
      </c>
      <c r="DC221">
        <f t="shared" si="63"/>
        <v>0</v>
      </c>
    </row>
    <row r="222" spans="1:107" x14ac:dyDescent="0.2">
      <c r="A222">
        <f>ROW(Source!A79)</f>
        <v>79</v>
      </c>
      <c r="B222">
        <v>16856228</v>
      </c>
      <c r="C222">
        <v>16856504</v>
      </c>
      <c r="D222">
        <v>15204663</v>
      </c>
      <c r="E222">
        <v>1</v>
      </c>
      <c r="F222">
        <v>1</v>
      </c>
      <c r="G222">
        <v>1</v>
      </c>
      <c r="H222">
        <v>3</v>
      </c>
      <c r="I222" t="s">
        <v>369</v>
      </c>
      <c r="J222" t="s">
        <v>370</v>
      </c>
      <c r="K222" t="s">
        <v>371</v>
      </c>
      <c r="L222">
        <v>1348</v>
      </c>
      <c r="N222">
        <v>1009</v>
      </c>
      <c r="O222" t="s">
        <v>37</v>
      </c>
      <c r="P222" t="s">
        <v>37</v>
      </c>
      <c r="Q222">
        <v>1000</v>
      </c>
      <c r="W222">
        <v>0</v>
      </c>
      <c r="X222">
        <v>-639604785</v>
      </c>
      <c r="Y222">
        <v>0</v>
      </c>
      <c r="AA222">
        <v>63773.4</v>
      </c>
      <c r="AB222">
        <v>0</v>
      </c>
      <c r="AC222">
        <v>0</v>
      </c>
      <c r="AD222">
        <v>0</v>
      </c>
      <c r="AE222">
        <v>9420</v>
      </c>
      <c r="AF222">
        <v>0</v>
      </c>
      <c r="AG222">
        <v>0</v>
      </c>
      <c r="AH222">
        <v>0</v>
      </c>
      <c r="AI222">
        <v>6.77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6</v>
      </c>
      <c r="AT222">
        <v>5.9999999999999995E-4</v>
      </c>
      <c r="AU222" t="s">
        <v>19</v>
      </c>
      <c r="AV222">
        <v>0</v>
      </c>
      <c r="AW222">
        <v>2</v>
      </c>
      <c r="AX222">
        <v>16856541</v>
      </c>
      <c r="AY222">
        <v>1</v>
      </c>
      <c r="AZ222">
        <v>0</v>
      </c>
      <c r="BA222">
        <v>226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Y222*Source!I79</f>
        <v>0</v>
      </c>
      <c r="CY222">
        <f t="shared" si="59"/>
        <v>63773.4</v>
      </c>
      <c r="CZ222">
        <f t="shared" si="60"/>
        <v>9420</v>
      </c>
      <c r="DA222">
        <f t="shared" si="61"/>
        <v>6.77</v>
      </c>
      <c r="DB222">
        <f t="shared" si="62"/>
        <v>0</v>
      </c>
      <c r="DC222">
        <f t="shared" si="63"/>
        <v>0</v>
      </c>
    </row>
    <row r="223" spans="1:107" x14ac:dyDescent="0.2">
      <c r="A223">
        <f>ROW(Source!A80)</f>
        <v>80</v>
      </c>
      <c r="B223">
        <v>16856227</v>
      </c>
      <c r="C223">
        <v>16856542</v>
      </c>
      <c r="D223">
        <v>15430767</v>
      </c>
      <c r="E223">
        <v>1</v>
      </c>
      <c r="F223">
        <v>1</v>
      </c>
      <c r="G223">
        <v>1</v>
      </c>
      <c r="H223">
        <v>1</v>
      </c>
      <c r="I223" t="s">
        <v>399</v>
      </c>
      <c r="J223" t="s">
        <v>6</v>
      </c>
      <c r="K223" t="s">
        <v>400</v>
      </c>
      <c r="L223">
        <v>1191</v>
      </c>
      <c r="N223">
        <v>1013</v>
      </c>
      <c r="O223" t="s">
        <v>313</v>
      </c>
      <c r="P223" t="s">
        <v>313</v>
      </c>
      <c r="Q223">
        <v>1</v>
      </c>
      <c r="W223">
        <v>0</v>
      </c>
      <c r="X223">
        <v>-400197608</v>
      </c>
      <c r="Y223">
        <v>58.408499999999997</v>
      </c>
      <c r="AA223">
        <v>0</v>
      </c>
      <c r="AB223">
        <v>0</v>
      </c>
      <c r="AC223">
        <v>0</v>
      </c>
      <c r="AD223">
        <v>8.5299999999999994</v>
      </c>
      <c r="AE223">
        <v>0</v>
      </c>
      <c r="AF223">
        <v>0</v>
      </c>
      <c r="AG223">
        <v>0</v>
      </c>
      <c r="AH223">
        <v>8.5299999999999994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6</v>
      </c>
      <c r="AT223">
        <v>50.79</v>
      </c>
      <c r="AU223" t="s">
        <v>57</v>
      </c>
      <c r="AV223">
        <v>1</v>
      </c>
      <c r="AW223">
        <v>2</v>
      </c>
      <c r="AX223">
        <v>16856563</v>
      </c>
      <c r="AY223">
        <v>1</v>
      </c>
      <c r="AZ223">
        <v>0</v>
      </c>
      <c r="BA223">
        <v>227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Y223*Source!I80</f>
        <v>36.213269999999994</v>
      </c>
      <c r="CY223">
        <f>AD223</f>
        <v>8.5299999999999994</v>
      </c>
      <c r="CZ223">
        <f>AH223</f>
        <v>8.5299999999999994</v>
      </c>
      <c r="DA223">
        <f>AL223</f>
        <v>1</v>
      </c>
      <c r="DB223">
        <f>ROUND((ROUND(AT223*CZ223,2)*1.15),6)</f>
        <v>498.226</v>
      </c>
      <c r="DC223">
        <f>ROUND((ROUND(AT223*AG223,2)*1.15),6)</f>
        <v>0</v>
      </c>
    </row>
    <row r="224" spans="1:107" x14ac:dyDescent="0.2">
      <c r="A224">
        <f>ROW(Source!A80)</f>
        <v>80</v>
      </c>
      <c r="B224">
        <v>16856227</v>
      </c>
      <c r="C224">
        <v>16856542</v>
      </c>
      <c r="D224">
        <v>15430395</v>
      </c>
      <c r="E224">
        <v>1</v>
      </c>
      <c r="F224">
        <v>1</v>
      </c>
      <c r="G224">
        <v>1</v>
      </c>
      <c r="H224">
        <v>1</v>
      </c>
      <c r="I224" t="s">
        <v>316</v>
      </c>
      <c r="J224" t="s">
        <v>6</v>
      </c>
      <c r="K224" t="s">
        <v>317</v>
      </c>
      <c r="L224">
        <v>1191</v>
      </c>
      <c r="N224">
        <v>1013</v>
      </c>
      <c r="O224" t="s">
        <v>313</v>
      </c>
      <c r="P224" t="s">
        <v>313</v>
      </c>
      <c r="Q224">
        <v>1</v>
      </c>
      <c r="W224">
        <v>0</v>
      </c>
      <c r="X224">
        <v>-1417349443</v>
      </c>
      <c r="Y224">
        <v>0.31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0.31</v>
      </c>
      <c r="AU224" t="s">
        <v>6</v>
      </c>
      <c r="AV224">
        <v>2</v>
      </c>
      <c r="AW224">
        <v>2</v>
      </c>
      <c r="AX224">
        <v>16856564</v>
      </c>
      <c r="AY224">
        <v>1</v>
      </c>
      <c r="AZ224">
        <v>2048</v>
      </c>
      <c r="BA224">
        <v>228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Y224*Source!I80</f>
        <v>0.19220000000000001</v>
      </c>
      <c r="CY224">
        <f>AD224</f>
        <v>0</v>
      </c>
      <c r="CZ224">
        <f>AH224</f>
        <v>0</v>
      </c>
      <c r="DA224">
        <f>AL224</f>
        <v>1</v>
      </c>
      <c r="DB224">
        <f>ROUND(ROUND(AT224*CZ224,2),6)</f>
        <v>0</v>
      </c>
      <c r="DC224">
        <f>ROUND(ROUND(AT224*AG224,2),6)</f>
        <v>0</v>
      </c>
    </row>
    <row r="225" spans="1:107" x14ac:dyDescent="0.2">
      <c r="A225">
        <f>ROW(Source!A80)</f>
        <v>80</v>
      </c>
      <c r="B225">
        <v>16856227</v>
      </c>
      <c r="C225">
        <v>16856542</v>
      </c>
      <c r="D225">
        <v>15247680</v>
      </c>
      <c r="E225">
        <v>1</v>
      </c>
      <c r="F225">
        <v>1</v>
      </c>
      <c r="G225">
        <v>1</v>
      </c>
      <c r="H225">
        <v>2</v>
      </c>
      <c r="I225" t="s">
        <v>324</v>
      </c>
      <c r="J225" t="s">
        <v>325</v>
      </c>
      <c r="K225" t="s">
        <v>326</v>
      </c>
      <c r="L225">
        <v>1368</v>
      </c>
      <c r="N225">
        <v>1011</v>
      </c>
      <c r="O225" t="s">
        <v>321</v>
      </c>
      <c r="P225" t="s">
        <v>321</v>
      </c>
      <c r="Q225">
        <v>1</v>
      </c>
      <c r="W225">
        <v>0</v>
      </c>
      <c r="X225">
        <v>-1718674368</v>
      </c>
      <c r="Y225">
        <v>0.15</v>
      </c>
      <c r="AA225">
        <v>0</v>
      </c>
      <c r="AB225">
        <v>111.99</v>
      </c>
      <c r="AC225">
        <v>13.5</v>
      </c>
      <c r="AD225">
        <v>0</v>
      </c>
      <c r="AE225">
        <v>0</v>
      </c>
      <c r="AF225">
        <v>111.99</v>
      </c>
      <c r="AG225">
        <v>13.5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0.12</v>
      </c>
      <c r="AU225" t="s">
        <v>56</v>
      </c>
      <c r="AV225">
        <v>0</v>
      </c>
      <c r="AW225">
        <v>2</v>
      </c>
      <c r="AX225">
        <v>16856565</v>
      </c>
      <c r="AY225">
        <v>1</v>
      </c>
      <c r="AZ225">
        <v>0</v>
      </c>
      <c r="BA225">
        <v>229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Y225*Source!I80</f>
        <v>9.2999999999999999E-2</v>
      </c>
      <c r="CY225">
        <f>AB225</f>
        <v>111.99</v>
      </c>
      <c r="CZ225">
        <f>AF225</f>
        <v>111.99</v>
      </c>
      <c r="DA225">
        <f>AJ225</f>
        <v>1</v>
      </c>
      <c r="DB225">
        <f>ROUND((ROUND(AT225*CZ225,2)*1.25),6)</f>
        <v>16.8</v>
      </c>
      <c r="DC225">
        <f>ROUND((ROUND(AT225*AG225,2)*1.25),6)</f>
        <v>2.0249999999999999</v>
      </c>
    </row>
    <row r="226" spans="1:107" x14ac:dyDescent="0.2">
      <c r="A226">
        <f>ROW(Source!A80)</f>
        <v>80</v>
      </c>
      <c r="B226">
        <v>16856227</v>
      </c>
      <c r="C226">
        <v>16856542</v>
      </c>
      <c r="D226">
        <v>15247880</v>
      </c>
      <c r="E226">
        <v>1</v>
      </c>
      <c r="F226">
        <v>1</v>
      </c>
      <c r="G226">
        <v>1</v>
      </c>
      <c r="H226">
        <v>2</v>
      </c>
      <c r="I226" t="s">
        <v>424</v>
      </c>
      <c r="J226" t="s">
        <v>425</v>
      </c>
      <c r="K226" t="s">
        <v>426</v>
      </c>
      <c r="L226">
        <v>1368</v>
      </c>
      <c r="N226">
        <v>1011</v>
      </c>
      <c r="O226" t="s">
        <v>321</v>
      </c>
      <c r="P226" t="s">
        <v>321</v>
      </c>
      <c r="Q226">
        <v>1</v>
      </c>
      <c r="W226">
        <v>0</v>
      </c>
      <c r="X226">
        <v>1544661785</v>
      </c>
      <c r="Y226">
        <v>13.1625</v>
      </c>
      <c r="AA226">
        <v>0</v>
      </c>
      <c r="AB226">
        <v>6.9</v>
      </c>
      <c r="AC226">
        <v>0</v>
      </c>
      <c r="AD226">
        <v>0</v>
      </c>
      <c r="AE226">
        <v>0</v>
      </c>
      <c r="AF226">
        <v>6.9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6</v>
      </c>
      <c r="AT226">
        <v>10.53</v>
      </c>
      <c r="AU226" t="s">
        <v>56</v>
      </c>
      <c r="AV226">
        <v>0</v>
      </c>
      <c r="AW226">
        <v>2</v>
      </c>
      <c r="AX226">
        <v>16856566</v>
      </c>
      <c r="AY226">
        <v>1</v>
      </c>
      <c r="AZ226">
        <v>0</v>
      </c>
      <c r="BA226">
        <v>230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Y226*Source!I80</f>
        <v>8.1607500000000002</v>
      </c>
      <c r="CY226">
        <f>AB226</f>
        <v>6.9</v>
      </c>
      <c r="CZ226">
        <f>AF226</f>
        <v>6.9</v>
      </c>
      <c r="DA226">
        <f>AJ226</f>
        <v>1</v>
      </c>
      <c r="DB226">
        <f>ROUND((ROUND(AT226*CZ226,2)*1.25),6)</f>
        <v>90.825000000000003</v>
      </c>
      <c r="DC226">
        <f>ROUND((ROUND(AT226*AG226,2)*1.25),6)</f>
        <v>0</v>
      </c>
    </row>
    <row r="227" spans="1:107" x14ac:dyDescent="0.2">
      <c r="A227">
        <f>ROW(Source!A80)</f>
        <v>80</v>
      </c>
      <c r="B227">
        <v>16856227</v>
      </c>
      <c r="C227">
        <v>16856542</v>
      </c>
      <c r="D227">
        <v>15249073</v>
      </c>
      <c r="E227">
        <v>1</v>
      </c>
      <c r="F227">
        <v>1</v>
      </c>
      <c r="G227">
        <v>1</v>
      </c>
      <c r="H227">
        <v>2</v>
      </c>
      <c r="I227" t="s">
        <v>330</v>
      </c>
      <c r="J227" t="s">
        <v>331</v>
      </c>
      <c r="K227" t="s">
        <v>332</v>
      </c>
      <c r="L227">
        <v>1368</v>
      </c>
      <c r="N227">
        <v>1011</v>
      </c>
      <c r="O227" t="s">
        <v>321</v>
      </c>
      <c r="P227" t="s">
        <v>321</v>
      </c>
      <c r="Q227">
        <v>1</v>
      </c>
      <c r="W227">
        <v>0</v>
      </c>
      <c r="X227">
        <v>1372534845</v>
      </c>
      <c r="Y227">
        <v>0.23749999999999999</v>
      </c>
      <c r="AA227">
        <v>0</v>
      </c>
      <c r="AB227">
        <v>65.709999999999994</v>
      </c>
      <c r="AC227">
        <v>11.6</v>
      </c>
      <c r="AD227">
        <v>0</v>
      </c>
      <c r="AE227">
        <v>0</v>
      </c>
      <c r="AF227">
        <v>65.709999999999994</v>
      </c>
      <c r="AG227">
        <v>11.6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0.19</v>
      </c>
      <c r="AU227" t="s">
        <v>56</v>
      </c>
      <c r="AV227">
        <v>0</v>
      </c>
      <c r="AW227">
        <v>2</v>
      </c>
      <c r="AX227">
        <v>16856567</v>
      </c>
      <c r="AY227">
        <v>1</v>
      </c>
      <c r="AZ227">
        <v>0</v>
      </c>
      <c r="BA227">
        <v>231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Y227*Source!I80</f>
        <v>0.14724999999999999</v>
      </c>
      <c r="CY227">
        <f>AB227</f>
        <v>65.709999999999994</v>
      </c>
      <c r="CZ227">
        <f>AF227</f>
        <v>65.709999999999994</v>
      </c>
      <c r="DA227">
        <f>AJ227</f>
        <v>1</v>
      </c>
      <c r="DB227">
        <f>ROUND((ROUND(AT227*CZ227,2)*1.25),6)</f>
        <v>15.6</v>
      </c>
      <c r="DC227">
        <f>ROUND((ROUND(AT227*AG227,2)*1.25),6)</f>
        <v>2.75</v>
      </c>
    </row>
    <row r="228" spans="1:107" x14ac:dyDescent="0.2">
      <c r="A228">
        <f>ROW(Source!A80)</f>
        <v>80</v>
      </c>
      <c r="B228">
        <v>16856227</v>
      </c>
      <c r="C228">
        <v>16856542</v>
      </c>
      <c r="D228">
        <v>15249308</v>
      </c>
      <c r="E228">
        <v>1</v>
      </c>
      <c r="F228">
        <v>1</v>
      </c>
      <c r="G228">
        <v>1</v>
      </c>
      <c r="H228">
        <v>2</v>
      </c>
      <c r="I228" t="s">
        <v>333</v>
      </c>
      <c r="J228" t="s">
        <v>334</v>
      </c>
      <c r="K228" t="s">
        <v>335</v>
      </c>
      <c r="L228">
        <v>1368</v>
      </c>
      <c r="N228">
        <v>1011</v>
      </c>
      <c r="O228" t="s">
        <v>321</v>
      </c>
      <c r="P228" t="s">
        <v>321</v>
      </c>
      <c r="Q228">
        <v>1</v>
      </c>
      <c r="W228">
        <v>0</v>
      </c>
      <c r="X228">
        <v>792402865</v>
      </c>
      <c r="Y228">
        <v>2.3250000000000002</v>
      </c>
      <c r="AA228">
        <v>0</v>
      </c>
      <c r="AB228">
        <v>1.2</v>
      </c>
      <c r="AC228">
        <v>0</v>
      </c>
      <c r="AD228">
        <v>0</v>
      </c>
      <c r="AE228">
        <v>0</v>
      </c>
      <c r="AF228">
        <v>1.2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1.86</v>
      </c>
      <c r="AU228" t="s">
        <v>56</v>
      </c>
      <c r="AV228">
        <v>0</v>
      </c>
      <c r="AW228">
        <v>2</v>
      </c>
      <c r="AX228">
        <v>16856568</v>
      </c>
      <c r="AY228">
        <v>1</v>
      </c>
      <c r="AZ228">
        <v>0</v>
      </c>
      <c r="BA228">
        <v>232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Y228*Source!I80</f>
        <v>1.4415</v>
      </c>
      <c r="CY228">
        <f>AB228</f>
        <v>1.2</v>
      </c>
      <c r="CZ228">
        <f>AF228</f>
        <v>1.2</v>
      </c>
      <c r="DA228">
        <f>AJ228</f>
        <v>1</v>
      </c>
      <c r="DB228">
        <f>ROUND((ROUND(AT228*CZ228,2)*1.25),6)</f>
        <v>2.7875000000000001</v>
      </c>
      <c r="DC228">
        <f>ROUND((ROUND(AT228*AG228,2)*1.25),6)</f>
        <v>0</v>
      </c>
    </row>
    <row r="229" spans="1:107" x14ac:dyDescent="0.2">
      <c r="A229">
        <f>ROW(Source!A80)</f>
        <v>80</v>
      </c>
      <c r="B229">
        <v>16856227</v>
      </c>
      <c r="C229">
        <v>16856542</v>
      </c>
      <c r="D229">
        <v>15249355</v>
      </c>
      <c r="E229">
        <v>1</v>
      </c>
      <c r="F229">
        <v>1</v>
      </c>
      <c r="G229">
        <v>1</v>
      </c>
      <c r="H229">
        <v>2</v>
      </c>
      <c r="I229" t="s">
        <v>336</v>
      </c>
      <c r="J229" t="s">
        <v>337</v>
      </c>
      <c r="K229" t="s">
        <v>338</v>
      </c>
      <c r="L229">
        <v>1368</v>
      </c>
      <c r="N229">
        <v>1011</v>
      </c>
      <c r="O229" t="s">
        <v>321</v>
      </c>
      <c r="P229" t="s">
        <v>321</v>
      </c>
      <c r="Q229">
        <v>1</v>
      </c>
      <c r="W229">
        <v>0</v>
      </c>
      <c r="X229">
        <v>1323835807</v>
      </c>
      <c r="Y229">
        <v>2.5374999999999996</v>
      </c>
      <c r="AA229">
        <v>0</v>
      </c>
      <c r="AB229">
        <v>12.31</v>
      </c>
      <c r="AC229">
        <v>0</v>
      </c>
      <c r="AD229">
        <v>0</v>
      </c>
      <c r="AE229">
        <v>0</v>
      </c>
      <c r="AF229">
        <v>12.31</v>
      </c>
      <c r="AG229">
        <v>0</v>
      </c>
      <c r="AH229">
        <v>0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2.0299999999999998</v>
      </c>
      <c r="AU229" t="s">
        <v>56</v>
      </c>
      <c r="AV229">
        <v>0</v>
      </c>
      <c r="AW229">
        <v>2</v>
      </c>
      <c r="AX229">
        <v>16856569</v>
      </c>
      <c r="AY229">
        <v>1</v>
      </c>
      <c r="AZ229">
        <v>0</v>
      </c>
      <c r="BA229">
        <v>233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Y229*Source!I80</f>
        <v>1.5732499999999998</v>
      </c>
      <c r="CY229">
        <f>AB229</f>
        <v>12.31</v>
      </c>
      <c r="CZ229">
        <f>AF229</f>
        <v>12.31</v>
      </c>
      <c r="DA229">
        <f>AJ229</f>
        <v>1</v>
      </c>
      <c r="DB229">
        <f>ROUND((ROUND(AT229*CZ229,2)*1.25),6)</f>
        <v>31.237500000000001</v>
      </c>
      <c r="DC229">
        <f>ROUND((ROUND(AT229*AG229,2)*1.25),6)</f>
        <v>0</v>
      </c>
    </row>
    <row r="230" spans="1:107" x14ac:dyDescent="0.2">
      <c r="A230">
        <f>ROW(Source!A80)</f>
        <v>80</v>
      </c>
      <c r="B230">
        <v>16856227</v>
      </c>
      <c r="C230">
        <v>16856542</v>
      </c>
      <c r="D230">
        <v>15165653</v>
      </c>
      <c r="E230">
        <v>1</v>
      </c>
      <c r="F230">
        <v>1</v>
      </c>
      <c r="G230">
        <v>1</v>
      </c>
      <c r="H230">
        <v>3</v>
      </c>
      <c r="I230" t="s">
        <v>339</v>
      </c>
      <c r="J230" t="s">
        <v>340</v>
      </c>
      <c r="K230" t="s">
        <v>341</v>
      </c>
      <c r="L230">
        <v>1339</v>
      </c>
      <c r="N230">
        <v>1007</v>
      </c>
      <c r="O230" t="s">
        <v>107</v>
      </c>
      <c r="P230" t="s">
        <v>107</v>
      </c>
      <c r="Q230">
        <v>1</v>
      </c>
      <c r="W230">
        <v>0</v>
      </c>
      <c r="X230">
        <v>1262771840</v>
      </c>
      <c r="Y230">
        <v>1.5</v>
      </c>
      <c r="AA230">
        <v>6.22</v>
      </c>
      <c r="AB230">
        <v>0</v>
      </c>
      <c r="AC230">
        <v>0</v>
      </c>
      <c r="AD230">
        <v>0</v>
      </c>
      <c r="AE230">
        <v>6.22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1.5</v>
      </c>
      <c r="AU230" t="s">
        <v>6</v>
      </c>
      <c r="AV230">
        <v>0</v>
      </c>
      <c r="AW230">
        <v>2</v>
      </c>
      <c r="AX230">
        <v>16856570</v>
      </c>
      <c r="AY230">
        <v>1</v>
      </c>
      <c r="AZ230">
        <v>0</v>
      </c>
      <c r="BA230">
        <v>234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Y230*Source!I80</f>
        <v>0.92999999999999994</v>
      </c>
      <c r="CY230">
        <f t="shared" ref="CY230:CY242" si="64">AA230</f>
        <v>6.22</v>
      </c>
      <c r="CZ230">
        <f t="shared" ref="CZ230:CZ242" si="65">AE230</f>
        <v>6.22</v>
      </c>
      <c r="DA230">
        <f t="shared" ref="DA230:DA242" si="66">AI230</f>
        <v>1</v>
      </c>
      <c r="DB230">
        <f t="shared" ref="DB230:DB242" si="67">ROUND(ROUND(AT230*CZ230,2),6)</f>
        <v>9.33</v>
      </c>
      <c r="DC230">
        <f t="shared" ref="DC230:DC242" si="68">ROUND(ROUND(AT230*AG230,2),6)</f>
        <v>0</v>
      </c>
    </row>
    <row r="231" spans="1:107" x14ac:dyDescent="0.2">
      <c r="A231">
        <f>ROW(Source!A80)</f>
        <v>80</v>
      </c>
      <c r="B231">
        <v>16856227</v>
      </c>
      <c r="C231">
        <v>16856542</v>
      </c>
      <c r="D231">
        <v>15165660</v>
      </c>
      <c r="E231">
        <v>1</v>
      </c>
      <c r="F231">
        <v>1</v>
      </c>
      <c r="G231">
        <v>1</v>
      </c>
      <c r="H231">
        <v>3</v>
      </c>
      <c r="I231" t="s">
        <v>342</v>
      </c>
      <c r="J231" t="s">
        <v>343</v>
      </c>
      <c r="K231" t="s">
        <v>344</v>
      </c>
      <c r="L231">
        <v>1346</v>
      </c>
      <c r="N231">
        <v>1009</v>
      </c>
      <c r="O231" t="s">
        <v>129</v>
      </c>
      <c r="P231" t="s">
        <v>129</v>
      </c>
      <c r="Q231">
        <v>1</v>
      </c>
      <c r="W231">
        <v>0</v>
      </c>
      <c r="X231">
        <v>1721895514</v>
      </c>
      <c r="Y231">
        <v>0.45</v>
      </c>
      <c r="AA231">
        <v>6.09</v>
      </c>
      <c r="AB231">
        <v>0</v>
      </c>
      <c r="AC231">
        <v>0</v>
      </c>
      <c r="AD231">
        <v>0</v>
      </c>
      <c r="AE231">
        <v>6.09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0.45</v>
      </c>
      <c r="AU231" t="s">
        <v>6</v>
      </c>
      <c r="AV231">
        <v>0</v>
      </c>
      <c r="AW231">
        <v>2</v>
      </c>
      <c r="AX231">
        <v>16856571</v>
      </c>
      <c r="AY231">
        <v>1</v>
      </c>
      <c r="AZ231">
        <v>0</v>
      </c>
      <c r="BA231">
        <v>235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Y231*Source!I80</f>
        <v>0.27900000000000003</v>
      </c>
      <c r="CY231">
        <f t="shared" si="64"/>
        <v>6.09</v>
      </c>
      <c r="CZ231">
        <f t="shared" si="65"/>
        <v>6.09</v>
      </c>
      <c r="DA231">
        <f t="shared" si="66"/>
        <v>1</v>
      </c>
      <c r="DB231">
        <f t="shared" si="67"/>
        <v>2.74</v>
      </c>
      <c r="DC231">
        <f t="shared" si="68"/>
        <v>0</v>
      </c>
    </row>
    <row r="232" spans="1:107" x14ac:dyDescent="0.2">
      <c r="A232">
        <f>ROW(Source!A80)</f>
        <v>80</v>
      </c>
      <c r="B232">
        <v>16856227</v>
      </c>
      <c r="C232">
        <v>16856542</v>
      </c>
      <c r="D232">
        <v>15168753</v>
      </c>
      <c r="E232">
        <v>1</v>
      </c>
      <c r="F232">
        <v>1</v>
      </c>
      <c r="G232">
        <v>1</v>
      </c>
      <c r="H232">
        <v>3</v>
      </c>
      <c r="I232" t="s">
        <v>345</v>
      </c>
      <c r="J232" t="s">
        <v>346</v>
      </c>
      <c r="K232" t="s">
        <v>347</v>
      </c>
      <c r="L232">
        <v>1348</v>
      </c>
      <c r="N232">
        <v>1009</v>
      </c>
      <c r="O232" t="s">
        <v>37</v>
      </c>
      <c r="P232" t="s">
        <v>37</v>
      </c>
      <c r="Q232">
        <v>1000</v>
      </c>
      <c r="W232">
        <v>0</v>
      </c>
      <c r="X232">
        <v>1225357214</v>
      </c>
      <c r="Y232">
        <v>1.4E-3</v>
      </c>
      <c r="AA232">
        <v>10749</v>
      </c>
      <c r="AB232">
        <v>0</v>
      </c>
      <c r="AC232">
        <v>0</v>
      </c>
      <c r="AD232">
        <v>0</v>
      </c>
      <c r="AE232">
        <v>10749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1.4E-3</v>
      </c>
      <c r="AU232" t="s">
        <v>6</v>
      </c>
      <c r="AV232">
        <v>0</v>
      </c>
      <c r="AW232">
        <v>2</v>
      </c>
      <c r="AX232">
        <v>16856572</v>
      </c>
      <c r="AY232">
        <v>1</v>
      </c>
      <c r="AZ232">
        <v>0</v>
      </c>
      <c r="BA232">
        <v>236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Y232*Source!I80</f>
        <v>8.6799999999999996E-4</v>
      </c>
      <c r="CY232">
        <f t="shared" si="64"/>
        <v>10749</v>
      </c>
      <c r="CZ232">
        <f t="shared" si="65"/>
        <v>10749</v>
      </c>
      <c r="DA232">
        <f t="shared" si="66"/>
        <v>1</v>
      </c>
      <c r="DB232">
        <f t="shared" si="67"/>
        <v>15.05</v>
      </c>
      <c r="DC232">
        <f t="shared" si="68"/>
        <v>0</v>
      </c>
    </row>
    <row r="233" spans="1:107" x14ac:dyDescent="0.2">
      <c r="A233">
        <f>ROW(Source!A80)</f>
        <v>80</v>
      </c>
      <c r="B233">
        <v>16856227</v>
      </c>
      <c r="C233">
        <v>16856542</v>
      </c>
      <c r="D233">
        <v>15169941</v>
      </c>
      <c r="E233">
        <v>1</v>
      </c>
      <c r="F233">
        <v>1</v>
      </c>
      <c r="G233">
        <v>1</v>
      </c>
      <c r="H233">
        <v>3</v>
      </c>
      <c r="I233" t="s">
        <v>348</v>
      </c>
      <c r="J233" t="s">
        <v>349</v>
      </c>
      <c r="K233" t="s">
        <v>350</v>
      </c>
      <c r="L233">
        <v>1348</v>
      </c>
      <c r="N233">
        <v>1009</v>
      </c>
      <c r="O233" t="s">
        <v>37</v>
      </c>
      <c r="P233" t="s">
        <v>37</v>
      </c>
      <c r="Q233">
        <v>1000</v>
      </c>
      <c r="W233">
        <v>0</v>
      </c>
      <c r="X233">
        <v>-437906794</v>
      </c>
      <c r="Y233">
        <v>3.3E-3</v>
      </c>
      <c r="AA233">
        <v>9040.01</v>
      </c>
      <c r="AB233">
        <v>0</v>
      </c>
      <c r="AC233">
        <v>0</v>
      </c>
      <c r="AD233">
        <v>0</v>
      </c>
      <c r="AE233">
        <v>9040.01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3.3E-3</v>
      </c>
      <c r="AU233" t="s">
        <v>6</v>
      </c>
      <c r="AV233">
        <v>0</v>
      </c>
      <c r="AW233">
        <v>2</v>
      </c>
      <c r="AX233">
        <v>16856573</v>
      </c>
      <c r="AY233">
        <v>1</v>
      </c>
      <c r="AZ233">
        <v>0</v>
      </c>
      <c r="BA233">
        <v>237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Y233*Source!I80</f>
        <v>2.0460000000000001E-3</v>
      </c>
      <c r="CY233">
        <f t="shared" si="64"/>
        <v>9040.01</v>
      </c>
      <c r="CZ233">
        <f t="shared" si="65"/>
        <v>9040.01</v>
      </c>
      <c r="DA233">
        <f t="shared" si="66"/>
        <v>1</v>
      </c>
      <c r="DB233">
        <f t="shared" si="67"/>
        <v>29.83</v>
      </c>
      <c r="DC233">
        <f t="shared" si="68"/>
        <v>0</v>
      </c>
    </row>
    <row r="234" spans="1:107" x14ac:dyDescent="0.2">
      <c r="A234">
        <f>ROW(Source!A80)</f>
        <v>80</v>
      </c>
      <c r="B234">
        <v>16856227</v>
      </c>
      <c r="C234">
        <v>16856542</v>
      </c>
      <c r="D234">
        <v>15170039</v>
      </c>
      <c r="E234">
        <v>1</v>
      </c>
      <c r="F234">
        <v>1</v>
      </c>
      <c r="G234">
        <v>1</v>
      </c>
      <c r="H234">
        <v>3</v>
      </c>
      <c r="I234" t="s">
        <v>351</v>
      </c>
      <c r="J234" t="s">
        <v>352</v>
      </c>
      <c r="K234" t="s">
        <v>353</v>
      </c>
      <c r="L234">
        <v>1348</v>
      </c>
      <c r="N234">
        <v>1009</v>
      </c>
      <c r="O234" t="s">
        <v>37</v>
      </c>
      <c r="P234" t="s">
        <v>37</v>
      </c>
      <c r="Q234">
        <v>1000</v>
      </c>
      <c r="W234">
        <v>0</v>
      </c>
      <c r="X234">
        <v>1174701286</v>
      </c>
      <c r="Y234">
        <v>1.0000000000000001E-5</v>
      </c>
      <c r="AA234">
        <v>11978</v>
      </c>
      <c r="AB234">
        <v>0</v>
      </c>
      <c r="AC234">
        <v>0</v>
      </c>
      <c r="AD234">
        <v>0</v>
      </c>
      <c r="AE234">
        <v>11978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1.0000000000000001E-5</v>
      </c>
      <c r="AU234" t="s">
        <v>6</v>
      </c>
      <c r="AV234">
        <v>0</v>
      </c>
      <c r="AW234">
        <v>2</v>
      </c>
      <c r="AX234">
        <v>16856574</v>
      </c>
      <c r="AY234">
        <v>1</v>
      </c>
      <c r="AZ234">
        <v>0</v>
      </c>
      <c r="BA234">
        <v>238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Y234*Source!I80</f>
        <v>6.2000000000000008E-6</v>
      </c>
      <c r="CY234">
        <f t="shared" si="64"/>
        <v>11978</v>
      </c>
      <c r="CZ234">
        <f t="shared" si="65"/>
        <v>11978</v>
      </c>
      <c r="DA234">
        <f t="shared" si="66"/>
        <v>1</v>
      </c>
      <c r="DB234">
        <f t="shared" si="67"/>
        <v>0.12</v>
      </c>
      <c r="DC234">
        <f t="shared" si="68"/>
        <v>0</v>
      </c>
    </row>
    <row r="235" spans="1:107" x14ac:dyDescent="0.2">
      <c r="A235">
        <f>ROW(Source!A80)</f>
        <v>80</v>
      </c>
      <c r="B235">
        <v>16856227</v>
      </c>
      <c r="C235">
        <v>16856542</v>
      </c>
      <c r="D235">
        <v>15171021</v>
      </c>
      <c r="E235">
        <v>1</v>
      </c>
      <c r="F235">
        <v>1</v>
      </c>
      <c r="G235">
        <v>1</v>
      </c>
      <c r="H235">
        <v>3</v>
      </c>
      <c r="I235" t="s">
        <v>354</v>
      </c>
      <c r="J235" t="s">
        <v>355</v>
      </c>
      <c r="K235" t="s">
        <v>356</v>
      </c>
      <c r="L235">
        <v>1348</v>
      </c>
      <c r="N235">
        <v>1009</v>
      </c>
      <c r="O235" t="s">
        <v>37</v>
      </c>
      <c r="P235" t="s">
        <v>37</v>
      </c>
      <c r="Q235">
        <v>1000</v>
      </c>
      <c r="W235">
        <v>0</v>
      </c>
      <c r="X235">
        <v>-2116243625</v>
      </c>
      <c r="Y235">
        <v>1E-4</v>
      </c>
      <c r="AA235">
        <v>37900</v>
      </c>
      <c r="AB235">
        <v>0</v>
      </c>
      <c r="AC235">
        <v>0</v>
      </c>
      <c r="AD235">
        <v>0</v>
      </c>
      <c r="AE235">
        <v>37900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1E-4</v>
      </c>
      <c r="AU235" t="s">
        <v>6</v>
      </c>
      <c r="AV235">
        <v>0</v>
      </c>
      <c r="AW235">
        <v>2</v>
      </c>
      <c r="AX235">
        <v>16856575</v>
      </c>
      <c r="AY235">
        <v>1</v>
      </c>
      <c r="AZ235">
        <v>0</v>
      </c>
      <c r="BA235">
        <v>239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Y235*Source!I80</f>
        <v>6.2000000000000003E-5</v>
      </c>
      <c r="CY235">
        <f t="shared" si="64"/>
        <v>37900</v>
      </c>
      <c r="CZ235">
        <f t="shared" si="65"/>
        <v>37900</v>
      </c>
      <c r="DA235">
        <f t="shared" si="66"/>
        <v>1</v>
      </c>
      <c r="DB235">
        <f t="shared" si="67"/>
        <v>3.79</v>
      </c>
      <c r="DC235">
        <f t="shared" si="68"/>
        <v>0</v>
      </c>
    </row>
    <row r="236" spans="1:107" x14ac:dyDescent="0.2">
      <c r="A236">
        <f>ROW(Source!A80)</f>
        <v>80</v>
      </c>
      <c r="B236">
        <v>16856227</v>
      </c>
      <c r="C236">
        <v>16856542</v>
      </c>
      <c r="D236">
        <v>15161825</v>
      </c>
      <c r="E236">
        <v>17</v>
      </c>
      <c r="F236">
        <v>1</v>
      </c>
      <c r="G236">
        <v>1</v>
      </c>
      <c r="H236">
        <v>3</v>
      </c>
      <c r="I236" t="s">
        <v>161</v>
      </c>
      <c r="J236" t="s">
        <v>6</v>
      </c>
      <c r="K236" t="s">
        <v>162</v>
      </c>
      <c r="L236">
        <v>1348</v>
      </c>
      <c r="N236">
        <v>1009</v>
      </c>
      <c r="O236" t="s">
        <v>37</v>
      </c>
      <c r="P236" t="s">
        <v>37</v>
      </c>
      <c r="Q236">
        <v>1000</v>
      </c>
      <c r="W236">
        <v>0</v>
      </c>
      <c r="X236">
        <v>748648226</v>
      </c>
      <c r="Y236">
        <v>1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6</v>
      </c>
      <c r="AT236">
        <v>1</v>
      </c>
      <c r="AU236" t="s">
        <v>6</v>
      </c>
      <c r="AV236">
        <v>0</v>
      </c>
      <c r="AW236">
        <v>2</v>
      </c>
      <c r="AX236">
        <v>16856576</v>
      </c>
      <c r="AY236">
        <v>1</v>
      </c>
      <c r="AZ236">
        <v>0</v>
      </c>
      <c r="BA236">
        <v>240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Y236*Source!I80</f>
        <v>0.62</v>
      </c>
      <c r="CY236">
        <f t="shared" si="64"/>
        <v>0</v>
      </c>
      <c r="CZ236">
        <f t="shared" si="65"/>
        <v>0</v>
      </c>
      <c r="DA236">
        <f t="shared" si="66"/>
        <v>1</v>
      </c>
      <c r="DB236">
        <f t="shared" si="67"/>
        <v>0</v>
      </c>
      <c r="DC236">
        <f t="shared" si="68"/>
        <v>0</v>
      </c>
    </row>
    <row r="237" spans="1:107" x14ac:dyDescent="0.2">
      <c r="A237">
        <f>ROW(Source!A80)</f>
        <v>80</v>
      </c>
      <c r="B237">
        <v>16856227</v>
      </c>
      <c r="C237">
        <v>16856542</v>
      </c>
      <c r="D237">
        <v>15190794</v>
      </c>
      <c r="E237">
        <v>1</v>
      </c>
      <c r="F237">
        <v>1</v>
      </c>
      <c r="G237">
        <v>1</v>
      </c>
      <c r="H237">
        <v>3</v>
      </c>
      <c r="I237" t="s">
        <v>357</v>
      </c>
      <c r="J237" t="s">
        <v>358</v>
      </c>
      <c r="K237" t="s">
        <v>359</v>
      </c>
      <c r="L237">
        <v>1302</v>
      </c>
      <c r="N237">
        <v>1003</v>
      </c>
      <c r="O237" t="s">
        <v>152</v>
      </c>
      <c r="P237" t="s">
        <v>152</v>
      </c>
      <c r="Q237">
        <v>10</v>
      </c>
      <c r="W237">
        <v>0</v>
      </c>
      <c r="X237">
        <v>-1640127157</v>
      </c>
      <c r="Y237">
        <v>1.8700000000000001E-2</v>
      </c>
      <c r="AA237">
        <v>50.24</v>
      </c>
      <c r="AB237">
        <v>0</v>
      </c>
      <c r="AC237">
        <v>0</v>
      </c>
      <c r="AD237">
        <v>0</v>
      </c>
      <c r="AE237">
        <v>50.24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1.8700000000000001E-2</v>
      </c>
      <c r="AU237" t="s">
        <v>6</v>
      </c>
      <c r="AV237">
        <v>0</v>
      </c>
      <c r="AW237">
        <v>2</v>
      </c>
      <c r="AX237">
        <v>16856577</v>
      </c>
      <c r="AY237">
        <v>1</v>
      </c>
      <c r="AZ237">
        <v>0</v>
      </c>
      <c r="BA237">
        <v>241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Y237*Source!I80</f>
        <v>1.1594E-2</v>
      </c>
      <c r="CY237">
        <f t="shared" si="64"/>
        <v>50.24</v>
      </c>
      <c r="CZ237">
        <f t="shared" si="65"/>
        <v>50.24</v>
      </c>
      <c r="DA237">
        <f t="shared" si="66"/>
        <v>1</v>
      </c>
      <c r="DB237">
        <f t="shared" si="67"/>
        <v>0.94</v>
      </c>
      <c r="DC237">
        <f t="shared" si="68"/>
        <v>0</v>
      </c>
    </row>
    <row r="238" spans="1:107" x14ac:dyDescent="0.2">
      <c r="A238">
        <f>ROW(Source!A80)</f>
        <v>80</v>
      </c>
      <c r="B238">
        <v>16856227</v>
      </c>
      <c r="C238">
        <v>16856542</v>
      </c>
      <c r="D238">
        <v>15191153</v>
      </c>
      <c r="E238">
        <v>1</v>
      </c>
      <c r="F238">
        <v>1</v>
      </c>
      <c r="G238">
        <v>1</v>
      </c>
      <c r="H238">
        <v>3</v>
      </c>
      <c r="I238" t="s">
        <v>360</v>
      </c>
      <c r="J238" t="s">
        <v>361</v>
      </c>
      <c r="K238" t="s">
        <v>362</v>
      </c>
      <c r="L238">
        <v>1348</v>
      </c>
      <c r="N238">
        <v>1009</v>
      </c>
      <c r="O238" t="s">
        <v>37</v>
      </c>
      <c r="P238" t="s">
        <v>37</v>
      </c>
      <c r="Q238">
        <v>1000</v>
      </c>
      <c r="W238">
        <v>0</v>
      </c>
      <c r="X238">
        <v>-1396314973</v>
      </c>
      <c r="Y238">
        <v>3.0000000000000001E-5</v>
      </c>
      <c r="AA238">
        <v>4455.2</v>
      </c>
      <c r="AB238">
        <v>0</v>
      </c>
      <c r="AC238">
        <v>0</v>
      </c>
      <c r="AD238">
        <v>0</v>
      </c>
      <c r="AE238">
        <v>4455.2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3.0000000000000001E-5</v>
      </c>
      <c r="AU238" t="s">
        <v>6</v>
      </c>
      <c r="AV238">
        <v>0</v>
      </c>
      <c r="AW238">
        <v>2</v>
      </c>
      <c r="AX238">
        <v>16856578</v>
      </c>
      <c r="AY238">
        <v>1</v>
      </c>
      <c r="AZ238">
        <v>0</v>
      </c>
      <c r="BA238">
        <v>242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Y238*Source!I80</f>
        <v>1.8600000000000001E-5</v>
      </c>
      <c r="CY238">
        <f t="shared" si="64"/>
        <v>4455.2</v>
      </c>
      <c r="CZ238">
        <f t="shared" si="65"/>
        <v>4455.2</v>
      </c>
      <c r="DA238">
        <f t="shared" si="66"/>
        <v>1</v>
      </c>
      <c r="DB238">
        <f t="shared" si="67"/>
        <v>0.13</v>
      </c>
      <c r="DC238">
        <f t="shared" si="68"/>
        <v>0</v>
      </c>
    </row>
    <row r="239" spans="1:107" x14ac:dyDescent="0.2">
      <c r="A239">
        <f>ROW(Source!A80)</f>
        <v>80</v>
      </c>
      <c r="B239">
        <v>16856227</v>
      </c>
      <c r="C239">
        <v>16856542</v>
      </c>
      <c r="D239">
        <v>15191913</v>
      </c>
      <c r="E239">
        <v>1</v>
      </c>
      <c r="F239">
        <v>1</v>
      </c>
      <c r="G239">
        <v>1</v>
      </c>
      <c r="H239">
        <v>3</v>
      </c>
      <c r="I239" t="s">
        <v>363</v>
      </c>
      <c r="J239" t="s">
        <v>364</v>
      </c>
      <c r="K239" t="s">
        <v>365</v>
      </c>
      <c r="L239">
        <v>1348</v>
      </c>
      <c r="N239">
        <v>1009</v>
      </c>
      <c r="O239" t="s">
        <v>37</v>
      </c>
      <c r="P239" t="s">
        <v>37</v>
      </c>
      <c r="Q239">
        <v>1000</v>
      </c>
      <c r="W239">
        <v>0</v>
      </c>
      <c r="X239">
        <v>900832145</v>
      </c>
      <c r="Y239">
        <v>1.9400000000000001E-3</v>
      </c>
      <c r="AA239">
        <v>4920</v>
      </c>
      <c r="AB239">
        <v>0</v>
      </c>
      <c r="AC239">
        <v>0</v>
      </c>
      <c r="AD239">
        <v>0</v>
      </c>
      <c r="AE239">
        <v>4920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1.9400000000000001E-3</v>
      </c>
      <c r="AU239" t="s">
        <v>6</v>
      </c>
      <c r="AV239">
        <v>0</v>
      </c>
      <c r="AW239">
        <v>2</v>
      </c>
      <c r="AX239">
        <v>16856579</v>
      </c>
      <c r="AY239">
        <v>1</v>
      </c>
      <c r="AZ239">
        <v>0</v>
      </c>
      <c r="BA239">
        <v>243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Y239*Source!I80</f>
        <v>1.2028E-3</v>
      </c>
      <c r="CY239">
        <f t="shared" si="64"/>
        <v>4920</v>
      </c>
      <c r="CZ239">
        <f t="shared" si="65"/>
        <v>4920</v>
      </c>
      <c r="DA239">
        <f t="shared" si="66"/>
        <v>1</v>
      </c>
      <c r="DB239">
        <f t="shared" si="67"/>
        <v>9.5399999999999991</v>
      </c>
      <c r="DC239">
        <f t="shared" si="68"/>
        <v>0</v>
      </c>
    </row>
    <row r="240" spans="1:107" x14ac:dyDescent="0.2">
      <c r="A240">
        <f>ROW(Source!A80)</f>
        <v>80</v>
      </c>
      <c r="B240">
        <v>16856227</v>
      </c>
      <c r="C240">
        <v>16856542</v>
      </c>
      <c r="D240">
        <v>15192829</v>
      </c>
      <c r="E240">
        <v>1</v>
      </c>
      <c r="F240">
        <v>1</v>
      </c>
      <c r="G240">
        <v>1</v>
      </c>
      <c r="H240">
        <v>3</v>
      </c>
      <c r="I240" t="s">
        <v>164</v>
      </c>
      <c r="J240" t="s">
        <v>167</v>
      </c>
      <c r="K240" t="s">
        <v>165</v>
      </c>
      <c r="L240">
        <v>1354</v>
      </c>
      <c r="N240">
        <v>1010</v>
      </c>
      <c r="O240" t="s">
        <v>166</v>
      </c>
      <c r="P240" t="s">
        <v>166</v>
      </c>
      <c r="Q240">
        <v>1</v>
      </c>
      <c r="W240">
        <v>0</v>
      </c>
      <c r="X240">
        <v>-2146585498</v>
      </c>
      <c r="Y240">
        <v>22.580645000000001</v>
      </c>
      <c r="AA240">
        <v>1777.38</v>
      </c>
      <c r="AB240">
        <v>0</v>
      </c>
      <c r="AC240">
        <v>0</v>
      </c>
      <c r="AD240">
        <v>0</v>
      </c>
      <c r="AE240">
        <v>1777.38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0</v>
      </c>
      <c r="AP240">
        <v>0</v>
      </c>
      <c r="AQ240">
        <v>0</v>
      </c>
      <c r="AR240">
        <v>0</v>
      </c>
      <c r="AS240" t="s">
        <v>6</v>
      </c>
      <c r="AT240">
        <v>22.580645000000001</v>
      </c>
      <c r="AU240" t="s">
        <v>6</v>
      </c>
      <c r="AV240">
        <v>0</v>
      </c>
      <c r="AW240">
        <v>1</v>
      </c>
      <c r="AX240">
        <v>-1</v>
      </c>
      <c r="AY240">
        <v>0</v>
      </c>
      <c r="AZ240">
        <v>0</v>
      </c>
      <c r="BA240" t="s">
        <v>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Y240*Source!I80</f>
        <v>13.999999900000001</v>
      </c>
      <c r="CY240">
        <f t="shared" si="64"/>
        <v>1777.38</v>
      </c>
      <c r="CZ240">
        <f t="shared" si="65"/>
        <v>1777.38</v>
      </c>
      <c r="DA240">
        <f t="shared" si="66"/>
        <v>1</v>
      </c>
      <c r="DB240">
        <f t="shared" si="67"/>
        <v>40134.39</v>
      </c>
      <c r="DC240">
        <f t="shared" si="68"/>
        <v>0</v>
      </c>
    </row>
    <row r="241" spans="1:107" x14ac:dyDescent="0.2">
      <c r="A241">
        <f>ROW(Source!A80)</f>
        <v>80</v>
      </c>
      <c r="B241">
        <v>16856227</v>
      </c>
      <c r="C241">
        <v>16856542</v>
      </c>
      <c r="D241">
        <v>15203461</v>
      </c>
      <c r="E241">
        <v>1</v>
      </c>
      <c r="F241">
        <v>1</v>
      </c>
      <c r="G241">
        <v>1</v>
      </c>
      <c r="H241">
        <v>3</v>
      </c>
      <c r="I241" t="s">
        <v>366</v>
      </c>
      <c r="J241" t="s">
        <v>367</v>
      </c>
      <c r="K241" t="s">
        <v>368</v>
      </c>
      <c r="L241">
        <v>1348</v>
      </c>
      <c r="N241">
        <v>1009</v>
      </c>
      <c r="O241" t="s">
        <v>37</v>
      </c>
      <c r="P241" t="s">
        <v>37</v>
      </c>
      <c r="Q241">
        <v>1000</v>
      </c>
      <c r="W241">
        <v>0</v>
      </c>
      <c r="X241">
        <v>-1655298345</v>
      </c>
      <c r="Y241">
        <v>3.1E-4</v>
      </c>
      <c r="AA241">
        <v>15620</v>
      </c>
      <c r="AB241">
        <v>0</v>
      </c>
      <c r="AC241">
        <v>0</v>
      </c>
      <c r="AD241">
        <v>0</v>
      </c>
      <c r="AE241">
        <v>15620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3.1E-4</v>
      </c>
      <c r="AU241" t="s">
        <v>6</v>
      </c>
      <c r="AV241">
        <v>0</v>
      </c>
      <c r="AW241">
        <v>2</v>
      </c>
      <c r="AX241">
        <v>16856580</v>
      </c>
      <c r="AY241">
        <v>1</v>
      </c>
      <c r="AZ241">
        <v>0</v>
      </c>
      <c r="BA241">
        <v>244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Y241*Source!I80</f>
        <v>1.9220000000000001E-4</v>
      </c>
      <c r="CY241">
        <f t="shared" si="64"/>
        <v>15620</v>
      </c>
      <c r="CZ241">
        <f t="shared" si="65"/>
        <v>15620</v>
      </c>
      <c r="DA241">
        <f t="shared" si="66"/>
        <v>1</v>
      </c>
      <c r="DB241">
        <f t="shared" si="67"/>
        <v>4.84</v>
      </c>
      <c r="DC241">
        <f t="shared" si="68"/>
        <v>0</v>
      </c>
    </row>
    <row r="242" spans="1:107" x14ac:dyDescent="0.2">
      <c r="A242">
        <f>ROW(Source!A80)</f>
        <v>80</v>
      </c>
      <c r="B242">
        <v>16856227</v>
      </c>
      <c r="C242">
        <v>16856542</v>
      </c>
      <c r="D242">
        <v>15204663</v>
      </c>
      <c r="E242">
        <v>1</v>
      </c>
      <c r="F242">
        <v>1</v>
      </c>
      <c r="G242">
        <v>1</v>
      </c>
      <c r="H242">
        <v>3</v>
      </c>
      <c r="I242" t="s">
        <v>369</v>
      </c>
      <c r="J242" t="s">
        <v>370</v>
      </c>
      <c r="K242" t="s">
        <v>371</v>
      </c>
      <c r="L242">
        <v>1348</v>
      </c>
      <c r="N242">
        <v>1009</v>
      </c>
      <c r="O242" t="s">
        <v>37</v>
      </c>
      <c r="P242" t="s">
        <v>37</v>
      </c>
      <c r="Q242">
        <v>1000</v>
      </c>
      <c r="W242">
        <v>0</v>
      </c>
      <c r="X242">
        <v>-639604785</v>
      </c>
      <c r="Y242">
        <v>5.9999999999999995E-4</v>
      </c>
      <c r="AA242">
        <v>9420</v>
      </c>
      <c r="AB242">
        <v>0</v>
      </c>
      <c r="AC242">
        <v>0</v>
      </c>
      <c r="AD242">
        <v>0</v>
      </c>
      <c r="AE242">
        <v>9420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5.9999999999999995E-4</v>
      </c>
      <c r="AU242" t="s">
        <v>6</v>
      </c>
      <c r="AV242">
        <v>0</v>
      </c>
      <c r="AW242">
        <v>2</v>
      </c>
      <c r="AX242">
        <v>16856581</v>
      </c>
      <c r="AY242">
        <v>1</v>
      </c>
      <c r="AZ242">
        <v>0</v>
      </c>
      <c r="BA242">
        <v>245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Y242*Source!I80</f>
        <v>3.7199999999999999E-4</v>
      </c>
      <c r="CY242">
        <f t="shared" si="64"/>
        <v>9420</v>
      </c>
      <c r="CZ242">
        <f t="shared" si="65"/>
        <v>9420</v>
      </c>
      <c r="DA242">
        <f t="shared" si="66"/>
        <v>1</v>
      </c>
      <c r="DB242">
        <f t="shared" si="67"/>
        <v>5.65</v>
      </c>
      <c r="DC242">
        <f t="shared" si="68"/>
        <v>0</v>
      </c>
    </row>
    <row r="243" spans="1:107" x14ac:dyDescent="0.2">
      <c r="A243">
        <f>ROW(Source!A81)</f>
        <v>81</v>
      </c>
      <c r="B243">
        <v>16856228</v>
      </c>
      <c r="C243">
        <v>16856542</v>
      </c>
      <c r="D243">
        <v>15430767</v>
      </c>
      <c r="E243">
        <v>1</v>
      </c>
      <c r="F243">
        <v>1</v>
      </c>
      <c r="G243">
        <v>1</v>
      </c>
      <c r="H243">
        <v>1</v>
      </c>
      <c r="I243" t="s">
        <v>399</v>
      </c>
      <c r="J243" t="s">
        <v>6</v>
      </c>
      <c r="K243" t="s">
        <v>400</v>
      </c>
      <c r="L243">
        <v>1191</v>
      </c>
      <c r="N243">
        <v>1013</v>
      </c>
      <c r="O243" t="s">
        <v>313</v>
      </c>
      <c r="P243" t="s">
        <v>313</v>
      </c>
      <c r="Q243">
        <v>1</v>
      </c>
      <c r="W243">
        <v>0</v>
      </c>
      <c r="X243">
        <v>-400197608</v>
      </c>
      <c r="Y243">
        <v>58.408499999999997</v>
      </c>
      <c r="AA243">
        <v>0</v>
      </c>
      <c r="AB243">
        <v>0</v>
      </c>
      <c r="AC243">
        <v>0</v>
      </c>
      <c r="AD243">
        <v>57.75</v>
      </c>
      <c r="AE243">
        <v>0</v>
      </c>
      <c r="AF243">
        <v>0</v>
      </c>
      <c r="AG243">
        <v>0</v>
      </c>
      <c r="AH243">
        <v>8.5299999999999994</v>
      </c>
      <c r="AI243">
        <v>1</v>
      </c>
      <c r="AJ243">
        <v>1</v>
      </c>
      <c r="AK243">
        <v>1</v>
      </c>
      <c r="AL243">
        <v>6.77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50.79</v>
      </c>
      <c r="AU243" t="s">
        <v>57</v>
      </c>
      <c r="AV243">
        <v>1</v>
      </c>
      <c r="AW243">
        <v>2</v>
      </c>
      <c r="AX243">
        <v>16856563</v>
      </c>
      <c r="AY243">
        <v>1</v>
      </c>
      <c r="AZ243">
        <v>0</v>
      </c>
      <c r="BA243">
        <v>246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Y243*Source!I81</f>
        <v>36.213269999999994</v>
      </c>
      <c r="CY243">
        <f>AD243</f>
        <v>57.75</v>
      </c>
      <c r="CZ243">
        <f>AH243</f>
        <v>8.5299999999999994</v>
      </c>
      <c r="DA243">
        <f>AL243</f>
        <v>6.77</v>
      </c>
      <c r="DB243">
        <f>ROUND((ROUND(AT243*CZ243,2)*1.15),6)</f>
        <v>498.226</v>
      </c>
      <c r="DC243">
        <f>ROUND((ROUND(AT243*AG243,2)*1.15),6)</f>
        <v>0</v>
      </c>
    </row>
    <row r="244" spans="1:107" x14ac:dyDescent="0.2">
      <c r="A244">
        <f>ROW(Source!A81)</f>
        <v>81</v>
      </c>
      <c r="B244">
        <v>16856228</v>
      </c>
      <c r="C244">
        <v>16856542</v>
      </c>
      <c r="D244">
        <v>15430395</v>
      </c>
      <c r="E244">
        <v>1</v>
      </c>
      <c r="F244">
        <v>1</v>
      </c>
      <c r="G244">
        <v>1</v>
      </c>
      <c r="H244">
        <v>1</v>
      </c>
      <c r="I244" t="s">
        <v>316</v>
      </c>
      <c r="J244" t="s">
        <v>6</v>
      </c>
      <c r="K244" t="s">
        <v>317</v>
      </c>
      <c r="L244">
        <v>1191</v>
      </c>
      <c r="N244">
        <v>1013</v>
      </c>
      <c r="O244" t="s">
        <v>313</v>
      </c>
      <c r="P244" t="s">
        <v>313</v>
      </c>
      <c r="Q244">
        <v>1</v>
      </c>
      <c r="W244">
        <v>0</v>
      </c>
      <c r="X244">
        <v>-1417349443</v>
      </c>
      <c r="Y244">
        <v>0.31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6.77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0.31</v>
      </c>
      <c r="AU244" t="s">
        <v>6</v>
      </c>
      <c r="AV244">
        <v>2</v>
      </c>
      <c r="AW244">
        <v>2</v>
      </c>
      <c r="AX244">
        <v>16856564</v>
      </c>
      <c r="AY244">
        <v>1</v>
      </c>
      <c r="AZ244">
        <v>2048</v>
      </c>
      <c r="BA244">
        <v>247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Y244*Source!I81</f>
        <v>0.19220000000000001</v>
      </c>
      <c r="CY244">
        <f>AD244</f>
        <v>0</v>
      </c>
      <c r="CZ244">
        <f>AH244</f>
        <v>0</v>
      </c>
      <c r="DA244">
        <f>AL244</f>
        <v>1</v>
      </c>
      <c r="DB244">
        <f>ROUND(ROUND(AT244*CZ244,2),6)</f>
        <v>0</v>
      </c>
      <c r="DC244">
        <f>ROUND(ROUND(AT244*AG244,2),6)</f>
        <v>0</v>
      </c>
    </row>
    <row r="245" spans="1:107" x14ac:dyDescent="0.2">
      <c r="A245">
        <f>ROW(Source!A81)</f>
        <v>81</v>
      </c>
      <c r="B245">
        <v>16856228</v>
      </c>
      <c r="C245">
        <v>16856542</v>
      </c>
      <c r="D245">
        <v>15247680</v>
      </c>
      <c r="E245">
        <v>1</v>
      </c>
      <c r="F245">
        <v>1</v>
      </c>
      <c r="G245">
        <v>1</v>
      </c>
      <c r="H245">
        <v>2</v>
      </c>
      <c r="I245" t="s">
        <v>324</v>
      </c>
      <c r="J245" t="s">
        <v>325</v>
      </c>
      <c r="K245" t="s">
        <v>326</v>
      </c>
      <c r="L245">
        <v>1368</v>
      </c>
      <c r="N245">
        <v>1011</v>
      </c>
      <c r="O245" t="s">
        <v>321</v>
      </c>
      <c r="P245" t="s">
        <v>321</v>
      </c>
      <c r="Q245">
        <v>1</v>
      </c>
      <c r="W245">
        <v>0</v>
      </c>
      <c r="X245">
        <v>-1718674368</v>
      </c>
      <c r="Y245">
        <v>0.15</v>
      </c>
      <c r="AA245">
        <v>0</v>
      </c>
      <c r="AB245">
        <v>758.17</v>
      </c>
      <c r="AC245">
        <v>13.5</v>
      </c>
      <c r="AD245">
        <v>0</v>
      </c>
      <c r="AE245">
        <v>0</v>
      </c>
      <c r="AF245">
        <v>111.99</v>
      </c>
      <c r="AG245">
        <v>13.5</v>
      </c>
      <c r="AH245">
        <v>0</v>
      </c>
      <c r="AI245">
        <v>1</v>
      </c>
      <c r="AJ245">
        <v>6.77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0.12</v>
      </c>
      <c r="AU245" t="s">
        <v>56</v>
      </c>
      <c r="AV245">
        <v>0</v>
      </c>
      <c r="AW245">
        <v>2</v>
      </c>
      <c r="AX245">
        <v>16856565</v>
      </c>
      <c r="AY245">
        <v>1</v>
      </c>
      <c r="AZ245">
        <v>0</v>
      </c>
      <c r="BA245">
        <v>248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Y245*Source!I81</f>
        <v>9.2999999999999999E-2</v>
      </c>
      <c r="CY245">
        <f>AB245</f>
        <v>758.17</v>
      </c>
      <c r="CZ245">
        <f>AF245</f>
        <v>111.99</v>
      </c>
      <c r="DA245">
        <f>AJ245</f>
        <v>6.77</v>
      </c>
      <c r="DB245">
        <f>ROUND((ROUND(AT245*CZ245,2)*1.25),6)</f>
        <v>16.8</v>
      </c>
      <c r="DC245">
        <f>ROUND((ROUND(AT245*AG245,2)*1.25),6)</f>
        <v>2.0249999999999999</v>
      </c>
    </row>
    <row r="246" spans="1:107" x14ac:dyDescent="0.2">
      <c r="A246">
        <f>ROW(Source!A81)</f>
        <v>81</v>
      </c>
      <c r="B246">
        <v>16856228</v>
      </c>
      <c r="C246">
        <v>16856542</v>
      </c>
      <c r="D246">
        <v>15247880</v>
      </c>
      <c r="E246">
        <v>1</v>
      </c>
      <c r="F246">
        <v>1</v>
      </c>
      <c r="G246">
        <v>1</v>
      </c>
      <c r="H246">
        <v>2</v>
      </c>
      <c r="I246" t="s">
        <v>424</v>
      </c>
      <c r="J246" t="s">
        <v>425</v>
      </c>
      <c r="K246" t="s">
        <v>426</v>
      </c>
      <c r="L246">
        <v>1368</v>
      </c>
      <c r="N246">
        <v>1011</v>
      </c>
      <c r="O246" t="s">
        <v>321</v>
      </c>
      <c r="P246" t="s">
        <v>321</v>
      </c>
      <c r="Q246">
        <v>1</v>
      </c>
      <c r="W246">
        <v>0</v>
      </c>
      <c r="X246">
        <v>1544661785</v>
      </c>
      <c r="Y246">
        <v>13.1625</v>
      </c>
      <c r="AA246">
        <v>0</v>
      </c>
      <c r="AB246">
        <v>46.71</v>
      </c>
      <c r="AC246">
        <v>0</v>
      </c>
      <c r="AD246">
        <v>0</v>
      </c>
      <c r="AE246">
        <v>0</v>
      </c>
      <c r="AF246">
        <v>6.9</v>
      </c>
      <c r="AG246">
        <v>0</v>
      </c>
      <c r="AH246">
        <v>0</v>
      </c>
      <c r="AI246">
        <v>1</v>
      </c>
      <c r="AJ246">
        <v>6.77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10.53</v>
      </c>
      <c r="AU246" t="s">
        <v>56</v>
      </c>
      <c r="AV246">
        <v>0</v>
      </c>
      <c r="AW246">
        <v>2</v>
      </c>
      <c r="AX246">
        <v>16856566</v>
      </c>
      <c r="AY246">
        <v>1</v>
      </c>
      <c r="AZ246">
        <v>0</v>
      </c>
      <c r="BA246">
        <v>249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Y246*Source!I81</f>
        <v>8.1607500000000002</v>
      </c>
      <c r="CY246">
        <f>AB246</f>
        <v>46.71</v>
      </c>
      <c r="CZ246">
        <f>AF246</f>
        <v>6.9</v>
      </c>
      <c r="DA246">
        <f>AJ246</f>
        <v>6.77</v>
      </c>
      <c r="DB246">
        <f>ROUND((ROUND(AT246*CZ246,2)*1.25),6)</f>
        <v>90.825000000000003</v>
      </c>
      <c r="DC246">
        <f>ROUND((ROUND(AT246*AG246,2)*1.25),6)</f>
        <v>0</v>
      </c>
    </row>
    <row r="247" spans="1:107" x14ac:dyDescent="0.2">
      <c r="A247">
        <f>ROW(Source!A81)</f>
        <v>81</v>
      </c>
      <c r="B247">
        <v>16856228</v>
      </c>
      <c r="C247">
        <v>16856542</v>
      </c>
      <c r="D247">
        <v>15249073</v>
      </c>
      <c r="E247">
        <v>1</v>
      </c>
      <c r="F247">
        <v>1</v>
      </c>
      <c r="G247">
        <v>1</v>
      </c>
      <c r="H247">
        <v>2</v>
      </c>
      <c r="I247" t="s">
        <v>330</v>
      </c>
      <c r="J247" t="s">
        <v>331</v>
      </c>
      <c r="K247" t="s">
        <v>332</v>
      </c>
      <c r="L247">
        <v>1368</v>
      </c>
      <c r="N247">
        <v>1011</v>
      </c>
      <c r="O247" t="s">
        <v>321</v>
      </c>
      <c r="P247" t="s">
        <v>321</v>
      </c>
      <c r="Q247">
        <v>1</v>
      </c>
      <c r="W247">
        <v>0</v>
      </c>
      <c r="X247">
        <v>1372534845</v>
      </c>
      <c r="Y247">
        <v>0.23749999999999999</v>
      </c>
      <c r="AA247">
        <v>0</v>
      </c>
      <c r="AB247">
        <v>444.86</v>
      </c>
      <c r="AC247">
        <v>11.6</v>
      </c>
      <c r="AD247">
        <v>0</v>
      </c>
      <c r="AE247">
        <v>0</v>
      </c>
      <c r="AF247">
        <v>65.709999999999994</v>
      </c>
      <c r="AG247">
        <v>11.6</v>
      </c>
      <c r="AH247">
        <v>0</v>
      </c>
      <c r="AI247">
        <v>1</v>
      </c>
      <c r="AJ247">
        <v>6.77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0.19</v>
      </c>
      <c r="AU247" t="s">
        <v>56</v>
      </c>
      <c r="AV247">
        <v>0</v>
      </c>
      <c r="AW247">
        <v>2</v>
      </c>
      <c r="AX247">
        <v>16856567</v>
      </c>
      <c r="AY247">
        <v>1</v>
      </c>
      <c r="AZ247">
        <v>0</v>
      </c>
      <c r="BA247">
        <v>250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Y247*Source!I81</f>
        <v>0.14724999999999999</v>
      </c>
      <c r="CY247">
        <f>AB247</f>
        <v>444.86</v>
      </c>
      <c r="CZ247">
        <f>AF247</f>
        <v>65.709999999999994</v>
      </c>
      <c r="DA247">
        <f>AJ247</f>
        <v>6.77</v>
      </c>
      <c r="DB247">
        <f>ROUND((ROUND(AT247*CZ247,2)*1.25),6)</f>
        <v>15.6</v>
      </c>
      <c r="DC247">
        <f>ROUND((ROUND(AT247*AG247,2)*1.25),6)</f>
        <v>2.75</v>
      </c>
    </row>
    <row r="248" spans="1:107" x14ac:dyDescent="0.2">
      <c r="A248">
        <f>ROW(Source!A81)</f>
        <v>81</v>
      </c>
      <c r="B248">
        <v>16856228</v>
      </c>
      <c r="C248">
        <v>16856542</v>
      </c>
      <c r="D248">
        <v>15249308</v>
      </c>
      <c r="E248">
        <v>1</v>
      </c>
      <c r="F248">
        <v>1</v>
      </c>
      <c r="G248">
        <v>1</v>
      </c>
      <c r="H248">
        <v>2</v>
      </c>
      <c r="I248" t="s">
        <v>333</v>
      </c>
      <c r="J248" t="s">
        <v>334</v>
      </c>
      <c r="K248" t="s">
        <v>335</v>
      </c>
      <c r="L248">
        <v>1368</v>
      </c>
      <c r="N248">
        <v>1011</v>
      </c>
      <c r="O248" t="s">
        <v>321</v>
      </c>
      <c r="P248" t="s">
        <v>321</v>
      </c>
      <c r="Q248">
        <v>1</v>
      </c>
      <c r="W248">
        <v>0</v>
      </c>
      <c r="X248">
        <v>792402865</v>
      </c>
      <c r="Y248">
        <v>2.3250000000000002</v>
      </c>
      <c r="AA248">
        <v>0</v>
      </c>
      <c r="AB248">
        <v>8.1199999999999992</v>
      </c>
      <c r="AC248">
        <v>0</v>
      </c>
      <c r="AD248">
        <v>0</v>
      </c>
      <c r="AE248">
        <v>0</v>
      </c>
      <c r="AF248">
        <v>1.2</v>
      </c>
      <c r="AG248">
        <v>0</v>
      </c>
      <c r="AH248">
        <v>0</v>
      </c>
      <c r="AI248">
        <v>1</v>
      </c>
      <c r="AJ248">
        <v>6.77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1.86</v>
      </c>
      <c r="AU248" t="s">
        <v>56</v>
      </c>
      <c r="AV248">
        <v>0</v>
      </c>
      <c r="AW248">
        <v>2</v>
      </c>
      <c r="AX248">
        <v>16856568</v>
      </c>
      <c r="AY248">
        <v>1</v>
      </c>
      <c r="AZ248">
        <v>0</v>
      </c>
      <c r="BA248">
        <v>251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Y248*Source!I81</f>
        <v>1.4415</v>
      </c>
      <c r="CY248">
        <f>AB248</f>
        <v>8.1199999999999992</v>
      </c>
      <c r="CZ248">
        <f>AF248</f>
        <v>1.2</v>
      </c>
      <c r="DA248">
        <f>AJ248</f>
        <v>6.77</v>
      </c>
      <c r="DB248">
        <f>ROUND((ROUND(AT248*CZ248,2)*1.25),6)</f>
        <v>2.7875000000000001</v>
      </c>
      <c r="DC248">
        <f>ROUND((ROUND(AT248*AG248,2)*1.25),6)</f>
        <v>0</v>
      </c>
    </row>
    <row r="249" spans="1:107" x14ac:dyDescent="0.2">
      <c r="A249">
        <f>ROW(Source!A81)</f>
        <v>81</v>
      </c>
      <c r="B249">
        <v>16856228</v>
      </c>
      <c r="C249">
        <v>16856542</v>
      </c>
      <c r="D249">
        <v>15249355</v>
      </c>
      <c r="E249">
        <v>1</v>
      </c>
      <c r="F249">
        <v>1</v>
      </c>
      <c r="G249">
        <v>1</v>
      </c>
      <c r="H249">
        <v>2</v>
      </c>
      <c r="I249" t="s">
        <v>336</v>
      </c>
      <c r="J249" t="s">
        <v>337</v>
      </c>
      <c r="K249" t="s">
        <v>338</v>
      </c>
      <c r="L249">
        <v>1368</v>
      </c>
      <c r="N249">
        <v>1011</v>
      </c>
      <c r="O249" t="s">
        <v>321</v>
      </c>
      <c r="P249" t="s">
        <v>321</v>
      </c>
      <c r="Q249">
        <v>1</v>
      </c>
      <c r="W249">
        <v>0</v>
      </c>
      <c r="X249">
        <v>1323835807</v>
      </c>
      <c r="Y249">
        <v>2.5374999999999996</v>
      </c>
      <c r="AA249">
        <v>0</v>
      </c>
      <c r="AB249">
        <v>83.34</v>
      </c>
      <c r="AC249">
        <v>0</v>
      </c>
      <c r="AD249">
        <v>0</v>
      </c>
      <c r="AE249">
        <v>0</v>
      </c>
      <c r="AF249">
        <v>12.31</v>
      </c>
      <c r="AG249">
        <v>0</v>
      </c>
      <c r="AH249">
        <v>0</v>
      </c>
      <c r="AI249">
        <v>1</v>
      </c>
      <c r="AJ249">
        <v>6.77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2.0299999999999998</v>
      </c>
      <c r="AU249" t="s">
        <v>56</v>
      </c>
      <c r="AV249">
        <v>0</v>
      </c>
      <c r="AW249">
        <v>2</v>
      </c>
      <c r="AX249">
        <v>16856569</v>
      </c>
      <c r="AY249">
        <v>1</v>
      </c>
      <c r="AZ249">
        <v>0</v>
      </c>
      <c r="BA249">
        <v>252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Y249*Source!I81</f>
        <v>1.5732499999999998</v>
      </c>
      <c r="CY249">
        <f>AB249</f>
        <v>83.34</v>
      </c>
      <c r="CZ249">
        <f>AF249</f>
        <v>12.31</v>
      </c>
      <c r="DA249">
        <f>AJ249</f>
        <v>6.77</v>
      </c>
      <c r="DB249">
        <f>ROUND((ROUND(AT249*CZ249,2)*1.25),6)</f>
        <v>31.237500000000001</v>
      </c>
      <c r="DC249">
        <f>ROUND((ROUND(AT249*AG249,2)*1.25),6)</f>
        <v>0</v>
      </c>
    </row>
    <row r="250" spans="1:107" x14ac:dyDescent="0.2">
      <c r="A250">
        <f>ROW(Source!A81)</f>
        <v>81</v>
      </c>
      <c r="B250">
        <v>16856228</v>
      </c>
      <c r="C250">
        <v>16856542</v>
      </c>
      <c r="D250">
        <v>15165653</v>
      </c>
      <c r="E250">
        <v>1</v>
      </c>
      <c r="F250">
        <v>1</v>
      </c>
      <c r="G250">
        <v>1</v>
      </c>
      <c r="H250">
        <v>3</v>
      </c>
      <c r="I250" t="s">
        <v>339</v>
      </c>
      <c r="J250" t="s">
        <v>340</v>
      </c>
      <c r="K250" t="s">
        <v>341</v>
      </c>
      <c r="L250">
        <v>1339</v>
      </c>
      <c r="N250">
        <v>1007</v>
      </c>
      <c r="O250" t="s">
        <v>107</v>
      </c>
      <c r="P250" t="s">
        <v>107</v>
      </c>
      <c r="Q250">
        <v>1</v>
      </c>
      <c r="W250">
        <v>0</v>
      </c>
      <c r="X250">
        <v>1262771840</v>
      </c>
      <c r="Y250">
        <v>1.5</v>
      </c>
      <c r="AA250">
        <v>42.11</v>
      </c>
      <c r="AB250">
        <v>0</v>
      </c>
      <c r="AC250">
        <v>0</v>
      </c>
      <c r="AD250">
        <v>0</v>
      </c>
      <c r="AE250">
        <v>6.22</v>
      </c>
      <c r="AF250">
        <v>0</v>
      </c>
      <c r="AG250">
        <v>0</v>
      </c>
      <c r="AH250">
        <v>0</v>
      </c>
      <c r="AI250">
        <v>6.77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1.5</v>
      </c>
      <c r="AU250" t="s">
        <v>6</v>
      </c>
      <c r="AV250">
        <v>0</v>
      </c>
      <c r="AW250">
        <v>2</v>
      </c>
      <c r="AX250">
        <v>16856570</v>
      </c>
      <c r="AY250">
        <v>1</v>
      </c>
      <c r="AZ250">
        <v>0</v>
      </c>
      <c r="BA250">
        <v>253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Y250*Source!I81</f>
        <v>0.92999999999999994</v>
      </c>
      <c r="CY250">
        <f t="shared" ref="CY250:CY262" si="69">AA250</f>
        <v>42.11</v>
      </c>
      <c r="CZ250">
        <f t="shared" ref="CZ250:CZ262" si="70">AE250</f>
        <v>6.22</v>
      </c>
      <c r="DA250">
        <f t="shared" ref="DA250:DA262" si="71">AI250</f>
        <v>6.77</v>
      </c>
      <c r="DB250">
        <f t="shared" ref="DB250:DB266" si="72">ROUND(ROUND(AT250*CZ250,2),6)</f>
        <v>9.33</v>
      </c>
      <c r="DC250">
        <f t="shared" ref="DC250:DC266" si="73">ROUND(ROUND(AT250*AG250,2),6)</f>
        <v>0</v>
      </c>
    </row>
    <row r="251" spans="1:107" x14ac:dyDescent="0.2">
      <c r="A251">
        <f>ROW(Source!A81)</f>
        <v>81</v>
      </c>
      <c r="B251">
        <v>16856228</v>
      </c>
      <c r="C251">
        <v>16856542</v>
      </c>
      <c r="D251">
        <v>15165660</v>
      </c>
      <c r="E251">
        <v>1</v>
      </c>
      <c r="F251">
        <v>1</v>
      </c>
      <c r="G251">
        <v>1</v>
      </c>
      <c r="H251">
        <v>3</v>
      </c>
      <c r="I251" t="s">
        <v>342</v>
      </c>
      <c r="J251" t="s">
        <v>343</v>
      </c>
      <c r="K251" t="s">
        <v>344</v>
      </c>
      <c r="L251">
        <v>1346</v>
      </c>
      <c r="N251">
        <v>1009</v>
      </c>
      <c r="O251" t="s">
        <v>129</v>
      </c>
      <c r="P251" t="s">
        <v>129</v>
      </c>
      <c r="Q251">
        <v>1</v>
      </c>
      <c r="W251">
        <v>0</v>
      </c>
      <c r="X251">
        <v>1721895514</v>
      </c>
      <c r="Y251">
        <v>0.45</v>
      </c>
      <c r="AA251">
        <v>41.23</v>
      </c>
      <c r="AB251">
        <v>0</v>
      </c>
      <c r="AC251">
        <v>0</v>
      </c>
      <c r="AD251">
        <v>0</v>
      </c>
      <c r="AE251">
        <v>6.09</v>
      </c>
      <c r="AF251">
        <v>0</v>
      </c>
      <c r="AG251">
        <v>0</v>
      </c>
      <c r="AH251">
        <v>0</v>
      </c>
      <c r="AI251">
        <v>6.77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0.45</v>
      </c>
      <c r="AU251" t="s">
        <v>6</v>
      </c>
      <c r="AV251">
        <v>0</v>
      </c>
      <c r="AW251">
        <v>2</v>
      </c>
      <c r="AX251">
        <v>16856571</v>
      </c>
      <c r="AY251">
        <v>1</v>
      </c>
      <c r="AZ251">
        <v>0</v>
      </c>
      <c r="BA251">
        <v>254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Y251*Source!I81</f>
        <v>0.27900000000000003</v>
      </c>
      <c r="CY251">
        <f t="shared" si="69"/>
        <v>41.23</v>
      </c>
      <c r="CZ251">
        <f t="shared" si="70"/>
        <v>6.09</v>
      </c>
      <c r="DA251">
        <f t="shared" si="71"/>
        <v>6.77</v>
      </c>
      <c r="DB251">
        <f t="shared" si="72"/>
        <v>2.74</v>
      </c>
      <c r="DC251">
        <f t="shared" si="73"/>
        <v>0</v>
      </c>
    </row>
    <row r="252" spans="1:107" x14ac:dyDescent="0.2">
      <c r="A252">
        <f>ROW(Source!A81)</f>
        <v>81</v>
      </c>
      <c r="B252">
        <v>16856228</v>
      </c>
      <c r="C252">
        <v>16856542</v>
      </c>
      <c r="D252">
        <v>15168753</v>
      </c>
      <c r="E252">
        <v>1</v>
      </c>
      <c r="F252">
        <v>1</v>
      </c>
      <c r="G252">
        <v>1</v>
      </c>
      <c r="H252">
        <v>3</v>
      </c>
      <c r="I252" t="s">
        <v>345</v>
      </c>
      <c r="J252" t="s">
        <v>346</v>
      </c>
      <c r="K252" t="s">
        <v>347</v>
      </c>
      <c r="L252">
        <v>1348</v>
      </c>
      <c r="N252">
        <v>1009</v>
      </c>
      <c r="O252" t="s">
        <v>37</v>
      </c>
      <c r="P252" t="s">
        <v>37</v>
      </c>
      <c r="Q252">
        <v>1000</v>
      </c>
      <c r="W252">
        <v>0</v>
      </c>
      <c r="X252">
        <v>1225357214</v>
      </c>
      <c r="Y252">
        <v>1.4E-3</v>
      </c>
      <c r="AA252">
        <v>72770.73</v>
      </c>
      <c r="AB252">
        <v>0</v>
      </c>
      <c r="AC252">
        <v>0</v>
      </c>
      <c r="AD252">
        <v>0</v>
      </c>
      <c r="AE252">
        <v>10749</v>
      </c>
      <c r="AF252">
        <v>0</v>
      </c>
      <c r="AG252">
        <v>0</v>
      </c>
      <c r="AH252">
        <v>0</v>
      </c>
      <c r="AI252">
        <v>6.77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1.4E-3</v>
      </c>
      <c r="AU252" t="s">
        <v>6</v>
      </c>
      <c r="AV252">
        <v>0</v>
      </c>
      <c r="AW252">
        <v>2</v>
      </c>
      <c r="AX252">
        <v>16856572</v>
      </c>
      <c r="AY252">
        <v>1</v>
      </c>
      <c r="AZ252">
        <v>0</v>
      </c>
      <c r="BA252">
        <v>255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Y252*Source!I81</f>
        <v>8.6799999999999996E-4</v>
      </c>
      <c r="CY252">
        <f t="shared" si="69"/>
        <v>72770.73</v>
      </c>
      <c r="CZ252">
        <f t="shared" si="70"/>
        <v>10749</v>
      </c>
      <c r="DA252">
        <f t="shared" si="71"/>
        <v>6.77</v>
      </c>
      <c r="DB252">
        <f t="shared" si="72"/>
        <v>15.05</v>
      </c>
      <c r="DC252">
        <f t="shared" si="73"/>
        <v>0</v>
      </c>
    </row>
    <row r="253" spans="1:107" x14ac:dyDescent="0.2">
      <c r="A253">
        <f>ROW(Source!A81)</f>
        <v>81</v>
      </c>
      <c r="B253">
        <v>16856228</v>
      </c>
      <c r="C253">
        <v>16856542</v>
      </c>
      <c r="D253">
        <v>15169941</v>
      </c>
      <c r="E253">
        <v>1</v>
      </c>
      <c r="F253">
        <v>1</v>
      </c>
      <c r="G253">
        <v>1</v>
      </c>
      <c r="H253">
        <v>3</v>
      </c>
      <c r="I253" t="s">
        <v>348</v>
      </c>
      <c r="J253" t="s">
        <v>349</v>
      </c>
      <c r="K253" t="s">
        <v>350</v>
      </c>
      <c r="L253">
        <v>1348</v>
      </c>
      <c r="N253">
        <v>1009</v>
      </c>
      <c r="O253" t="s">
        <v>37</v>
      </c>
      <c r="P253" t="s">
        <v>37</v>
      </c>
      <c r="Q253">
        <v>1000</v>
      </c>
      <c r="W253">
        <v>0</v>
      </c>
      <c r="X253">
        <v>-437906794</v>
      </c>
      <c r="Y253">
        <v>3.3E-3</v>
      </c>
      <c r="AA253">
        <v>61200.87</v>
      </c>
      <c r="AB253">
        <v>0</v>
      </c>
      <c r="AC253">
        <v>0</v>
      </c>
      <c r="AD253">
        <v>0</v>
      </c>
      <c r="AE253">
        <v>9040.01</v>
      </c>
      <c r="AF253">
        <v>0</v>
      </c>
      <c r="AG253">
        <v>0</v>
      </c>
      <c r="AH253">
        <v>0</v>
      </c>
      <c r="AI253">
        <v>6.77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3.3E-3</v>
      </c>
      <c r="AU253" t="s">
        <v>6</v>
      </c>
      <c r="AV253">
        <v>0</v>
      </c>
      <c r="AW253">
        <v>2</v>
      </c>
      <c r="AX253">
        <v>16856573</v>
      </c>
      <c r="AY253">
        <v>1</v>
      </c>
      <c r="AZ253">
        <v>0</v>
      </c>
      <c r="BA253">
        <v>256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Y253*Source!I81</f>
        <v>2.0460000000000001E-3</v>
      </c>
      <c r="CY253">
        <f t="shared" si="69"/>
        <v>61200.87</v>
      </c>
      <c r="CZ253">
        <f t="shared" si="70"/>
        <v>9040.01</v>
      </c>
      <c r="DA253">
        <f t="shared" si="71"/>
        <v>6.77</v>
      </c>
      <c r="DB253">
        <f t="shared" si="72"/>
        <v>29.83</v>
      </c>
      <c r="DC253">
        <f t="shared" si="73"/>
        <v>0</v>
      </c>
    </row>
    <row r="254" spans="1:107" x14ac:dyDescent="0.2">
      <c r="A254">
        <f>ROW(Source!A81)</f>
        <v>81</v>
      </c>
      <c r="B254">
        <v>16856228</v>
      </c>
      <c r="C254">
        <v>16856542</v>
      </c>
      <c r="D254">
        <v>15170039</v>
      </c>
      <c r="E254">
        <v>1</v>
      </c>
      <c r="F254">
        <v>1</v>
      </c>
      <c r="G254">
        <v>1</v>
      </c>
      <c r="H254">
        <v>3</v>
      </c>
      <c r="I254" t="s">
        <v>351</v>
      </c>
      <c r="J254" t="s">
        <v>352</v>
      </c>
      <c r="K254" t="s">
        <v>353</v>
      </c>
      <c r="L254">
        <v>1348</v>
      </c>
      <c r="N254">
        <v>1009</v>
      </c>
      <c r="O254" t="s">
        <v>37</v>
      </c>
      <c r="P254" t="s">
        <v>37</v>
      </c>
      <c r="Q254">
        <v>1000</v>
      </c>
      <c r="W254">
        <v>0</v>
      </c>
      <c r="X254">
        <v>1174701286</v>
      </c>
      <c r="Y254">
        <v>1.0000000000000001E-5</v>
      </c>
      <c r="AA254">
        <v>81091.06</v>
      </c>
      <c r="AB254">
        <v>0</v>
      </c>
      <c r="AC254">
        <v>0</v>
      </c>
      <c r="AD254">
        <v>0</v>
      </c>
      <c r="AE254">
        <v>11978</v>
      </c>
      <c r="AF254">
        <v>0</v>
      </c>
      <c r="AG254">
        <v>0</v>
      </c>
      <c r="AH254">
        <v>0</v>
      </c>
      <c r="AI254">
        <v>6.77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1.0000000000000001E-5</v>
      </c>
      <c r="AU254" t="s">
        <v>6</v>
      </c>
      <c r="AV254">
        <v>0</v>
      </c>
      <c r="AW254">
        <v>2</v>
      </c>
      <c r="AX254">
        <v>16856574</v>
      </c>
      <c r="AY254">
        <v>1</v>
      </c>
      <c r="AZ254">
        <v>0</v>
      </c>
      <c r="BA254">
        <v>257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Y254*Source!I81</f>
        <v>6.2000000000000008E-6</v>
      </c>
      <c r="CY254">
        <f t="shared" si="69"/>
        <v>81091.06</v>
      </c>
      <c r="CZ254">
        <f t="shared" si="70"/>
        <v>11978</v>
      </c>
      <c r="DA254">
        <f t="shared" si="71"/>
        <v>6.77</v>
      </c>
      <c r="DB254">
        <f t="shared" si="72"/>
        <v>0.12</v>
      </c>
      <c r="DC254">
        <f t="shared" si="73"/>
        <v>0</v>
      </c>
    </row>
    <row r="255" spans="1:107" x14ac:dyDescent="0.2">
      <c r="A255">
        <f>ROW(Source!A81)</f>
        <v>81</v>
      </c>
      <c r="B255">
        <v>16856228</v>
      </c>
      <c r="C255">
        <v>16856542</v>
      </c>
      <c r="D255">
        <v>15171021</v>
      </c>
      <c r="E255">
        <v>1</v>
      </c>
      <c r="F255">
        <v>1</v>
      </c>
      <c r="G255">
        <v>1</v>
      </c>
      <c r="H255">
        <v>3</v>
      </c>
      <c r="I255" t="s">
        <v>354</v>
      </c>
      <c r="J255" t="s">
        <v>355</v>
      </c>
      <c r="K255" t="s">
        <v>356</v>
      </c>
      <c r="L255">
        <v>1348</v>
      </c>
      <c r="N255">
        <v>1009</v>
      </c>
      <c r="O255" t="s">
        <v>37</v>
      </c>
      <c r="P255" t="s">
        <v>37</v>
      </c>
      <c r="Q255">
        <v>1000</v>
      </c>
      <c r="W255">
        <v>0</v>
      </c>
      <c r="X255">
        <v>-2116243625</v>
      </c>
      <c r="Y255">
        <v>1E-4</v>
      </c>
      <c r="AA255">
        <v>256583</v>
      </c>
      <c r="AB255">
        <v>0</v>
      </c>
      <c r="AC255">
        <v>0</v>
      </c>
      <c r="AD255">
        <v>0</v>
      </c>
      <c r="AE255">
        <v>37900</v>
      </c>
      <c r="AF255">
        <v>0</v>
      </c>
      <c r="AG255">
        <v>0</v>
      </c>
      <c r="AH255">
        <v>0</v>
      </c>
      <c r="AI255">
        <v>6.77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1E-4</v>
      </c>
      <c r="AU255" t="s">
        <v>6</v>
      </c>
      <c r="AV255">
        <v>0</v>
      </c>
      <c r="AW255">
        <v>2</v>
      </c>
      <c r="AX255">
        <v>16856575</v>
      </c>
      <c r="AY255">
        <v>1</v>
      </c>
      <c r="AZ255">
        <v>0</v>
      </c>
      <c r="BA255">
        <v>258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Y255*Source!I81</f>
        <v>6.2000000000000003E-5</v>
      </c>
      <c r="CY255">
        <f t="shared" si="69"/>
        <v>256583</v>
      </c>
      <c r="CZ255">
        <f t="shared" si="70"/>
        <v>37900</v>
      </c>
      <c r="DA255">
        <f t="shared" si="71"/>
        <v>6.77</v>
      </c>
      <c r="DB255">
        <f t="shared" si="72"/>
        <v>3.79</v>
      </c>
      <c r="DC255">
        <f t="shared" si="73"/>
        <v>0</v>
      </c>
    </row>
    <row r="256" spans="1:107" x14ac:dyDescent="0.2">
      <c r="A256">
        <f>ROW(Source!A81)</f>
        <v>81</v>
      </c>
      <c r="B256">
        <v>16856228</v>
      </c>
      <c r="C256">
        <v>16856542</v>
      </c>
      <c r="D256">
        <v>15161825</v>
      </c>
      <c r="E256">
        <v>17</v>
      </c>
      <c r="F256">
        <v>1</v>
      </c>
      <c r="G256">
        <v>1</v>
      </c>
      <c r="H256">
        <v>3</v>
      </c>
      <c r="I256" t="s">
        <v>161</v>
      </c>
      <c r="J256" t="s">
        <v>6</v>
      </c>
      <c r="K256" t="s">
        <v>162</v>
      </c>
      <c r="L256">
        <v>1348</v>
      </c>
      <c r="N256">
        <v>1009</v>
      </c>
      <c r="O256" t="s">
        <v>37</v>
      </c>
      <c r="P256" t="s">
        <v>37</v>
      </c>
      <c r="Q256">
        <v>1000</v>
      </c>
      <c r="W256">
        <v>0</v>
      </c>
      <c r="X256">
        <v>748648226</v>
      </c>
      <c r="Y256">
        <v>1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6.77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6</v>
      </c>
      <c r="AT256">
        <v>1</v>
      </c>
      <c r="AU256" t="s">
        <v>6</v>
      </c>
      <c r="AV256">
        <v>0</v>
      </c>
      <c r="AW256">
        <v>2</v>
      </c>
      <c r="AX256">
        <v>16856576</v>
      </c>
      <c r="AY256">
        <v>1</v>
      </c>
      <c r="AZ256">
        <v>0</v>
      </c>
      <c r="BA256">
        <v>259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Y256*Source!I81</f>
        <v>0.62</v>
      </c>
      <c r="CY256">
        <f t="shared" si="69"/>
        <v>0</v>
      </c>
      <c r="CZ256">
        <f t="shared" si="70"/>
        <v>0</v>
      </c>
      <c r="DA256">
        <f t="shared" si="71"/>
        <v>6.77</v>
      </c>
      <c r="DB256">
        <f t="shared" si="72"/>
        <v>0</v>
      </c>
      <c r="DC256">
        <f t="shared" si="73"/>
        <v>0</v>
      </c>
    </row>
    <row r="257" spans="1:107" x14ac:dyDescent="0.2">
      <c r="A257">
        <f>ROW(Source!A81)</f>
        <v>81</v>
      </c>
      <c r="B257">
        <v>16856228</v>
      </c>
      <c r="C257">
        <v>16856542</v>
      </c>
      <c r="D257">
        <v>15190794</v>
      </c>
      <c r="E257">
        <v>1</v>
      </c>
      <c r="F257">
        <v>1</v>
      </c>
      <c r="G257">
        <v>1</v>
      </c>
      <c r="H257">
        <v>3</v>
      </c>
      <c r="I257" t="s">
        <v>357</v>
      </c>
      <c r="J257" t="s">
        <v>358</v>
      </c>
      <c r="K257" t="s">
        <v>359</v>
      </c>
      <c r="L257">
        <v>1302</v>
      </c>
      <c r="N257">
        <v>1003</v>
      </c>
      <c r="O257" t="s">
        <v>152</v>
      </c>
      <c r="P257" t="s">
        <v>152</v>
      </c>
      <c r="Q257">
        <v>10</v>
      </c>
      <c r="W257">
        <v>0</v>
      </c>
      <c r="X257">
        <v>-1640127157</v>
      </c>
      <c r="Y257">
        <v>1.8700000000000001E-2</v>
      </c>
      <c r="AA257">
        <v>340.12</v>
      </c>
      <c r="AB257">
        <v>0</v>
      </c>
      <c r="AC257">
        <v>0</v>
      </c>
      <c r="AD257">
        <v>0</v>
      </c>
      <c r="AE257">
        <v>50.24</v>
      </c>
      <c r="AF257">
        <v>0</v>
      </c>
      <c r="AG257">
        <v>0</v>
      </c>
      <c r="AH257">
        <v>0</v>
      </c>
      <c r="AI257">
        <v>6.77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1.8700000000000001E-2</v>
      </c>
      <c r="AU257" t="s">
        <v>6</v>
      </c>
      <c r="AV257">
        <v>0</v>
      </c>
      <c r="AW257">
        <v>2</v>
      </c>
      <c r="AX257">
        <v>16856577</v>
      </c>
      <c r="AY257">
        <v>1</v>
      </c>
      <c r="AZ257">
        <v>0</v>
      </c>
      <c r="BA257">
        <v>260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Y257*Source!I81</f>
        <v>1.1594E-2</v>
      </c>
      <c r="CY257">
        <f t="shared" si="69"/>
        <v>340.12</v>
      </c>
      <c r="CZ257">
        <f t="shared" si="70"/>
        <v>50.24</v>
      </c>
      <c r="DA257">
        <f t="shared" si="71"/>
        <v>6.77</v>
      </c>
      <c r="DB257">
        <f t="shared" si="72"/>
        <v>0.94</v>
      </c>
      <c r="DC257">
        <f t="shared" si="73"/>
        <v>0</v>
      </c>
    </row>
    <row r="258" spans="1:107" x14ac:dyDescent="0.2">
      <c r="A258">
        <f>ROW(Source!A81)</f>
        <v>81</v>
      </c>
      <c r="B258">
        <v>16856228</v>
      </c>
      <c r="C258">
        <v>16856542</v>
      </c>
      <c r="D258">
        <v>15191153</v>
      </c>
      <c r="E258">
        <v>1</v>
      </c>
      <c r="F258">
        <v>1</v>
      </c>
      <c r="G258">
        <v>1</v>
      </c>
      <c r="H258">
        <v>3</v>
      </c>
      <c r="I258" t="s">
        <v>360</v>
      </c>
      <c r="J258" t="s">
        <v>361</v>
      </c>
      <c r="K258" t="s">
        <v>362</v>
      </c>
      <c r="L258">
        <v>1348</v>
      </c>
      <c r="N258">
        <v>1009</v>
      </c>
      <c r="O258" t="s">
        <v>37</v>
      </c>
      <c r="P258" t="s">
        <v>37</v>
      </c>
      <c r="Q258">
        <v>1000</v>
      </c>
      <c r="W258">
        <v>0</v>
      </c>
      <c r="X258">
        <v>-1396314973</v>
      </c>
      <c r="Y258">
        <v>3.0000000000000001E-5</v>
      </c>
      <c r="AA258">
        <v>30161.7</v>
      </c>
      <c r="AB258">
        <v>0</v>
      </c>
      <c r="AC258">
        <v>0</v>
      </c>
      <c r="AD258">
        <v>0</v>
      </c>
      <c r="AE258">
        <v>4455.2</v>
      </c>
      <c r="AF258">
        <v>0</v>
      </c>
      <c r="AG258">
        <v>0</v>
      </c>
      <c r="AH258">
        <v>0</v>
      </c>
      <c r="AI258">
        <v>6.77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3.0000000000000001E-5</v>
      </c>
      <c r="AU258" t="s">
        <v>6</v>
      </c>
      <c r="AV258">
        <v>0</v>
      </c>
      <c r="AW258">
        <v>2</v>
      </c>
      <c r="AX258">
        <v>16856578</v>
      </c>
      <c r="AY258">
        <v>1</v>
      </c>
      <c r="AZ258">
        <v>0</v>
      </c>
      <c r="BA258">
        <v>261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Y258*Source!I81</f>
        <v>1.8600000000000001E-5</v>
      </c>
      <c r="CY258">
        <f t="shared" si="69"/>
        <v>30161.7</v>
      </c>
      <c r="CZ258">
        <f t="shared" si="70"/>
        <v>4455.2</v>
      </c>
      <c r="DA258">
        <f t="shared" si="71"/>
        <v>6.77</v>
      </c>
      <c r="DB258">
        <f t="shared" si="72"/>
        <v>0.13</v>
      </c>
      <c r="DC258">
        <f t="shared" si="73"/>
        <v>0</v>
      </c>
    </row>
    <row r="259" spans="1:107" x14ac:dyDescent="0.2">
      <c r="A259">
        <f>ROW(Source!A81)</f>
        <v>81</v>
      </c>
      <c r="B259">
        <v>16856228</v>
      </c>
      <c r="C259">
        <v>16856542</v>
      </c>
      <c r="D259">
        <v>15191913</v>
      </c>
      <c r="E259">
        <v>1</v>
      </c>
      <c r="F259">
        <v>1</v>
      </c>
      <c r="G259">
        <v>1</v>
      </c>
      <c r="H259">
        <v>3</v>
      </c>
      <c r="I259" t="s">
        <v>363</v>
      </c>
      <c r="J259" t="s">
        <v>364</v>
      </c>
      <c r="K259" t="s">
        <v>365</v>
      </c>
      <c r="L259">
        <v>1348</v>
      </c>
      <c r="N259">
        <v>1009</v>
      </c>
      <c r="O259" t="s">
        <v>37</v>
      </c>
      <c r="P259" t="s">
        <v>37</v>
      </c>
      <c r="Q259">
        <v>1000</v>
      </c>
      <c r="W259">
        <v>0</v>
      </c>
      <c r="X259">
        <v>900832145</v>
      </c>
      <c r="Y259">
        <v>1.9400000000000001E-3</v>
      </c>
      <c r="AA259">
        <v>33308.400000000001</v>
      </c>
      <c r="AB259">
        <v>0</v>
      </c>
      <c r="AC259">
        <v>0</v>
      </c>
      <c r="AD259">
        <v>0</v>
      </c>
      <c r="AE259">
        <v>4920</v>
      </c>
      <c r="AF259">
        <v>0</v>
      </c>
      <c r="AG259">
        <v>0</v>
      </c>
      <c r="AH259">
        <v>0</v>
      </c>
      <c r="AI259">
        <v>6.77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1.9400000000000001E-3</v>
      </c>
      <c r="AU259" t="s">
        <v>6</v>
      </c>
      <c r="AV259">
        <v>0</v>
      </c>
      <c r="AW259">
        <v>2</v>
      </c>
      <c r="AX259">
        <v>16856579</v>
      </c>
      <c r="AY259">
        <v>1</v>
      </c>
      <c r="AZ259">
        <v>0</v>
      </c>
      <c r="BA259">
        <v>262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Y259*Source!I81</f>
        <v>1.2028E-3</v>
      </c>
      <c r="CY259">
        <f t="shared" si="69"/>
        <v>33308.400000000001</v>
      </c>
      <c r="CZ259">
        <f t="shared" si="70"/>
        <v>4920</v>
      </c>
      <c r="DA259">
        <f t="shared" si="71"/>
        <v>6.77</v>
      </c>
      <c r="DB259">
        <f t="shared" si="72"/>
        <v>9.5399999999999991</v>
      </c>
      <c r="DC259">
        <f t="shared" si="73"/>
        <v>0</v>
      </c>
    </row>
    <row r="260" spans="1:107" x14ac:dyDescent="0.2">
      <c r="A260">
        <f>ROW(Source!A81)</f>
        <v>81</v>
      </c>
      <c r="B260">
        <v>16856228</v>
      </c>
      <c r="C260">
        <v>16856542</v>
      </c>
      <c r="D260">
        <v>15192829</v>
      </c>
      <c r="E260">
        <v>1</v>
      </c>
      <c r="F260">
        <v>1</v>
      </c>
      <c r="G260">
        <v>1</v>
      </c>
      <c r="H260">
        <v>3</v>
      </c>
      <c r="I260" t="s">
        <v>164</v>
      </c>
      <c r="J260" t="s">
        <v>167</v>
      </c>
      <c r="K260" t="s">
        <v>165</v>
      </c>
      <c r="L260">
        <v>1354</v>
      </c>
      <c r="N260">
        <v>1010</v>
      </c>
      <c r="O260" t="s">
        <v>166</v>
      </c>
      <c r="P260" t="s">
        <v>166</v>
      </c>
      <c r="Q260">
        <v>1</v>
      </c>
      <c r="W260">
        <v>0</v>
      </c>
      <c r="X260">
        <v>-2146585498</v>
      </c>
      <c r="Y260">
        <v>22.580645000000001</v>
      </c>
      <c r="AA260">
        <v>12032.86</v>
      </c>
      <c r="AB260">
        <v>0</v>
      </c>
      <c r="AC260">
        <v>0</v>
      </c>
      <c r="AD260">
        <v>0</v>
      </c>
      <c r="AE260">
        <v>1777.38</v>
      </c>
      <c r="AF260">
        <v>0</v>
      </c>
      <c r="AG260">
        <v>0</v>
      </c>
      <c r="AH260">
        <v>0</v>
      </c>
      <c r="AI260">
        <v>6.77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6</v>
      </c>
      <c r="AT260">
        <v>22.580645000000001</v>
      </c>
      <c r="AU260" t="s">
        <v>6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Y260*Source!I81</f>
        <v>13.999999900000001</v>
      </c>
      <c r="CY260">
        <f t="shared" si="69"/>
        <v>12032.86</v>
      </c>
      <c r="CZ260">
        <f t="shared" si="70"/>
        <v>1777.38</v>
      </c>
      <c r="DA260">
        <f t="shared" si="71"/>
        <v>6.77</v>
      </c>
      <c r="DB260">
        <f t="shared" si="72"/>
        <v>40134.39</v>
      </c>
      <c r="DC260">
        <f t="shared" si="73"/>
        <v>0</v>
      </c>
    </row>
    <row r="261" spans="1:107" x14ac:dyDescent="0.2">
      <c r="A261">
        <f>ROW(Source!A81)</f>
        <v>81</v>
      </c>
      <c r="B261">
        <v>16856228</v>
      </c>
      <c r="C261">
        <v>16856542</v>
      </c>
      <c r="D261">
        <v>15203461</v>
      </c>
      <c r="E261">
        <v>1</v>
      </c>
      <c r="F261">
        <v>1</v>
      </c>
      <c r="G261">
        <v>1</v>
      </c>
      <c r="H261">
        <v>3</v>
      </c>
      <c r="I261" t="s">
        <v>366</v>
      </c>
      <c r="J261" t="s">
        <v>367</v>
      </c>
      <c r="K261" t="s">
        <v>368</v>
      </c>
      <c r="L261">
        <v>1348</v>
      </c>
      <c r="N261">
        <v>1009</v>
      </c>
      <c r="O261" t="s">
        <v>37</v>
      </c>
      <c r="P261" t="s">
        <v>37</v>
      </c>
      <c r="Q261">
        <v>1000</v>
      </c>
      <c r="W261">
        <v>0</v>
      </c>
      <c r="X261">
        <v>-1655298345</v>
      </c>
      <c r="Y261">
        <v>3.1E-4</v>
      </c>
      <c r="AA261">
        <v>105747.4</v>
      </c>
      <c r="AB261">
        <v>0</v>
      </c>
      <c r="AC261">
        <v>0</v>
      </c>
      <c r="AD261">
        <v>0</v>
      </c>
      <c r="AE261">
        <v>15620</v>
      </c>
      <c r="AF261">
        <v>0</v>
      </c>
      <c r="AG261">
        <v>0</v>
      </c>
      <c r="AH261">
        <v>0</v>
      </c>
      <c r="AI261">
        <v>6.77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3.1E-4</v>
      </c>
      <c r="AU261" t="s">
        <v>6</v>
      </c>
      <c r="AV261">
        <v>0</v>
      </c>
      <c r="AW261">
        <v>2</v>
      </c>
      <c r="AX261">
        <v>16856580</v>
      </c>
      <c r="AY261">
        <v>1</v>
      </c>
      <c r="AZ261">
        <v>0</v>
      </c>
      <c r="BA261">
        <v>263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Y261*Source!I81</f>
        <v>1.9220000000000001E-4</v>
      </c>
      <c r="CY261">
        <f t="shared" si="69"/>
        <v>105747.4</v>
      </c>
      <c r="CZ261">
        <f t="shared" si="70"/>
        <v>15620</v>
      </c>
      <c r="DA261">
        <f t="shared" si="71"/>
        <v>6.77</v>
      </c>
      <c r="DB261">
        <f t="shared" si="72"/>
        <v>4.84</v>
      </c>
      <c r="DC261">
        <f t="shared" si="73"/>
        <v>0</v>
      </c>
    </row>
    <row r="262" spans="1:107" x14ac:dyDescent="0.2">
      <c r="A262">
        <f>ROW(Source!A81)</f>
        <v>81</v>
      </c>
      <c r="B262">
        <v>16856228</v>
      </c>
      <c r="C262">
        <v>16856542</v>
      </c>
      <c r="D262">
        <v>15204663</v>
      </c>
      <c r="E262">
        <v>1</v>
      </c>
      <c r="F262">
        <v>1</v>
      </c>
      <c r="G262">
        <v>1</v>
      </c>
      <c r="H262">
        <v>3</v>
      </c>
      <c r="I262" t="s">
        <v>369</v>
      </c>
      <c r="J262" t="s">
        <v>370</v>
      </c>
      <c r="K262" t="s">
        <v>371</v>
      </c>
      <c r="L262">
        <v>1348</v>
      </c>
      <c r="N262">
        <v>1009</v>
      </c>
      <c r="O262" t="s">
        <v>37</v>
      </c>
      <c r="P262" t="s">
        <v>37</v>
      </c>
      <c r="Q262">
        <v>1000</v>
      </c>
      <c r="W262">
        <v>0</v>
      </c>
      <c r="X262">
        <v>-639604785</v>
      </c>
      <c r="Y262">
        <v>5.9999999999999995E-4</v>
      </c>
      <c r="AA262">
        <v>63773.4</v>
      </c>
      <c r="AB262">
        <v>0</v>
      </c>
      <c r="AC262">
        <v>0</v>
      </c>
      <c r="AD262">
        <v>0</v>
      </c>
      <c r="AE262">
        <v>9420</v>
      </c>
      <c r="AF262">
        <v>0</v>
      </c>
      <c r="AG262">
        <v>0</v>
      </c>
      <c r="AH262">
        <v>0</v>
      </c>
      <c r="AI262">
        <v>6.77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5.9999999999999995E-4</v>
      </c>
      <c r="AU262" t="s">
        <v>6</v>
      </c>
      <c r="AV262">
        <v>0</v>
      </c>
      <c r="AW262">
        <v>2</v>
      </c>
      <c r="AX262">
        <v>16856581</v>
      </c>
      <c r="AY262">
        <v>1</v>
      </c>
      <c r="AZ262">
        <v>0</v>
      </c>
      <c r="BA262">
        <v>264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Y262*Source!I81</f>
        <v>3.7199999999999999E-4</v>
      </c>
      <c r="CY262">
        <f t="shared" si="69"/>
        <v>63773.4</v>
      </c>
      <c r="CZ262">
        <f t="shared" si="70"/>
        <v>9420</v>
      </c>
      <c r="DA262">
        <f t="shared" si="71"/>
        <v>6.77</v>
      </c>
      <c r="DB262">
        <f t="shared" si="72"/>
        <v>5.65</v>
      </c>
      <c r="DC262">
        <f t="shared" si="73"/>
        <v>0</v>
      </c>
    </row>
    <row r="263" spans="1:107" x14ac:dyDescent="0.2">
      <c r="A263">
        <f>ROW(Source!A86)</f>
        <v>86</v>
      </c>
      <c r="B263">
        <v>16856227</v>
      </c>
      <c r="C263">
        <v>16856584</v>
      </c>
      <c r="D263">
        <v>15433629</v>
      </c>
      <c r="E263">
        <v>1</v>
      </c>
      <c r="F263">
        <v>1</v>
      </c>
      <c r="G263">
        <v>1</v>
      </c>
      <c r="H263">
        <v>1</v>
      </c>
      <c r="I263" t="s">
        <v>427</v>
      </c>
      <c r="J263" t="s">
        <v>6</v>
      </c>
      <c r="K263" t="s">
        <v>428</v>
      </c>
      <c r="L263">
        <v>1191</v>
      </c>
      <c r="N263">
        <v>1013</v>
      </c>
      <c r="O263" t="s">
        <v>313</v>
      </c>
      <c r="P263" t="s">
        <v>313</v>
      </c>
      <c r="Q263">
        <v>1</v>
      </c>
      <c r="W263">
        <v>0</v>
      </c>
      <c r="X263">
        <v>-576067263</v>
      </c>
      <c r="Y263">
        <v>1.03</v>
      </c>
      <c r="AA263">
        <v>0</v>
      </c>
      <c r="AB263">
        <v>0</v>
      </c>
      <c r="AC263">
        <v>0</v>
      </c>
      <c r="AD263">
        <v>7.19</v>
      </c>
      <c r="AE263">
        <v>0</v>
      </c>
      <c r="AF263">
        <v>0</v>
      </c>
      <c r="AG263">
        <v>0</v>
      </c>
      <c r="AH263">
        <v>7.19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1.03</v>
      </c>
      <c r="AU263" t="s">
        <v>6</v>
      </c>
      <c r="AV263">
        <v>1</v>
      </c>
      <c r="AW263">
        <v>2</v>
      </c>
      <c r="AX263">
        <v>16856587</v>
      </c>
      <c r="AY263">
        <v>1</v>
      </c>
      <c r="AZ263">
        <v>0</v>
      </c>
      <c r="BA263">
        <v>265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Y263*Source!I86</f>
        <v>23.2883</v>
      </c>
      <c r="CY263">
        <f>AD263</f>
        <v>7.19</v>
      </c>
      <c r="CZ263">
        <f>AH263</f>
        <v>7.19</v>
      </c>
      <c r="DA263">
        <f>AL263</f>
        <v>1</v>
      </c>
      <c r="DB263">
        <f t="shared" si="72"/>
        <v>7.41</v>
      </c>
      <c r="DC263">
        <f t="shared" si="73"/>
        <v>0</v>
      </c>
    </row>
    <row r="264" spans="1:107" x14ac:dyDescent="0.2">
      <c r="A264">
        <f>ROW(Source!A86)</f>
        <v>86</v>
      </c>
      <c r="B264">
        <v>16856227</v>
      </c>
      <c r="C264">
        <v>16856584</v>
      </c>
      <c r="D264">
        <v>15170984</v>
      </c>
      <c r="E264">
        <v>1</v>
      </c>
      <c r="F264">
        <v>1</v>
      </c>
      <c r="G264">
        <v>1</v>
      </c>
      <c r="H264">
        <v>3</v>
      </c>
      <c r="I264" t="s">
        <v>429</v>
      </c>
      <c r="J264" t="s">
        <v>430</v>
      </c>
      <c r="K264" t="s">
        <v>431</v>
      </c>
      <c r="L264">
        <v>1355</v>
      </c>
      <c r="N264">
        <v>1010</v>
      </c>
      <c r="O264" t="s">
        <v>395</v>
      </c>
      <c r="P264" t="s">
        <v>395</v>
      </c>
      <c r="Q264">
        <v>100</v>
      </c>
      <c r="W264">
        <v>0</v>
      </c>
      <c r="X264">
        <v>1092967459</v>
      </c>
      <c r="Y264">
        <v>0.2</v>
      </c>
      <c r="AA264">
        <v>82</v>
      </c>
      <c r="AB264">
        <v>0</v>
      </c>
      <c r="AC264">
        <v>0</v>
      </c>
      <c r="AD264">
        <v>0</v>
      </c>
      <c r="AE264">
        <v>82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0.2</v>
      </c>
      <c r="AU264" t="s">
        <v>6</v>
      </c>
      <c r="AV264">
        <v>0</v>
      </c>
      <c r="AW264">
        <v>2</v>
      </c>
      <c r="AX264">
        <v>16856588</v>
      </c>
      <c r="AY264">
        <v>1</v>
      </c>
      <c r="AZ264">
        <v>0</v>
      </c>
      <c r="BA264">
        <v>266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Y264*Source!I86</f>
        <v>4.5220000000000002</v>
      </c>
      <c r="CY264">
        <f>AA264</f>
        <v>82</v>
      </c>
      <c r="CZ264">
        <f>AE264</f>
        <v>82</v>
      </c>
      <c r="DA264">
        <f>AI264</f>
        <v>1</v>
      </c>
      <c r="DB264">
        <f t="shared" si="72"/>
        <v>16.399999999999999</v>
      </c>
      <c r="DC264">
        <f t="shared" si="73"/>
        <v>0</v>
      </c>
    </row>
    <row r="265" spans="1:107" x14ac:dyDescent="0.2">
      <c r="A265">
        <f>ROW(Source!A87)</f>
        <v>87</v>
      </c>
      <c r="B265">
        <v>16856228</v>
      </c>
      <c r="C265">
        <v>16856584</v>
      </c>
      <c r="D265">
        <v>15433629</v>
      </c>
      <c r="E265">
        <v>1</v>
      </c>
      <c r="F265">
        <v>1</v>
      </c>
      <c r="G265">
        <v>1</v>
      </c>
      <c r="H265">
        <v>1</v>
      </c>
      <c r="I265" t="s">
        <v>427</v>
      </c>
      <c r="J265" t="s">
        <v>6</v>
      </c>
      <c r="K265" t="s">
        <v>428</v>
      </c>
      <c r="L265">
        <v>1191</v>
      </c>
      <c r="N265">
        <v>1013</v>
      </c>
      <c r="O265" t="s">
        <v>313</v>
      </c>
      <c r="P265" t="s">
        <v>313</v>
      </c>
      <c r="Q265">
        <v>1</v>
      </c>
      <c r="W265">
        <v>0</v>
      </c>
      <c r="X265">
        <v>-576067263</v>
      </c>
      <c r="Y265">
        <v>1.03</v>
      </c>
      <c r="AA265">
        <v>0</v>
      </c>
      <c r="AB265">
        <v>0</v>
      </c>
      <c r="AC265">
        <v>0</v>
      </c>
      <c r="AD265">
        <v>48.68</v>
      </c>
      <c r="AE265">
        <v>0</v>
      </c>
      <c r="AF265">
        <v>0</v>
      </c>
      <c r="AG265">
        <v>0</v>
      </c>
      <c r="AH265">
        <v>7.19</v>
      </c>
      <c r="AI265">
        <v>1</v>
      </c>
      <c r="AJ265">
        <v>1</v>
      </c>
      <c r="AK265">
        <v>1</v>
      </c>
      <c r="AL265">
        <v>6.77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1.03</v>
      </c>
      <c r="AU265" t="s">
        <v>6</v>
      </c>
      <c r="AV265">
        <v>1</v>
      </c>
      <c r="AW265">
        <v>2</v>
      </c>
      <c r="AX265">
        <v>16856587</v>
      </c>
      <c r="AY265">
        <v>1</v>
      </c>
      <c r="AZ265">
        <v>0</v>
      </c>
      <c r="BA265">
        <v>267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Y265*Source!I87</f>
        <v>23.2883</v>
      </c>
      <c r="CY265">
        <f>AD265</f>
        <v>48.68</v>
      </c>
      <c r="CZ265">
        <f>AH265</f>
        <v>7.19</v>
      </c>
      <c r="DA265">
        <f>AL265</f>
        <v>6.77</v>
      </c>
      <c r="DB265">
        <f t="shared" si="72"/>
        <v>7.41</v>
      </c>
      <c r="DC265">
        <f t="shared" si="73"/>
        <v>0</v>
      </c>
    </row>
    <row r="266" spans="1:107" x14ac:dyDescent="0.2">
      <c r="A266">
        <f>ROW(Source!A87)</f>
        <v>87</v>
      </c>
      <c r="B266">
        <v>16856228</v>
      </c>
      <c r="C266">
        <v>16856584</v>
      </c>
      <c r="D266">
        <v>15170984</v>
      </c>
      <c r="E266">
        <v>1</v>
      </c>
      <c r="F266">
        <v>1</v>
      </c>
      <c r="G266">
        <v>1</v>
      </c>
      <c r="H266">
        <v>3</v>
      </c>
      <c r="I266" t="s">
        <v>429</v>
      </c>
      <c r="J266" t="s">
        <v>430</v>
      </c>
      <c r="K266" t="s">
        <v>431</v>
      </c>
      <c r="L266">
        <v>1355</v>
      </c>
      <c r="N266">
        <v>1010</v>
      </c>
      <c r="O266" t="s">
        <v>395</v>
      </c>
      <c r="P266" t="s">
        <v>395</v>
      </c>
      <c r="Q266">
        <v>100</v>
      </c>
      <c r="W266">
        <v>0</v>
      </c>
      <c r="X266">
        <v>1092967459</v>
      </c>
      <c r="Y266">
        <v>0.2</v>
      </c>
      <c r="AA266">
        <v>555.14</v>
      </c>
      <c r="AB266">
        <v>0</v>
      </c>
      <c r="AC266">
        <v>0</v>
      </c>
      <c r="AD266">
        <v>0</v>
      </c>
      <c r="AE266">
        <v>82</v>
      </c>
      <c r="AF266">
        <v>0</v>
      </c>
      <c r="AG266">
        <v>0</v>
      </c>
      <c r="AH266">
        <v>0</v>
      </c>
      <c r="AI266">
        <v>6.77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0.2</v>
      </c>
      <c r="AU266" t="s">
        <v>6</v>
      </c>
      <c r="AV266">
        <v>0</v>
      </c>
      <c r="AW266">
        <v>2</v>
      </c>
      <c r="AX266">
        <v>16856588</v>
      </c>
      <c r="AY266">
        <v>1</v>
      </c>
      <c r="AZ266">
        <v>0</v>
      </c>
      <c r="BA266">
        <v>268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Y266*Source!I87</f>
        <v>4.5220000000000002</v>
      </c>
      <c r="CY266">
        <f>AA266</f>
        <v>555.14</v>
      </c>
      <c r="CZ266">
        <f>AE266</f>
        <v>82</v>
      </c>
      <c r="DA266">
        <f>AI266</f>
        <v>6.77</v>
      </c>
      <c r="DB266">
        <f t="shared" si="72"/>
        <v>16.399999999999999</v>
      </c>
      <c r="DC266">
        <f t="shared" si="73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6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16856292</v>
      </c>
      <c r="C1">
        <v>16856290</v>
      </c>
      <c r="D1">
        <v>15435609</v>
      </c>
      <c r="E1">
        <v>1</v>
      </c>
      <c r="F1">
        <v>1</v>
      </c>
      <c r="G1">
        <v>1</v>
      </c>
      <c r="H1">
        <v>1</v>
      </c>
      <c r="I1" t="s">
        <v>311</v>
      </c>
      <c r="J1" t="s">
        <v>6</v>
      </c>
      <c r="K1" t="s">
        <v>312</v>
      </c>
      <c r="L1">
        <v>1191</v>
      </c>
      <c r="N1">
        <v>1013</v>
      </c>
      <c r="O1" t="s">
        <v>313</v>
      </c>
      <c r="P1" t="s">
        <v>313</v>
      </c>
      <c r="Q1">
        <v>1</v>
      </c>
      <c r="X1">
        <v>1.9</v>
      </c>
      <c r="Y1">
        <v>0</v>
      </c>
      <c r="Z1">
        <v>0</v>
      </c>
      <c r="AA1">
        <v>0</v>
      </c>
      <c r="AB1">
        <v>8.9700000000000006</v>
      </c>
      <c r="AC1">
        <v>0</v>
      </c>
      <c r="AD1">
        <v>1</v>
      </c>
      <c r="AE1">
        <v>1</v>
      </c>
      <c r="AF1" t="s">
        <v>20</v>
      </c>
      <c r="AG1">
        <v>0.76</v>
      </c>
      <c r="AH1">
        <v>2</v>
      </c>
      <c r="AI1">
        <v>16856291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16856293</v>
      </c>
      <c r="C2">
        <v>16856290</v>
      </c>
      <c r="D2">
        <v>15204315</v>
      </c>
      <c r="E2">
        <v>1</v>
      </c>
      <c r="F2">
        <v>1</v>
      </c>
      <c r="G2">
        <v>1</v>
      </c>
      <c r="H2">
        <v>3</v>
      </c>
      <c r="I2" t="s">
        <v>432</v>
      </c>
      <c r="J2" t="s">
        <v>433</v>
      </c>
      <c r="K2" t="s">
        <v>434</v>
      </c>
      <c r="L2">
        <v>1296</v>
      </c>
      <c r="N2">
        <v>1002</v>
      </c>
      <c r="O2" t="s">
        <v>435</v>
      </c>
      <c r="P2" t="s">
        <v>435</v>
      </c>
      <c r="Q2">
        <v>1</v>
      </c>
      <c r="X2">
        <v>0</v>
      </c>
      <c r="Y2">
        <v>46.86</v>
      </c>
      <c r="Z2">
        <v>0</v>
      </c>
      <c r="AA2">
        <v>0</v>
      </c>
      <c r="AB2">
        <v>0</v>
      </c>
      <c r="AC2">
        <v>1</v>
      </c>
      <c r="AD2">
        <v>0</v>
      </c>
      <c r="AE2">
        <v>0</v>
      </c>
      <c r="AF2" t="s">
        <v>19</v>
      </c>
      <c r="AG2">
        <v>0</v>
      </c>
      <c r="AH2">
        <v>3</v>
      </c>
      <c r="AI2">
        <v>-1</v>
      </c>
      <c r="AJ2" t="s">
        <v>6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16856294</v>
      </c>
      <c r="C3">
        <v>16856290</v>
      </c>
      <c r="D3">
        <v>15163403</v>
      </c>
      <c r="E3">
        <v>17</v>
      </c>
      <c r="F3">
        <v>1</v>
      </c>
      <c r="G3">
        <v>1</v>
      </c>
      <c r="H3">
        <v>3</v>
      </c>
      <c r="I3" t="s">
        <v>436</v>
      </c>
      <c r="J3" t="s">
        <v>6</v>
      </c>
      <c r="K3" t="s">
        <v>437</v>
      </c>
      <c r="L3">
        <v>1477</v>
      </c>
      <c r="N3">
        <v>1013</v>
      </c>
      <c r="O3" t="s">
        <v>438</v>
      </c>
      <c r="P3" t="s">
        <v>439</v>
      </c>
      <c r="Q3">
        <v>1</v>
      </c>
      <c r="X3">
        <v>0</v>
      </c>
      <c r="Y3">
        <v>0</v>
      </c>
      <c r="Z3">
        <v>0</v>
      </c>
      <c r="AA3">
        <v>0</v>
      </c>
      <c r="AB3">
        <v>0</v>
      </c>
      <c r="AC3">
        <v>1</v>
      </c>
      <c r="AD3">
        <v>0</v>
      </c>
      <c r="AE3">
        <v>0</v>
      </c>
      <c r="AF3" t="s">
        <v>19</v>
      </c>
      <c r="AG3">
        <v>0</v>
      </c>
      <c r="AH3">
        <v>3</v>
      </c>
      <c r="AI3">
        <v>-1</v>
      </c>
      <c r="AJ3" t="s">
        <v>6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16856292</v>
      </c>
      <c r="C4">
        <v>16856290</v>
      </c>
      <c r="D4">
        <v>15435609</v>
      </c>
      <c r="E4">
        <v>1</v>
      </c>
      <c r="F4">
        <v>1</v>
      </c>
      <c r="G4">
        <v>1</v>
      </c>
      <c r="H4">
        <v>1</v>
      </c>
      <c r="I4" t="s">
        <v>311</v>
      </c>
      <c r="J4" t="s">
        <v>6</v>
      </c>
      <c r="K4" t="s">
        <v>312</v>
      </c>
      <c r="L4">
        <v>1191</v>
      </c>
      <c r="N4">
        <v>1013</v>
      </c>
      <c r="O4" t="s">
        <v>313</v>
      </c>
      <c r="P4" t="s">
        <v>313</v>
      </c>
      <c r="Q4">
        <v>1</v>
      </c>
      <c r="X4">
        <v>1.9</v>
      </c>
      <c r="Y4">
        <v>0</v>
      </c>
      <c r="Z4">
        <v>0</v>
      </c>
      <c r="AA4">
        <v>0</v>
      </c>
      <c r="AB4">
        <v>8.9700000000000006</v>
      </c>
      <c r="AC4">
        <v>0</v>
      </c>
      <c r="AD4">
        <v>1</v>
      </c>
      <c r="AE4">
        <v>1</v>
      </c>
      <c r="AF4" t="s">
        <v>20</v>
      </c>
      <c r="AG4">
        <v>0.76</v>
      </c>
      <c r="AH4">
        <v>2</v>
      </c>
      <c r="AI4">
        <v>16856291</v>
      </c>
      <c r="AJ4">
        <v>2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16856293</v>
      </c>
      <c r="C5">
        <v>16856290</v>
      </c>
      <c r="D5">
        <v>15204315</v>
      </c>
      <c r="E5">
        <v>1</v>
      </c>
      <c r="F5">
        <v>1</v>
      </c>
      <c r="G5">
        <v>1</v>
      </c>
      <c r="H5">
        <v>3</v>
      </c>
      <c r="I5" t="s">
        <v>432</v>
      </c>
      <c r="J5" t="s">
        <v>433</v>
      </c>
      <c r="K5" t="s">
        <v>434</v>
      </c>
      <c r="L5">
        <v>1296</v>
      </c>
      <c r="N5">
        <v>1002</v>
      </c>
      <c r="O5" t="s">
        <v>435</v>
      </c>
      <c r="P5" t="s">
        <v>435</v>
      </c>
      <c r="Q5">
        <v>1</v>
      </c>
      <c r="X5">
        <v>0</v>
      </c>
      <c r="Y5">
        <v>46.86</v>
      </c>
      <c r="Z5">
        <v>0</v>
      </c>
      <c r="AA5">
        <v>0</v>
      </c>
      <c r="AB5">
        <v>0</v>
      </c>
      <c r="AC5">
        <v>1</v>
      </c>
      <c r="AD5">
        <v>0</v>
      </c>
      <c r="AE5">
        <v>0</v>
      </c>
      <c r="AF5" t="s">
        <v>19</v>
      </c>
      <c r="AG5">
        <v>0</v>
      </c>
      <c r="AH5">
        <v>3</v>
      </c>
      <c r="AI5">
        <v>-1</v>
      </c>
      <c r="AJ5" t="s">
        <v>6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16856294</v>
      </c>
      <c r="C6">
        <v>16856290</v>
      </c>
      <c r="D6">
        <v>15163403</v>
      </c>
      <c r="E6">
        <v>17</v>
      </c>
      <c r="F6">
        <v>1</v>
      </c>
      <c r="G6">
        <v>1</v>
      </c>
      <c r="H6">
        <v>3</v>
      </c>
      <c r="I6" t="s">
        <v>436</v>
      </c>
      <c r="J6" t="s">
        <v>6</v>
      </c>
      <c r="K6" t="s">
        <v>437</v>
      </c>
      <c r="L6">
        <v>1477</v>
      </c>
      <c r="N6">
        <v>1013</v>
      </c>
      <c r="O6" t="s">
        <v>438</v>
      </c>
      <c r="P6" t="s">
        <v>439</v>
      </c>
      <c r="Q6">
        <v>1</v>
      </c>
      <c r="X6">
        <v>0</v>
      </c>
      <c r="Y6">
        <v>0</v>
      </c>
      <c r="Z6">
        <v>0</v>
      </c>
      <c r="AA6">
        <v>0</v>
      </c>
      <c r="AB6">
        <v>0</v>
      </c>
      <c r="AC6">
        <v>1</v>
      </c>
      <c r="AD6">
        <v>0</v>
      </c>
      <c r="AE6">
        <v>0</v>
      </c>
      <c r="AF6" t="s">
        <v>19</v>
      </c>
      <c r="AG6">
        <v>0</v>
      </c>
      <c r="AH6">
        <v>3</v>
      </c>
      <c r="AI6">
        <v>-1</v>
      </c>
      <c r="AJ6" t="s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16856299</v>
      </c>
      <c r="C7">
        <v>16856295</v>
      </c>
      <c r="D7">
        <v>15433667</v>
      </c>
      <c r="E7">
        <v>1</v>
      </c>
      <c r="F7">
        <v>1</v>
      </c>
      <c r="G7">
        <v>1</v>
      </c>
      <c r="H7">
        <v>1</v>
      </c>
      <c r="I7" t="s">
        <v>314</v>
      </c>
      <c r="J7" t="s">
        <v>6</v>
      </c>
      <c r="K7" t="s">
        <v>315</v>
      </c>
      <c r="L7">
        <v>1191</v>
      </c>
      <c r="N7">
        <v>1013</v>
      </c>
      <c r="O7" t="s">
        <v>313</v>
      </c>
      <c r="P7" t="s">
        <v>313</v>
      </c>
      <c r="Q7">
        <v>1</v>
      </c>
      <c r="X7">
        <v>188.54</v>
      </c>
      <c r="Y7">
        <v>0</v>
      </c>
      <c r="Z7">
        <v>0</v>
      </c>
      <c r="AA7">
        <v>0</v>
      </c>
      <c r="AB7">
        <v>8.09</v>
      </c>
      <c r="AC7">
        <v>0</v>
      </c>
      <c r="AD7">
        <v>1</v>
      </c>
      <c r="AE7">
        <v>1</v>
      </c>
      <c r="AF7" t="s">
        <v>6</v>
      </c>
      <c r="AG7">
        <v>188.54</v>
      </c>
      <c r="AH7">
        <v>2</v>
      </c>
      <c r="AI7">
        <v>16856296</v>
      </c>
      <c r="AJ7">
        <v>3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16856300</v>
      </c>
      <c r="C8">
        <v>16856295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316</v>
      </c>
      <c r="J8" t="s">
        <v>6</v>
      </c>
      <c r="K8" t="s">
        <v>317</v>
      </c>
      <c r="L8">
        <v>1191</v>
      </c>
      <c r="N8">
        <v>1013</v>
      </c>
      <c r="O8" t="s">
        <v>313</v>
      </c>
      <c r="P8" t="s">
        <v>313</v>
      </c>
      <c r="Q8">
        <v>1</v>
      </c>
      <c r="X8">
        <v>7.74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6</v>
      </c>
      <c r="AG8">
        <v>7.74</v>
      </c>
      <c r="AH8">
        <v>2</v>
      </c>
      <c r="AI8">
        <v>16856297</v>
      </c>
      <c r="AJ8">
        <v>4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16856301</v>
      </c>
      <c r="C9">
        <v>16856295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318</v>
      </c>
      <c r="J9" t="s">
        <v>319</v>
      </c>
      <c r="K9" t="s">
        <v>320</v>
      </c>
      <c r="L9">
        <v>1368</v>
      </c>
      <c r="N9">
        <v>1011</v>
      </c>
      <c r="O9" t="s">
        <v>321</v>
      </c>
      <c r="P9" t="s">
        <v>321</v>
      </c>
      <c r="Q9">
        <v>1</v>
      </c>
      <c r="X9">
        <v>7.74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7.74</v>
      </c>
      <c r="AH9">
        <v>2</v>
      </c>
      <c r="AI9">
        <v>16856298</v>
      </c>
      <c r="AJ9">
        <v>5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ROW(Source!A27)</f>
        <v>27</v>
      </c>
      <c r="B10">
        <v>16856299</v>
      </c>
      <c r="C10">
        <v>16856295</v>
      </c>
      <c r="D10">
        <v>15433667</v>
      </c>
      <c r="E10">
        <v>1</v>
      </c>
      <c r="F10">
        <v>1</v>
      </c>
      <c r="G10">
        <v>1</v>
      </c>
      <c r="H10">
        <v>1</v>
      </c>
      <c r="I10" t="s">
        <v>314</v>
      </c>
      <c r="J10" t="s">
        <v>6</v>
      </c>
      <c r="K10" t="s">
        <v>315</v>
      </c>
      <c r="L10">
        <v>1191</v>
      </c>
      <c r="N10">
        <v>1013</v>
      </c>
      <c r="O10" t="s">
        <v>313</v>
      </c>
      <c r="P10" t="s">
        <v>313</v>
      </c>
      <c r="Q10">
        <v>1</v>
      </c>
      <c r="X10">
        <v>188.54</v>
      </c>
      <c r="Y10">
        <v>0</v>
      </c>
      <c r="Z10">
        <v>0</v>
      </c>
      <c r="AA10">
        <v>0</v>
      </c>
      <c r="AB10">
        <v>8.09</v>
      </c>
      <c r="AC10">
        <v>0</v>
      </c>
      <c r="AD10">
        <v>1</v>
      </c>
      <c r="AE10">
        <v>1</v>
      </c>
      <c r="AF10" t="s">
        <v>6</v>
      </c>
      <c r="AG10">
        <v>188.54</v>
      </c>
      <c r="AH10">
        <v>2</v>
      </c>
      <c r="AI10">
        <v>16856296</v>
      </c>
      <c r="AJ10">
        <v>6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ROW(Source!A27)</f>
        <v>27</v>
      </c>
      <c r="B11">
        <v>16856300</v>
      </c>
      <c r="C11">
        <v>16856295</v>
      </c>
      <c r="D11">
        <v>15430395</v>
      </c>
      <c r="E11">
        <v>1</v>
      </c>
      <c r="F11">
        <v>1</v>
      </c>
      <c r="G11">
        <v>1</v>
      </c>
      <c r="H11">
        <v>1</v>
      </c>
      <c r="I11" t="s">
        <v>316</v>
      </c>
      <c r="J11" t="s">
        <v>6</v>
      </c>
      <c r="K11" t="s">
        <v>317</v>
      </c>
      <c r="L11">
        <v>1191</v>
      </c>
      <c r="N11">
        <v>1013</v>
      </c>
      <c r="O11" t="s">
        <v>313</v>
      </c>
      <c r="P11" t="s">
        <v>313</v>
      </c>
      <c r="Q11">
        <v>1</v>
      </c>
      <c r="X11">
        <v>7.74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6</v>
      </c>
      <c r="AG11">
        <v>7.74</v>
      </c>
      <c r="AH11">
        <v>2</v>
      </c>
      <c r="AI11">
        <v>16856297</v>
      </c>
      <c r="AJ11">
        <v>7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ROW(Source!A27)</f>
        <v>27</v>
      </c>
      <c r="B12">
        <v>16856301</v>
      </c>
      <c r="C12">
        <v>16856295</v>
      </c>
      <c r="D12">
        <v>15247974</v>
      </c>
      <c r="E12">
        <v>1</v>
      </c>
      <c r="F12">
        <v>1</v>
      </c>
      <c r="G12">
        <v>1</v>
      </c>
      <c r="H12">
        <v>2</v>
      </c>
      <c r="I12" t="s">
        <v>318</v>
      </c>
      <c r="J12" t="s">
        <v>319</v>
      </c>
      <c r="K12" t="s">
        <v>320</v>
      </c>
      <c r="L12">
        <v>1368</v>
      </c>
      <c r="N12">
        <v>1011</v>
      </c>
      <c r="O12" t="s">
        <v>321</v>
      </c>
      <c r="P12" t="s">
        <v>321</v>
      </c>
      <c r="Q12">
        <v>1</v>
      </c>
      <c r="X12">
        <v>7.74</v>
      </c>
      <c r="Y12">
        <v>0</v>
      </c>
      <c r="Z12">
        <v>31.26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7.74</v>
      </c>
      <c r="AH12">
        <v>2</v>
      </c>
      <c r="AI12">
        <v>16856298</v>
      </c>
      <c r="AJ12">
        <v>8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ROW(Source!A28)</f>
        <v>28</v>
      </c>
      <c r="B13">
        <v>16856321</v>
      </c>
      <c r="C13">
        <v>16856302</v>
      </c>
      <c r="D13">
        <v>15430447</v>
      </c>
      <c r="E13">
        <v>1</v>
      </c>
      <c r="F13">
        <v>1</v>
      </c>
      <c r="G13">
        <v>1</v>
      </c>
      <c r="H13">
        <v>1</v>
      </c>
      <c r="I13" t="s">
        <v>322</v>
      </c>
      <c r="J13" t="s">
        <v>6</v>
      </c>
      <c r="K13" t="s">
        <v>323</v>
      </c>
      <c r="L13">
        <v>1191</v>
      </c>
      <c r="N13">
        <v>1013</v>
      </c>
      <c r="O13" t="s">
        <v>313</v>
      </c>
      <c r="P13" t="s">
        <v>313</v>
      </c>
      <c r="Q13">
        <v>1</v>
      </c>
      <c r="X13">
        <v>219.65</v>
      </c>
      <c r="Y13">
        <v>0</v>
      </c>
      <c r="Z13">
        <v>0</v>
      </c>
      <c r="AA13">
        <v>0</v>
      </c>
      <c r="AB13">
        <v>9.07</v>
      </c>
      <c r="AC13">
        <v>0</v>
      </c>
      <c r="AD13">
        <v>1</v>
      </c>
      <c r="AE13">
        <v>1</v>
      </c>
      <c r="AF13" t="s">
        <v>40</v>
      </c>
      <c r="AG13">
        <v>153.755</v>
      </c>
      <c r="AH13">
        <v>2</v>
      </c>
      <c r="AI13">
        <v>16856303</v>
      </c>
      <c r="AJ13">
        <v>9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ROW(Source!A28)</f>
        <v>28</v>
      </c>
      <c r="B14">
        <v>16856322</v>
      </c>
      <c r="C14">
        <v>16856302</v>
      </c>
      <c r="D14">
        <v>15430395</v>
      </c>
      <c r="E14">
        <v>1</v>
      </c>
      <c r="F14">
        <v>1</v>
      </c>
      <c r="G14">
        <v>1</v>
      </c>
      <c r="H14">
        <v>1</v>
      </c>
      <c r="I14" t="s">
        <v>316</v>
      </c>
      <c r="J14" t="s">
        <v>6</v>
      </c>
      <c r="K14" t="s">
        <v>317</v>
      </c>
      <c r="L14">
        <v>1191</v>
      </c>
      <c r="N14">
        <v>1013</v>
      </c>
      <c r="O14" t="s">
        <v>313</v>
      </c>
      <c r="P14" t="s">
        <v>313</v>
      </c>
      <c r="Q14">
        <v>1</v>
      </c>
      <c r="X14">
        <v>15.49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40</v>
      </c>
      <c r="AG14">
        <v>10.843</v>
      </c>
      <c r="AH14">
        <v>2</v>
      </c>
      <c r="AI14">
        <v>16856304</v>
      </c>
      <c r="AJ14">
        <v>10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ROW(Source!A28)</f>
        <v>28</v>
      </c>
      <c r="B15">
        <v>16856323</v>
      </c>
      <c r="C15">
        <v>16856302</v>
      </c>
      <c r="D15">
        <v>15247680</v>
      </c>
      <c r="E15">
        <v>1</v>
      </c>
      <c r="F15">
        <v>1</v>
      </c>
      <c r="G15">
        <v>1</v>
      </c>
      <c r="H15">
        <v>2</v>
      </c>
      <c r="I15" t="s">
        <v>324</v>
      </c>
      <c r="J15" t="s">
        <v>325</v>
      </c>
      <c r="K15" t="s">
        <v>326</v>
      </c>
      <c r="L15">
        <v>1368</v>
      </c>
      <c r="N15">
        <v>1011</v>
      </c>
      <c r="O15" t="s">
        <v>321</v>
      </c>
      <c r="P15" t="s">
        <v>321</v>
      </c>
      <c r="Q15">
        <v>1</v>
      </c>
      <c r="X15">
        <v>0.12</v>
      </c>
      <c r="Y15">
        <v>0</v>
      </c>
      <c r="Z15">
        <v>111.99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40</v>
      </c>
      <c r="AG15">
        <v>8.3999999999999991E-2</v>
      </c>
      <c r="AH15">
        <v>2</v>
      </c>
      <c r="AI15">
        <v>16856305</v>
      </c>
      <c r="AJ15">
        <v>11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ROW(Source!A28)</f>
        <v>28</v>
      </c>
      <c r="B16">
        <v>16856324</v>
      </c>
      <c r="C16">
        <v>16856302</v>
      </c>
      <c r="D16">
        <v>15247728</v>
      </c>
      <c r="E16">
        <v>1</v>
      </c>
      <c r="F16">
        <v>1</v>
      </c>
      <c r="G16">
        <v>1</v>
      </c>
      <c r="H16">
        <v>2</v>
      </c>
      <c r="I16" t="s">
        <v>327</v>
      </c>
      <c r="J16" t="s">
        <v>328</v>
      </c>
      <c r="K16" t="s">
        <v>329</v>
      </c>
      <c r="L16">
        <v>1368</v>
      </c>
      <c r="N16">
        <v>1011</v>
      </c>
      <c r="O16" t="s">
        <v>321</v>
      </c>
      <c r="P16" t="s">
        <v>321</v>
      </c>
      <c r="Q16">
        <v>1</v>
      </c>
      <c r="X16">
        <v>15.18</v>
      </c>
      <c r="Y16">
        <v>0</v>
      </c>
      <c r="Z16">
        <v>102.51</v>
      </c>
      <c r="AA16">
        <v>14.4</v>
      </c>
      <c r="AB16">
        <v>0</v>
      </c>
      <c r="AC16">
        <v>0</v>
      </c>
      <c r="AD16">
        <v>1</v>
      </c>
      <c r="AE16">
        <v>0</v>
      </c>
      <c r="AF16" t="s">
        <v>40</v>
      </c>
      <c r="AG16">
        <v>10.625999999999999</v>
      </c>
      <c r="AH16">
        <v>2</v>
      </c>
      <c r="AI16">
        <v>16856306</v>
      </c>
      <c r="AJ16">
        <v>12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ROW(Source!A28)</f>
        <v>28</v>
      </c>
      <c r="B17">
        <v>16856325</v>
      </c>
      <c r="C17">
        <v>16856302</v>
      </c>
      <c r="D17">
        <v>15249073</v>
      </c>
      <c r="E17">
        <v>1</v>
      </c>
      <c r="F17">
        <v>1</v>
      </c>
      <c r="G17">
        <v>1</v>
      </c>
      <c r="H17">
        <v>2</v>
      </c>
      <c r="I17" t="s">
        <v>330</v>
      </c>
      <c r="J17" t="s">
        <v>331</v>
      </c>
      <c r="K17" t="s">
        <v>332</v>
      </c>
      <c r="L17">
        <v>1368</v>
      </c>
      <c r="N17">
        <v>1011</v>
      </c>
      <c r="O17" t="s">
        <v>321</v>
      </c>
      <c r="P17" t="s">
        <v>321</v>
      </c>
      <c r="Q17">
        <v>1</v>
      </c>
      <c r="X17">
        <v>0.19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40</v>
      </c>
      <c r="AG17">
        <v>0.13299999999999998</v>
      </c>
      <c r="AH17">
        <v>2</v>
      </c>
      <c r="AI17">
        <v>16856307</v>
      </c>
      <c r="AJ17">
        <v>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ROW(Source!A28)</f>
        <v>28</v>
      </c>
      <c r="B18">
        <v>16856326</v>
      </c>
      <c r="C18">
        <v>16856302</v>
      </c>
      <c r="D18">
        <v>15249308</v>
      </c>
      <c r="E18">
        <v>1</v>
      </c>
      <c r="F18">
        <v>1</v>
      </c>
      <c r="G18">
        <v>1</v>
      </c>
      <c r="H18">
        <v>2</v>
      </c>
      <c r="I18" t="s">
        <v>333</v>
      </c>
      <c r="J18" t="s">
        <v>334</v>
      </c>
      <c r="K18" t="s">
        <v>335</v>
      </c>
      <c r="L18">
        <v>1368</v>
      </c>
      <c r="N18">
        <v>1011</v>
      </c>
      <c r="O18" t="s">
        <v>321</v>
      </c>
      <c r="P18" t="s">
        <v>321</v>
      </c>
      <c r="Q18">
        <v>1</v>
      </c>
      <c r="X18">
        <v>2.2999999999999998</v>
      </c>
      <c r="Y18">
        <v>0</v>
      </c>
      <c r="Z18">
        <v>1.2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40</v>
      </c>
      <c r="AG18">
        <v>1.6099999999999999</v>
      </c>
      <c r="AH18">
        <v>2</v>
      </c>
      <c r="AI18">
        <v>16856308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ROW(Source!A28)</f>
        <v>28</v>
      </c>
      <c r="B19">
        <v>16856327</v>
      </c>
      <c r="C19">
        <v>16856302</v>
      </c>
      <c r="D19">
        <v>15249355</v>
      </c>
      <c r="E19">
        <v>1</v>
      </c>
      <c r="F19">
        <v>1</v>
      </c>
      <c r="G19">
        <v>1</v>
      </c>
      <c r="H19">
        <v>2</v>
      </c>
      <c r="I19" t="s">
        <v>336</v>
      </c>
      <c r="J19" t="s">
        <v>337</v>
      </c>
      <c r="K19" t="s">
        <v>338</v>
      </c>
      <c r="L19">
        <v>1368</v>
      </c>
      <c r="N19">
        <v>1011</v>
      </c>
      <c r="O19" t="s">
        <v>321</v>
      </c>
      <c r="P19" t="s">
        <v>321</v>
      </c>
      <c r="Q19">
        <v>1</v>
      </c>
      <c r="X19">
        <v>17.48</v>
      </c>
      <c r="Y19">
        <v>0</v>
      </c>
      <c r="Z19">
        <v>12.31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40</v>
      </c>
      <c r="AG19">
        <v>12.235999999999999</v>
      </c>
      <c r="AH19">
        <v>2</v>
      </c>
      <c r="AI19">
        <v>16856309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16856328</v>
      </c>
      <c r="C20">
        <v>16856302</v>
      </c>
      <c r="D20">
        <v>15165653</v>
      </c>
      <c r="E20">
        <v>1</v>
      </c>
      <c r="F20">
        <v>1</v>
      </c>
      <c r="G20">
        <v>1</v>
      </c>
      <c r="H20">
        <v>3</v>
      </c>
      <c r="I20" t="s">
        <v>339</v>
      </c>
      <c r="J20" t="s">
        <v>340</v>
      </c>
      <c r="K20" t="s">
        <v>341</v>
      </c>
      <c r="L20">
        <v>1339</v>
      </c>
      <c r="N20">
        <v>1007</v>
      </c>
      <c r="O20" t="s">
        <v>107</v>
      </c>
      <c r="P20" t="s">
        <v>107</v>
      </c>
      <c r="Q20">
        <v>1</v>
      </c>
      <c r="X20">
        <v>1.95</v>
      </c>
      <c r="Y20">
        <v>6.22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19</v>
      </c>
      <c r="AG20">
        <v>0</v>
      </c>
      <c r="AH20">
        <v>2</v>
      </c>
      <c r="AI20">
        <v>16856310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16856329</v>
      </c>
      <c r="C21">
        <v>16856302</v>
      </c>
      <c r="D21">
        <v>15165660</v>
      </c>
      <c r="E21">
        <v>1</v>
      </c>
      <c r="F21">
        <v>1</v>
      </c>
      <c r="G21">
        <v>1</v>
      </c>
      <c r="H21">
        <v>3</v>
      </c>
      <c r="I21" t="s">
        <v>342</v>
      </c>
      <c r="J21" t="s">
        <v>343</v>
      </c>
      <c r="K21" t="s">
        <v>344</v>
      </c>
      <c r="L21">
        <v>1346</v>
      </c>
      <c r="N21">
        <v>1009</v>
      </c>
      <c r="O21" t="s">
        <v>129</v>
      </c>
      <c r="P21" t="s">
        <v>129</v>
      </c>
      <c r="Q21">
        <v>1</v>
      </c>
      <c r="X21">
        <v>0.6</v>
      </c>
      <c r="Y21">
        <v>6.09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19</v>
      </c>
      <c r="AG21">
        <v>0</v>
      </c>
      <c r="AH21">
        <v>2</v>
      </c>
      <c r="AI21">
        <v>16856311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16856330</v>
      </c>
      <c r="C22">
        <v>16856302</v>
      </c>
      <c r="D22">
        <v>15168753</v>
      </c>
      <c r="E22">
        <v>1</v>
      </c>
      <c r="F22">
        <v>1</v>
      </c>
      <c r="G22">
        <v>1</v>
      </c>
      <c r="H22">
        <v>3</v>
      </c>
      <c r="I22" t="s">
        <v>345</v>
      </c>
      <c r="J22" t="s">
        <v>346</v>
      </c>
      <c r="K22" t="s">
        <v>347</v>
      </c>
      <c r="L22">
        <v>1348</v>
      </c>
      <c r="N22">
        <v>1009</v>
      </c>
      <c r="O22" t="s">
        <v>37</v>
      </c>
      <c r="P22" t="s">
        <v>37</v>
      </c>
      <c r="Q22">
        <v>1000</v>
      </c>
      <c r="X22">
        <v>1.2E-2</v>
      </c>
      <c r="Y22">
        <v>10749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19</v>
      </c>
      <c r="AG22">
        <v>0</v>
      </c>
      <c r="AH22">
        <v>2</v>
      </c>
      <c r="AI22">
        <v>16856312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16856331</v>
      </c>
      <c r="C23">
        <v>16856302</v>
      </c>
      <c r="D23">
        <v>15169941</v>
      </c>
      <c r="E23">
        <v>1</v>
      </c>
      <c r="F23">
        <v>1</v>
      </c>
      <c r="G23">
        <v>1</v>
      </c>
      <c r="H23">
        <v>3</v>
      </c>
      <c r="I23" t="s">
        <v>348</v>
      </c>
      <c r="J23" t="s">
        <v>349</v>
      </c>
      <c r="K23" t="s">
        <v>350</v>
      </c>
      <c r="L23">
        <v>1348</v>
      </c>
      <c r="N23">
        <v>1009</v>
      </c>
      <c r="O23" t="s">
        <v>37</v>
      </c>
      <c r="P23" t="s">
        <v>37</v>
      </c>
      <c r="Q23">
        <v>1000</v>
      </c>
      <c r="X23">
        <v>7.0000000000000001E-3</v>
      </c>
      <c r="Y23">
        <v>9040.01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19</v>
      </c>
      <c r="AG23">
        <v>0</v>
      </c>
      <c r="AH23">
        <v>2</v>
      </c>
      <c r="AI23">
        <v>16856313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ROW(Source!A28)</f>
        <v>28</v>
      </c>
      <c r="B24">
        <v>16856332</v>
      </c>
      <c r="C24">
        <v>16856302</v>
      </c>
      <c r="D24">
        <v>15170039</v>
      </c>
      <c r="E24">
        <v>1</v>
      </c>
      <c r="F24">
        <v>1</v>
      </c>
      <c r="G24">
        <v>1</v>
      </c>
      <c r="H24">
        <v>3</v>
      </c>
      <c r="I24" t="s">
        <v>351</v>
      </c>
      <c r="J24" t="s">
        <v>352</v>
      </c>
      <c r="K24" t="s">
        <v>353</v>
      </c>
      <c r="L24">
        <v>1348</v>
      </c>
      <c r="N24">
        <v>1009</v>
      </c>
      <c r="O24" t="s">
        <v>37</v>
      </c>
      <c r="P24" t="s">
        <v>37</v>
      </c>
      <c r="Q24">
        <v>1000</v>
      </c>
      <c r="X24">
        <v>1.0000000000000001E-5</v>
      </c>
      <c r="Y24">
        <v>11978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19</v>
      </c>
      <c r="AG24">
        <v>0</v>
      </c>
      <c r="AH24">
        <v>2</v>
      </c>
      <c r="AI24">
        <v>16856314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ROW(Source!A28)</f>
        <v>28</v>
      </c>
      <c r="B25">
        <v>16856333</v>
      </c>
      <c r="C25">
        <v>16856302</v>
      </c>
      <c r="D25">
        <v>15171021</v>
      </c>
      <c r="E25">
        <v>1</v>
      </c>
      <c r="F25">
        <v>1</v>
      </c>
      <c r="G25">
        <v>1</v>
      </c>
      <c r="H25">
        <v>3</v>
      </c>
      <c r="I25" t="s">
        <v>354</v>
      </c>
      <c r="J25" t="s">
        <v>355</v>
      </c>
      <c r="K25" t="s">
        <v>356</v>
      </c>
      <c r="L25">
        <v>1348</v>
      </c>
      <c r="N25">
        <v>1009</v>
      </c>
      <c r="O25" t="s">
        <v>37</v>
      </c>
      <c r="P25" t="s">
        <v>37</v>
      </c>
      <c r="Q25">
        <v>1000</v>
      </c>
      <c r="X25">
        <v>1E-4</v>
      </c>
      <c r="Y25">
        <v>37900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19</v>
      </c>
      <c r="AG25">
        <v>0</v>
      </c>
      <c r="AH25">
        <v>2</v>
      </c>
      <c r="AI25">
        <v>16856315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ROW(Source!A28)</f>
        <v>28</v>
      </c>
      <c r="B26">
        <v>16856334</v>
      </c>
      <c r="C26">
        <v>16856302</v>
      </c>
      <c r="D26">
        <v>15162173</v>
      </c>
      <c r="E26">
        <v>17</v>
      </c>
      <c r="F26">
        <v>1</v>
      </c>
      <c r="G26">
        <v>1</v>
      </c>
      <c r="H26">
        <v>3</v>
      </c>
      <c r="I26" t="s">
        <v>440</v>
      </c>
      <c r="J26" t="s">
        <v>6</v>
      </c>
      <c r="K26" t="s">
        <v>441</v>
      </c>
      <c r="L26">
        <v>1348</v>
      </c>
      <c r="N26">
        <v>1009</v>
      </c>
      <c r="O26" t="s">
        <v>37</v>
      </c>
      <c r="P26" t="s">
        <v>37</v>
      </c>
      <c r="Q26">
        <v>1000</v>
      </c>
      <c r="X26">
        <v>0</v>
      </c>
      <c r="Y26">
        <v>0</v>
      </c>
      <c r="Z26">
        <v>0</v>
      </c>
      <c r="AA26">
        <v>0</v>
      </c>
      <c r="AB26">
        <v>0</v>
      </c>
      <c r="AC26">
        <v>1</v>
      </c>
      <c r="AD26">
        <v>0</v>
      </c>
      <c r="AE26">
        <v>0</v>
      </c>
      <c r="AF26" t="s">
        <v>19</v>
      </c>
      <c r="AG26">
        <v>0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ROW(Source!A28)</f>
        <v>28</v>
      </c>
      <c r="B27">
        <v>16856335</v>
      </c>
      <c r="C27">
        <v>16856302</v>
      </c>
      <c r="D27">
        <v>15190794</v>
      </c>
      <c r="E27">
        <v>1</v>
      </c>
      <c r="F27">
        <v>1</v>
      </c>
      <c r="G27">
        <v>1</v>
      </c>
      <c r="H27">
        <v>3</v>
      </c>
      <c r="I27" t="s">
        <v>357</v>
      </c>
      <c r="J27" t="s">
        <v>358</v>
      </c>
      <c r="K27" t="s">
        <v>359</v>
      </c>
      <c r="L27">
        <v>1302</v>
      </c>
      <c r="N27">
        <v>1003</v>
      </c>
      <c r="O27" t="s">
        <v>152</v>
      </c>
      <c r="P27" t="s">
        <v>152</v>
      </c>
      <c r="Q27">
        <v>10</v>
      </c>
      <c r="X27">
        <v>1.8700000000000001E-2</v>
      </c>
      <c r="Y27">
        <v>50.24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19</v>
      </c>
      <c r="AG27">
        <v>0</v>
      </c>
      <c r="AH27">
        <v>2</v>
      </c>
      <c r="AI27">
        <v>16856316</v>
      </c>
      <c r="AJ27">
        <v>22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ROW(Source!A28)</f>
        <v>28</v>
      </c>
      <c r="B28">
        <v>16856336</v>
      </c>
      <c r="C28">
        <v>16856302</v>
      </c>
      <c r="D28">
        <v>15191153</v>
      </c>
      <c r="E28">
        <v>1</v>
      </c>
      <c r="F28">
        <v>1</v>
      </c>
      <c r="G28">
        <v>1</v>
      </c>
      <c r="H28">
        <v>3</v>
      </c>
      <c r="I28" t="s">
        <v>360</v>
      </c>
      <c r="J28" t="s">
        <v>361</v>
      </c>
      <c r="K28" t="s">
        <v>362</v>
      </c>
      <c r="L28">
        <v>1348</v>
      </c>
      <c r="N28">
        <v>1009</v>
      </c>
      <c r="O28" t="s">
        <v>37</v>
      </c>
      <c r="P28" t="s">
        <v>37</v>
      </c>
      <c r="Q28">
        <v>1000</v>
      </c>
      <c r="X28">
        <v>3.0000000000000001E-5</v>
      </c>
      <c r="Y28">
        <v>4455.2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19</v>
      </c>
      <c r="AG28">
        <v>0</v>
      </c>
      <c r="AH28">
        <v>2</v>
      </c>
      <c r="AI28">
        <v>16856317</v>
      </c>
      <c r="AJ28">
        <v>23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ROW(Source!A28)</f>
        <v>28</v>
      </c>
      <c r="B29">
        <v>16856337</v>
      </c>
      <c r="C29">
        <v>16856302</v>
      </c>
      <c r="D29">
        <v>15191913</v>
      </c>
      <c r="E29">
        <v>1</v>
      </c>
      <c r="F29">
        <v>1</v>
      </c>
      <c r="G29">
        <v>1</v>
      </c>
      <c r="H29">
        <v>3</v>
      </c>
      <c r="I29" t="s">
        <v>363</v>
      </c>
      <c r="J29" t="s">
        <v>364</v>
      </c>
      <c r="K29" t="s">
        <v>365</v>
      </c>
      <c r="L29">
        <v>1348</v>
      </c>
      <c r="N29">
        <v>1009</v>
      </c>
      <c r="O29" t="s">
        <v>37</v>
      </c>
      <c r="P29" t="s">
        <v>37</v>
      </c>
      <c r="Q29">
        <v>1000</v>
      </c>
      <c r="X29">
        <v>1.9400000000000001E-3</v>
      </c>
      <c r="Y29">
        <v>4920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19</v>
      </c>
      <c r="AG29">
        <v>0</v>
      </c>
      <c r="AH29">
        <v>2</v>
      </c>
      <c r="AI29">
        <v>16856318</v>
      </c>
      <c r="AJ29">
        <v>24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ROW(Source!A28)</f>
        <v>28</v>
      </c>
      <c r="B30">
        <v>16856338</v>
      </c>
      <c r="C30">
        <v>16856302</v>
      </c>
      <c r="D30">
        <v>15162376</v>
      </c>
      <c r="E30">
        <v>17</v>
      </c>
      <c r="F30">
        <v>1</v>
      </c>
      <c r="G30">
        <v>1</v>
      </c>
      <c r="H30">
        <v>3</v>
      </c>
      <c r="I30" t="s">
        <v>442</v>
      </c>
      <c r="J30" t="s">
        <v>6</v>
      </c>
      <c r="K30" t="s">
        <v>443</v>
      </c>
      <c r="L30">
        <v>1348</v>
      </c>
      <c r="N30">
        <v>1009</v>
      </c>
      <c r="O30" t="s">
        <v>37</v>
      </c>
      <c r="P30" t="s">
        <v>37</v>
      </c>
      <c r="Q30">
        <v>1000</v>
      </c>
      <c r="X30">
        <v>1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 t="s">
        <v>19</v>
      </c>
      <c r="AG30">
        <v>0</v>
      </c>
      <c r="AH30">
        <v>3</v>
      </c>
      <c r="AI30">
        <v>-1</v>
      </c>
      <c r="AJ30" t="s">
        <v>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ROW(Source!A28)</f>
        <v>28</v>
      </c>
      <c r="B31">
        <v>16856339</v>
      </c>
      <c r="C31">
        <v>16856302</v>
      </c>
      <c r="D31">
        <v>15162373</v>
      </c>
      <c r="E31">
        <v>17</v>
      </c>
      <c r="F31">
        <v>1</v>
      </c>
      <c r="G31">
        <v>1</v>
      </c>
      <c r="H31">
        <v>3</v>
      </c>
      <c r="I31" t="s">
        <v>444</v>
      </c>
      <c r="J31" t="s">
        <v>6</v>
      </c>
      <c r="K31" t="s">
        <v>445</v>
      </c>
      <c r="L31">
        <v>1348</v>
      </c>
      <c r="N31">
        <v>1009</v>
      </c>
      <c r="O31" t="s">
        <v>37</v>
      </c>
      <c r="P31" t="s">
        <v>37</v>
      </c>
      <c r="Q31">
        <v>1000</v>
      </c>
      <c r="X31">
        <v>0</v>
      </c>
      <c r="Y31">
        <v>0</v>
      </c>
      <c r="Z31">
        <v>0</v>
      </c>
      <c r="AA31">
        <v>0</v>
      </c>
      <c r="AB31">
        <v>0</v>
      </c>
      <c r="AC31">
        <v>1</v>
      </c>
      <c r="AD31">
        <v>0</v>
      </c>
      <c r="AE31">
        <v>0</v>
      </c>
      <c r="AF31" t="s">
        <v>19</v>
      </c>
      <c r="AG31">
        <v>0</v>
      </c>
      <c r="AH31">
        <v>3</v>
      </c>
      <c r="AI31">
        <v>-1</v>
      </c>
      <c r="AJ31" t="s">
        <v>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ROW(Source!A28)</f>
        <v>28</v>
      </c>
      <c r="B32">
        <v>16856340</v>
      </c>
      <c r="C32">
        <v>16856302</v>
      </c>
      <c r="D32">
        <v>15203461</v>
      </c>
      <c r="E32">
        <v>1</v>
      </c>
      <c r="F32">
        <v>1</v>
      </c>
      <c r="G32">
        <v>1</v>
      </c>
      <c r="H32">
        <v>3</v>
      </c>
      <c r="I32" t="s">
        <v>366</v>
      </c>
      <c r="J32" t="s">
        <v>367</v>
      </c>
      <c r="K32" t="s">
        <v>368</v>
      </c>
      <c r="L32">
        <v>1348</v>
      </c>
      <c r="N32">
        <v>1009</v>
      </c>
      <c r="O32" t="s">
        <v>37</v>
      </c>
      <c r="P32" t="s">
        <v>37</v>
      </c>
      <c r="Q32">
        <v>1000</v>
      </c>
      <c r="X32">
        <v>3.1E-4</v>
      </c>
      <c r="Y32">
        <v>15620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19</v>
      </c>
      <c r="AG32">
        <v>0</v>
      </c>
      <c r="AH32">
        <v>2</v>
      </c>
      <c r="AI32">
        <v>16856319</v>
      </c>
      <c r="AJ32">
        <v>25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ROW(Source!A28)</f>
        <v>28</v>
      </c>
      <c r="B33">
        <v>16856341</v>
      </c>
      <c r="C33">
        <v>16856302</v>
      </c>
      <c r="D33">
        <v>15204663</v>
      </c>
      <c r="E33">
        <v>1</v>
      </c>
      <c r="F33">
        <v>1</v>
      </c>
      <c r="G33">
        <v>1</v>
      </c>
      <c r="H33">
        <v>3</v>
      </c>
      <c r="I33" t="s">
        <v>369</v>
      </c>
      <c r="J33" t="s">
        <v>370</v>
      </c>
      <c r="K33" t="s">
        <v>371</v>
      </c>
      <c r="L33">
        <v>1348</v>
      </c>
      <c r="N33">
        <v>1009</v>
      </c>
      <c r="O33" t="s">
        <v>37</v>
      </c>
      <c r="P33" t="s">
        <v>37</v>
      </c>
      <c r="Q33">
        <v>1000</v>
      </c>
      <c r="X33">
        <v>5.9999999999999995E-4</v>
      </c>
      <c r="Y33">
        <v>9420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19</v>
      </c>
      <c r="AG33">
        <v>0</v>
      </c>
      <c r="AH33">
        <v>2</v>
      </c>
      <c r="AI33">
        <v>16856320</v>
      </c>
      <c r="AJ33">
        <v>26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ROW(Source!A29)</f>
        <v>29</v>
      </c>
      <c r="B34">
        <v>16856321</v>
      </c>
      <c r="C34">
        <v>16856302</v>
      </c>
      <c r="D34">
        <v>15430447</v>
      </c>
      <c r="E34">
        <v>1</v>
      </c>
      <c r="F34">
        <v>1</v>
      </c>
      <c r="G34">
        <v>1</v>
      </c>
      <c r="H34">
        <v>1</v>
      </c>
      <c r="I34" t="s">
        <v>322</v>
      </c>
      <c r="J34" t="s">
        <v>6</v>
      </c>
      <c r="K34" t="s">
        <v>323</v>
      </c>
      <c r="L34">
        <v>1191</v>
      </c>
      <c r="N34">
        <v>1013</v>
      </c>
      <c r="O34" t="s">
        <v>313</v>
      </c>
      <c r="P34" t="s">
        <v>313</v>
      </c>
      <c r="Q34">
        <v>1</v>
      </c>
      <c r="X34">
        <v>219.65</v>
      </c>
      <c r="Y34">
        <v>0</v>
      </c>
      <c r="Z34">
        <v>0</v>
      </c>
      <c r="AA34">
        <v>0</v>
      </c>
      <c r="AB34">
        <v>9.07</v>
      </c>
      <c r="AC34">
        <v>0</v>
      </c>
      <c r="AD34">
        <v>1</v>
      </c>
      <c r="AE34">
        <v>1</v>
      </c>
      <c r="AF34" t="s">
        <v>40</v>
      </c>
      <c r="AG34">
        <v>153.755</v>
      </c>
      <c r="AH34">
        <v>2</v>
      </c>
      <c r="AI34">
        <v>16856303</v>
      </c>
      <c r="AJ34">
        <v>27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ROW(Source!A29)</f>
        <v>29</v>
      </c>
      <c r="B35">
        <v>16856322</v>
      </c>
      <c r="C35">
        <v>16856302</v>
      </c>
      <c r="D35">
        <v>15430395</v>
      </c>
      <c r="E35">
        <v>1</v>
      </c>
      <c r="F35">
        <v>1</v>
      </c>
      <c r="G35">
        <v>1</v>
      </c>
      <c r="H35">
        <v>1</v>
      </c>
      <c r="I35" t="s">
        <v>316</v>
      </c>
      <c r="J35" t="s">
        <v>6</v>
      </c>
      <c r="K35" t="s">
        <v>317</v>
      </c>
      <c r="L35">
        <v>1191</v>
      </c>
      <c r="N35">
        <v>1013</v>
      </c>
      <c r="O35" t="s">
        <v>313</v>
      </c>
      <c r="P35" t="s">
        <v>313</v>
      </c>
      <c r="Q35">
        <v>1</v>
      </c>
      <c r="X35">
        <v>15.49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40</v>
      </c>
      <c r="AG35">
        <v>10.843</v>
      </c>
      <c r="AH35">
        <v>2</v>
      </c>
      <c r="AI35">
        <v>16856304</v>
      </c>
      <c r="AJ35">
        <v>28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ROW(Source!A29)</f>
        <v>29</v>
      </c>
      <c r="B36">
        <v>16856323</v>
      </c>
      <c r="C36">
        <v>16856302</v>
      </c>
      <c r="D36">
        <v>15247680</v>
      </c>
      <c r="E36">
        <v>1</v>
      </c>
      <c r="F36">
        <v>1</v>
      </c>
      <c r="G36">
        <v>1</v>
      </c>
      <c r="H36">
        <v>2</v>
      </c>
      <c r="I36" t="s">
        <v>324</v>
      </c>
      <c r="J36" t="s">
        <v>325</v>
      </c>
      <c r="K36" t="s">
        <v>326</v>
      </c>
      <c r="L36">
        <v>1368</v>
      </c>
      <c r="N36">
        <v>1011</v>
      </c>
      <c r="O36" t="s">
        <v>321</v>
      </c>
      <c r="P36" t="s">
        <v>321</v>
      </c>
      <c r="Q36">
        <v>1</v>
      </c>
      <c r="X36">
        <v>0.12</v>
      </c>
      <c r="Y36">
        <v>0</v>
      </c>
      <c r="Z36">
        <v>111.99</v>
      </c>
      <c r="AA36">
        <v>13.5</v>
      </c>
      <c r="AB36">
        <v>0</v>
      </c>
      <c r="AC36">
        <v>0</v>
      </c>
      <c r="AD36">
        <v>1</v>
      </c>
      <c r="AE36">
        <v>0</v>
      </c>
      <c r="AF36" t="s">
        <v>40</v>
      </c>
      <c r="AG36">
        <v>8.3999999999999991E-2</v>
      </c>
      <c r="AH36">
        <v>2</v>
      </c>
      <c r="AI36">
        <v>16856305</v>
      </c>
      <c r="AJ36">
        <v>29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ROW(Source!A29)</f>
        <v>29</v>
      </c>
      <c r="B37">
        <v>16856324</v>
      </c>
      <c r="C37">
        <v>16856302</v>
      </c>
      <c r="D37">
        <v>15247728</v>
      </c>
      <c r="E37">
        <v>1</v>
      </c>
      <c r="F37">
        <v>1</v>
      </c>
      <c r="G37">
        <v>1</v>
      </c>
      <c r="H37">
        <v>2</v>
      </c>
      <c r="I37" t="s">
        <v>327</v>
      </c>
      <c r="J37" t="s">
        <v>328</v>
      </c>
      <c r="K37" t="s">
        <v>329</v>
      </c>
      <c r="L37">
        <v>1368</v>
      </c>
      <c r="N37">
        <v>1011</v>
      </c>
      <c r="O37" t="s">
        <v>321</v>
      </c>
      <c r="P37" t="s">
        <v>321</v>
      </c>
      <c r="Q37">
        <v>1</v>
      </c>
      <c r="X37">
        <v>15.18</v>
      </c>
      <c r="Y37">
        <v>0</v>
      </c>
      <c r="Z37">
        <v>102.51</v>
      </c>
      <c r="AA37">
        <v>14.4</v>
      </c>
      <c r="AB37">
        <v>0</v>
      </c>
      <c r="AC37">
        <v>0</v>
      </c>
      <c r="AD37">
        <v>1</v>
      </c>
      <c r="AE37">
        <v>0</v>
      </c>
      <c r="AF37" t="s">
        <v>40</v>
      </c>
      <c r="AG37">
        <v>10.625999999999999</v>
      </c>
      <c r="AH37">
        <v>2</v>
      </c>
      <c r="AI37">
        <v>16856306</v>
      </c>
      <c r="AJ37">
        <v>30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ROW(Source!A29)</f>
        <v>29</v>
      </c>
      <c r="B38">
        <v>16856325</v>
      </c>
      <c r="C38">
        <v>16856302</v>
      </c>
      <c r="D38">
        <v>15249073</v>
      </c>
      <c r="E38">
        <v>1</v>
      </c>
      <c r="F38">
        <v>1</v>
      </c>
      <c r="G38">
        <v>1</v>
      </c>
      <c r="H38">
        <v>2</v>
      </c>
      <c r="I38" t="s">
        <v>330</v>
      </c>
      <c r="J38" t="s">
        <v>331</v>
      </c>
      <c r="K38" t="s">
        <v>332</v>
      </c>
      <c r="L38">
        <v>1368</v>
      </c>
      <c r="N38">
        <v>1011</v>
      </c>
      <c r="O38" t="s">
        <v>321</v>
      </c>
      <c r="P38" t="s">
        <v>321</v>
      </c>
      <c r="Q38">
        <v>1</v>
      </c>
      <c r="X38">
        <v>0.19</v>
      </c>
      <c r="Y38">
        <v>0</v>
      </c>
      <c r="Z38">
        <v>65.709999999999994</v>
      </c>
      <c r="AA38">
        <v>11.6</v>
      </c>
      <c r="AB38">
        <v>0</v>
      </c>
      <c r="AC38">
        <v>0</v>
      </c>
      <c r="AD38">
        <v>1</v>
      </c>
      <c r="AE38">
        <v>0</v>
      </c>
      <c r="AF38" t="s">
        <v>40</v>
      </c>
      <c r="AG38">
        <v>0.13299999999999998</v>
      </c>
      <c r="AH38">
        <v>2</v>
      </c>
      <c r="AI38">
        <v>16856307</v>
      </c>
      <c r="AJ38">
        <v>31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ROW(Source!A29)</f>
        <v>29</v>
      </c>
      <c r="B39">
        <v>16856326</v>
      </c>
      <c r="C39">
        <v>16856302</v>
      </c>
      <c r="D39">
        <v>15249308</v>
      </c>
      <c r="E39">
        <v>1</v>
      </c>
      <c r="F39">
        <v>1</v>
      </c>
      <c r="G39">
        <v>1</v>
      </c>
      <c r="H39">
        <v>2</v>
      </c>
      <c r="I39" t="s">
        <v>333</v>
      </c>
      <c r="J39" t="s">
        <v>334</v>
      </c>
      <c r="K39" t="s">
        <v>335</v>
      </c>
      <c r="L39">
        <v>1368</v>
      </c>
      <c r="N39">
        <v>1011</v>
      </c>
      <c r="O39" t="s">
        <v>321</v>
      </c>
      <c r="P39" t="s">
        <v>321</v>
      </c>
      <c r="Q39">
        <v>1</v>
      </c>
      <c r="X39">
        <v>2.2999999999999998</v>
      </c>
      <c r="Y39">
        <v>0</v>
      </c>
      <c r="Z39">
        <v>1.2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40</v>
      </c>
      <c r="AG39">
        <v>1.6099999999999999</v>
      </c>
      <c r="AH39">
        <v>2</v>
      </c>
      <c r="AI39">
        <v>16856308</v>
      </c>
      <c r="AJ39">
        <v>32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ROW(Source!A29)</f>
        <v>29</v>
      </c>
      <c r="B40">
        <v>16856327</v>
      </c>
      <c r="C40">
        <v>16856302</v>
      </c>
      <c r="D40">
        <v>15249355</v>
      </c>
      <c r="E40">
        <v>1</v>
      </c>
      <c r="F40">
        <v>1</v>
      </c>
      <c r="G40">
        <v>1</v>
      </c>
      <c r="H40">
        <v>2</v>
      </c>
      <c r="I40" t="s">
        <v>336</v>
      </c>
      <c r="J40" t="s">
        <v>337</v>
      </c>
      <c r="K40" t="s">
        <v>338</v>
      </c>
      <c r="L40">
        <v>1368</v>
      </c>
      <c r="N40">
        <v>1011</v>
      </c>
      <c r="O40" t="s">
        <v>321</v>
      </c>
      <c r="P40" t="s">
        <v>321</v>
      </c>
      <c r="Q40">
        <v>1</v>
      </c>
      <c r="X40">
        <v>17.48</v>
      </c>
      <c r="Y40">
        <v>0</v>
      </c>
      <c r="Z40">
        <v>12.31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40</v>
      </c>
      <c r="AG40">
        <v>12.235999999999999</v>
      </c>
      <c r="AH40">
        <v>2</v>
      </c>
      <c r="AI40">
        <v>16856309</v>
      </c>
      <c r="AJ40">
        <v>33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ROW(Source!A29)</f>
        <v>29</v>
      </c>
      <c r="B41">
        <v>16856328</v>
      </c>
      <c r="C41">
        <v>16856302</v>
      </c>
      <c r="D41">
        <v>15165653</v>
      </c>
      <c r="E41">
        <v>1</v>
      </c>
      <c r="F41">
        <v>1</v>
      </c>
      <c r="G41">
        <v>1</v>
      </c>
      <c r="H41">
        <v>3</v>
      </c>
      <c r="I41" t="s">
        <v>339</v>
      </c>
      <c r="J41" t="s">
        <v>340</v>
      </c>
      <c r="K41" t="s">
        <v>341</v>
      </c>
      <c r="L41">
        <v>1339</v>
      </c>
      <c r="N41">
        <v>1007</v>
      </c>
      <c r="O41" t="s">
        <v>107</v>
      </c>
      <c r="P41" t="s">
        <v>107</v>
      </c>
      <c r="Q41">
        <v>1</v>
      </c>
      <c r="X41">
        <v>1.95</v>
      </c>
      <c r="Y41">
        <v>6.22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19</v>
      </c>
      <c r="AG41">
        <v>0</v>
      </c>
      <c r="AH41">
        <v>2</v>
      </c>
      <c r="AI41">
        <v>16856310</v>
      </c>
      <c r="AJ41">
        <v>34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ROW(Source!A29)</f>
        <v>29</v>
      </c>
      <c r="B42">
        <v>16856329</v>
      </c>
      <c r="C42">
        <v>16856302</v>
      </c>
      <c r="D42">
        <v>15165660</v>
      </c>
      <c r="E42">
        <v>1</v>
      </c>
      <c r="F42">
        <v>1</v>
      </c>
      <c r="G42">
        <v>1</v>
      </c>
      <c r="H42">
        <v>3</v>
      </c>
      <c r="I42" t="s">
        <v>342</v>
      </c>
      <c r="J42" t="s">
        <v>343</v>
      </c>
      <c r="K42" t="s">
        <v>344</v>
      </c>
      <c r="L42">
        <v>1346</v>
      </c>
      <c r="N42">
        <v>1009</v>
      </c>
      <c r="O42" t="s">
        <v>129</v>
      </c>
      <c r="P42" t="s">
        <v>129</v>
      </c>
      <c r="Q42">
        <v>1</v>
      </c>
      <c r="X42">
        <v>0.6</v>
      </c>
      <c r="Y42">
        <v>6.09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19</v>
      </c>
      <c r="AG42">
        <v>0</v>
      </c>
      <c r="AH42">
        <v>2</v>
      </c>
      <c r="AI42">
        <v>16856311</v>
      </c>
      <c r="AJ42">
        <v>35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ROW(Source!A29)</f>
        <v>29</v>
      </c>
      <c r="B43">
        <v>16856330</v>
      </c>
      <c r="C43">
        <v>16856302</v>
      </c>
      <c r="D43">
        <v>15168753</v>
      </c>
      <c r="E43">
        <v>1</v>
      </c>
      <c r="F43">
        <v>1</v>
      </c>
      <c r="G43">
        <v>1</v>
      </c>
      <c r="H43">
        <v>3</v>
      </c>
      <c r="I43" t="s">
        <v>345</v>
      </c>
      <c r="J43" t="s">
        <v>346</v>
      </c>
      <c r="K43" t="s">
        <v>347</v>
      </c>
      <c r="L43">
        <v>1348</v>
      </c>
      <c r="N43">
        <v>1009</v>
      </c>
      <c r="O43" t="s">
        <v>37</v>
      </c>
      <c r="P43" t="s">
        <v>37</v>
      </c>
      <c r="Q43">
        <v>1000</v>
      </c>
      <c r="X43">
        <v>1.2E-2</v>
      </c>
      <c r="Y43">
        <v>10749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19</v>
      </c>
      <c r="AG43">
        <v>0</v>
      </c>
      <c r="AH43">
        <v>2</v>
      </c>
      <c r="AI43">
        <v>16856312</v>
      </c>
      <c r="AJ43">
        <v>36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ROW(Source!A29)</f>
        <v>29</v>
      </c>
      <c r="B44">
        <v>16856331</v>
      </c>
      <c r="C44">
        <v>16856302</v>
      </c>
      <c r="D44">
        <v>15169941</v>
      </c>
      <c r="E44">
        <v>1</v>
      </c>
      <c r="F44">
        <v>1</v>
      </c>
      <c r="G44">
        <v>1</v>
      </c>
      <c r="H44">
        <v>3</v>
      </c>
      <c r="I44" t="s">
        <v>348</v>
      </c>
      <c r="J44" t="s">
        <v>349</v>
      </c>
      <c r="K44" t="s">
        <v>350</v>
      </c>
      <c r="L44">
        <v>1348</v>
      </c>
      <c r="N44">
        <v>1009</v>
      </c>
      <c r="O44" t="s">
        <v>37</v>
      </c>
      <c r="P44" t="s">
        <v>37</v>
      </c>
      <c r="Q44">
        <v>1000</v>
      </c>
      <c r="X44">
        <v>7.0000000000000001E-3</v>
      </c>
      <c r="Y44">
        <v>9040.01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19</v>
      </c>
      <c r="AG44">
        <v>0</v>
      </c>
      <c r="AH44">
        <v>2</v>
      </c>
      <c r="AI44">
        <v>16856313</v>
      </c>
      <c r="AJ44">
        <v>37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ROW(Source!A29)</f>
        <v>29</v>
      </c>
      <c r="B45">
        <v>16856332</v>
      </c>
      <c r="C45">
        <v>16856302</v>
      </c>
      <c r="D45">
        <v>15170039</v>
      </c>
      <c r="E45">
        <v>1</v>
      </c>
      <c r="F45">
        <v>1</v>
      </c>
      <c r="G45">
        <v>1</v>
      </c>
      <c r="H45">
        <v>3</v>
      </c>
      <c r="I45" t="s">
        <v>351</v>
      </c>
      <c r="J45" t="s">
        <v>352</v>
      </c>
      <c r="K45" t="s">
        <v>353</v>
      </c>
      <c r="L45">
        <v>1348</v>
      </c>
      <c r="N45">
        <v>1009</v>
      </c>
      <c r="O45" t="s">
        <v>37</v>
      </c>
      <c r="P45" t="s">
        <v>37</v>
      </c>
      <c r="Q45">
        <v>1000</v>
      </c>
      <c r="X45">
        <v>1.0000000000000001E-5</v>
      </c>
      <c r="Y45">
        <v>11978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19</v>
      </c>
      <c r="AG45">
        <v>0</v>
      </c>
      <c r="AH45">
        <v>2</v>
      </c>
      <c r="AI45">
        <v>16856314</v>
      </c>
      <c r="AJ45">
        <v>38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ROW(Source!A29)</f>
        <v>29</v>
      </c>
      <c r="B46">
        <v>16856333</v>
      </c>
      <c r="C46">
        <v>16856302</v>
      </c>
      <c r="D46">
        <v>15171021</v>
      </c>
      <c r="E46">
        <v>1</v>
      </c>
      <c r="F46">
        <v>1</v>
      </c>
      <c r="G46">
        <v>1</v>
      </c>
      <c r="H46">
        <v>3</v>
      </c>
      <c r="I46" t="s">
        <v>354</v>
      </c>
      <c r="J46" t="s">
        <v>355</v>
      </c>
      <c r="K46" t="s">
        <v>356</v>
      </c>
      <c r="L46">
        <v>1348</v>
      </c>
      <c r="N46">
        <v>1009</v>
      </c>
      <c r="O46" t="s">
        <v>37</v>
      </c>
      <c r="P46" t="s">
        <v>37</v>
      </c>
      <c r="Q46">
        <v>1000</v>
      </c>
      <c r="X46">
        <v>1E-4</v>
      </c>
      <c r="Y46">
        <v>37900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19</v>
      </c>
      <c r="AG46">
        <v>0</v>
      </c>
      <c r="AH46">
        <v>2</v>
      </c>
      <c r="AI46">
        <v>16856315</v>
      </c>
      <c r="AJ46">
        <v>39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ROW(Source!A29)</f>
        <v>29</v>
      </c>
      <c r="B47">
        <v>16856334</v>
      </c>
      <c r="C47">
        <v>16856302</v>
      </c>
      <c r="D47">
        <v>15162173</v>
      </c>
      <c r="E47">
        <v>17</v>
      </c>
      <c r="F47">
        <v>1</v>
      </c>
      <c r="G47">
        <v>1</v>
      </c>
      <c r="H47">
        <v>3</v>
      </c>
      <c r="I47" t="s">
        <v>440</v>
      </c>
      <c r="J47" t="s">
        <v>6</v>
      </c>
      <c r="K47" t="s">
        <v>441</v>
      </c>
      <c r="L47">
        <v>1348</v>
      </c>
      <c r="N47">
        <v>1009</v>
      </c>
      <c r="O47" t="s">
        <v>37</v>
      </c>
      <c r="P47" t="s">
        <v>37</v>
      </c>
      <c r="Q47">
        <v>1000</v>
      </c>
      <c r="X47">
        <v>0</v>
      </c>
      <c r="Y47">
        <v>0</v>
      </c>
      <c r="Z47">
        <v>0</v>
      </c>
      <c r="AA47">
        <v>0</v>
      </c>
      <c r="AB47">
        <v>0</v>
      </c>
      <c r="AC47">
        <v>1</v>
      </c>
      <c r="AD47">
        <v>0</v>
      </c>
      <c r="AE47">
        <v>0</v>
      </c>
      <c r="AF47" t="s">
        <v>19</v>
      </c>
      <c r="AG47">
        <v>0</v>
      </c>
      <c r="AH47">
        <v>3</v>
      </c>
      <c r="AI47">
        <v>-1</v>
      </c>
      <c r="AJ47" t="s">
        <v>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ROW(Source!A29)</f>
        <v>29</v>
      </c>
      <c r="B48">
        <v>16856335</v>
      </c>
      <c r="C48">
        <v>16856302</v>
      </c>
      <c r="D48">
        <v>15190794</v>
      </c>
      <c r="E48">
        <v>1</v>
      </c>
      <c r="F48">
        <v>1</v>
      </c>
      <c r="G48">
        <v>1</v>
      </c>
      <c r="H48">
        <v>3</v>
      </c>
      <c r="I48" t="s">
        <v>357</v>
      </c>
      <c r="J48" t="s">
        <v>358</v>
      </c>
      <c r="K48" t="s">
        <v>359</v>
      </c>
      <c r="L48">
        <v>1302</v>
      </c>
      <c r="N48">
        <v>1003</v>
      </c>
      <c r="O48" t="s">
        <v>152</v>
      </c>
      <c r="P48" t="s">
        <v>152</v>
      </c>
      <c r="Q48">
        <v>10</v>
      </c>
      <c r="X48">
        <v>1.8700000000000001E-2</v>
      </c>
      <c r="Y48">
        <v>50.24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19</v>
      </c>
      <c r="AG48">
        <v>0</v>
      </c>
      <c r="AH48">
        <v>2</v>
      </c>
      <c r="AI48">
        <v>16856316</v>
      </c>
      <c r="AJ48">
        <v>40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ROW(Source!A29)</f>
        <v>29</v>
      </c>
      <c r="B49">
        <v>16856336</v>
      </c>
      <c r="C49">
        <v>16856302</v>
      </c>
      <c r="D49">
        <v>15191153</v>
      </c>
      <c r="E49">
        <v>1</v>
      </c>
      <c r="F49">
        <v>1</v>
      </c>
      <c r="G49">
        <v>1</v>
      </c>
      <c r="H49">
        <v>3</v>
      </c>
      <c r="I49" t="s">
        <v>360</v>
      </c>
      <c r="J49" t="s">
        <v>361</v>
      </c>
      <c r="K49" t="s">
        <v>362</v>
      </c>
      <c r="L49">
        <v>1348</v>
      </c>
      <c r="N49">
        <v>1009</v>
      </c>
      <c r="O49" t="s">
        <v>37</v>
      </c>
      <c r="P49" t="s">
        <v>37</v>
      </c>
      <c r="Q49">
        <v>1000</v>
      </c>
      <c r="X49">
        <v>3.0000000000000001E-5</v>
      </c>
      <c r="Y49">
        <v>4455.2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19</v>
      </c>
      <c r="AG49">
        <v>0</v>
      </c>
      <c r="AH49">
        <v>2</v>
      </c>
      <c r="AI49">
        <v>16856317</v>
      </c>
      <c r="AJ49">
        <v>41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ROW(Source!A29)</f>
        <v>29</v>
      </c>
      <c r="B50">
        <v>16856337</v>
      </c>
      <c r="C50">
        <v>16856302</v>
      </c>
      <c r="D50">
        <v>15191913</v>
      </c>
      <c r="E50">
        <v>1</v>
      </c>
      <c r="F50">
        <v>1</v>
      </c>
      <c r="G50">
        <v>1</v>
      </c>
      <c r="H50">
        <v>3</v>
      </c>
      <c r="I50" t="s">
        <v>363</v>
      </c>
      <c r="J50" t="s">
        <v>364</v>
      </c>
      <c r="K50" t="s">
        <v>365</v>
      </c>
      <c r="L50">
        <v>1348</v>
      </c>
      <c r="N50">
        <v>1009</v>
      </c>
      <c r="O50" t="s">
        <v>37</v>
      </c>
      <c r="P50" t="s">
        <v>37</v>
      </c>
      <c r="Q50">
        <v>1000</v>
      </c>
      <c r="X50">
        <v>1.9400000000000001E-3</v>
      </c>
      <c r="Y50">
        <v>4920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19</v>
      </c>
      <c r="AG50">
        <v>0</v>
      </c>
      <c r="AH50">
        <v>2</v>
      </c>
      <c r="AI50">
        <v>16856318</v>
      </c>
      <c r="AJ50">
        <v>42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ROW(Source!A29)</f>
        <v>29</v>
      </c>
      <c r="B51">
        <v>16856338</v>
      </c>
      <c r="C51">
        <v>16856302</v>
      </c>
      <c r="D51">
        <v>15162376</v>
      </c>
      <c r="E51">
        <v>17</v>
      </c>
      <c r="F51">
        <v>1</v>
      </c>
      <c r="G51">
        <v>1</v>
      </c>
      <c r="H51">
        <v>3</v>
      </c>
      <c r="I51" t="s">
        <v>442</v>
      </c>
      <c r="J51" t="s">
        <v>6</v>
      </c>
      <c r="K51" t="s">
        <v>443</v>
      </c>
      <c r="L51">
        <v>1348</v>
      </c>
      <c r="N51">
        <v>1009</v>
      </c>
      <c r="O51" t="s">
        <v>37</v>
      </c>
      <c r="P51" t="s">
        <v>37</v>
      </c>
      <c r="Q51">
        <v>1000</v>
      </c>
      <c r="X51">
        <v>1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 t="s">
        <v>19</v>
      </c>
      <c r="AG51">
        <v>0</v>
      </c>
      <c r="AH51">
        <v>3</v>
      </c>
      <c r="AI51">
        <v>-1</v>
      </c>
      <c r="AJ51" t="s">
        <v>6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ROW(Source!A29)</f>
        <v>29</v>
      </c>
      <c r="B52">
        <v>16856339</v>
      </c>
      <c r="C52">
        <v>16856302</v>
      </c>
      <c r="D52">
        <v>15162373</v>
      </c>
      <c r="E52">
        <v>17</v>
      </c>
      <c r="F52">
        <v>1</v>
      </c>
      <c r="G52">
        <v>1</v>
      </c>
      <c r="H52">
        <v>3</v>
      </c>
      <c r="I52" t="s">
        <v>444</v>
      </c>
      <c r="J52" t="s">
        <v>6</v>
      </c>
      <c r="K52" t="s">
        <v>445</v>
      </c>
      <c r="L52">
        <v>1348</v>
      </c>
      <c r="N52">
        <v>1009</v>
      </c>
      <c r="O52" t="s">
        <v>37</v>
      </c>
      <c r="P52" t="s">
        <v>37</v>
      </c>
      <c r="Q52">
        <v>1000</v>
      </c>
      <c r="X52">
        <v>0</v>
      </c>
      <c r="Y52">
        <v>0</v>
      </c>
      <c r="Z52">
        <v>0</v>
      </c>
      <c r="AA52">
        <v>0</v>
      </c>
      <c r="AB52">
        <v>0</v>
      </c>
      <c r="AC52">
        <v>1</v>
      </c>
      <c r="AD52">
        <v>0</v>
      </c>
      <c r="AE52">
        <v>0</v>
      </c>
      <c r="AF52" t="s">
        <v>19</v>
      </c>
      <c r="AG52">
        <v>0</v>
      </c>
      <c r="AH52">
        <v>3</v>
      </c>
      <c r="AI52">
        <v>-1</v>
      </c>
      <c r="AJ52" t="s">
        <v>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ROW(Source!A29)</f>
        <v>29</v>
      </c>
      <c r="B53">
        <v>16856340</v>
      </c>
      <c r="C53">
        <v>16856302</v>
      </c>
      <c r="D53">
        <v>15203461</v>
      </c>
      <c r="E53">
        <v>1</v>
      </c>
      <c r="F53">
        <v>1</v>
      </c>
      <c r="G53">
        <v>1</v>
      </c>
      <c r="H53">
        <v>3</v>
      </c>
      <c r="I53" t="s">
        <v>366</v>
      </c>
      <c r="J53" t="s">
        <v>367</v>
      </c>
      <c r="K53" t="s">
        <v>368</v>
      </c>
      <c r="L53">
        <v>1348</v>
      </c>
      <c r="N53">
        <v>1009</v>
      </c>
      <c r="O53" t="s">
        <v>37</v>
      </c>
      <c r="P53" t="s">
        <v>37</v>
      </c>
      <c r="Q53">
        <v>1000</v>
      </c>
      <c r="X53">
        <v>3.1E-4</v>
      </c>
      <c r="Y53">
        <v>15620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19</v>
      </c>
      <c r="AG53">
        <v>0</v>
      </c>
      <c r="AH53">
        <v>2</v>
      </c>
      <c r="AI53">
        <v>16856319</v>
      </c>
      <c r="AJ53">
        <v>43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ROW(Source!A29)</f>
        <v>29</v>
      </c>
      <c r="B54">
        <v>16856341</v>
      </c>
      <c r="C54">
        <v>16856302</v>
      </c>
      <c r="D54">
        <v>15204663</v>
      </c>
      <c r="E54">
        <v>1</v>
      </c>
      <c r="F54">
        <v>1</v>
      </c>
      <c r="G54">
        <v>1</v>
      </c>
      <c r="H54">
        <v>3</v>
      </c>
      <c r="I54" t="s">
        <v>369</v>
      </c>
      <c r="J54" t="s">
        <v>370</v>
      </c>
      <c r="K54" t="s">
        <v>371</v>
      </c>
      <c r="L54">
        <v>1348</v>
      </c>
      <c r="N54">
        <v>1009</v>
      </c>
      <c r="O54" t="s">
        <v>37</v>
      </c>
      <c r="P54" t="s">
        <v>37</v>
      </c>
      <c r="Q54">
        <v>1000</v>
      </c>
      <c r="X54">
        <v>5.9999999999999995E-4</v>
      </c>
      <c r="Y54">
        <v>9420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19</v>
      </c>
      <c r="AG54">
        <v>0</v>
      </c>
      <c r="AH54">
        <v>2</v>
      </c>
      <c r="AI54">
        <v>16856320</v>
      </c>
      <c r="AJ54">
        <v>44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ROW(Source!A30)</f>
        <v>30</v>
      </c>
      <c r="B55">
        <v>16856345</v>
      </c>
      <c r="C55">
        <v>16856342</v>
      </c>
      <c r="D55">
        <v>15430517</v>
      </c>
      <c r="E55">
        <v>1</v>
      </c>
      <c r="F55">
        <v>1</v>
      </c>
      <c r="G55">
        <v>1</v>
      </c>
      <c r="H55">
        <v>1</v>
      </c>
      <c r="I55" t="s">
        <v>372</v>
      </c>
      <c r="J55" t="s">
        <v>6</v>
      </c>
      <c r="K55" t="s">
        <v>373</v>
      </c>
      <c r="L55">
        <v>1191</v>
      </c>
      <c r="N55">
        <v>1013</v>
      </c>
      <c r="O55" t="s">
        <v>313</v>
      </c>
      <c r="P55" t="s">
        <v>313</v>
      </c>
      <c r="Q55">
        <v>1</v>
      </c>
      <c r="X55">
        <v>9.1</v>
      </c>
      <c r="Y55">
        <v>0</v>
      </c>
      <c r="Z55">
        <v>0</v>
      </c>
      <c r="AA55">
        <v>0</v>
      </c>
      <c r="AB55">
        <v>7.8</v>
      </c>
      <c r="AC55">
        <v>0</v>
      </c>
      <c r="AD55">
        <v>1</v>
      </c>
      <c r="AE55">
        <v>1</v>
      </c>
      <c r="AF55" t="s">
        <v>6</v>
      </c>
      <c r="AG55">
        <v>9.1</v>
      </c>
      <c r="AH55">
        <v>2</v>
      </c>
      <c r="AI55">
        <v>16856343</v>
      </c>
      <c r="AJ55">
        <v>45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ROW(Source!A30)</f>
        <v>30</v>
      </c>
      <c r="B56">
        <v>16856346</v>
      </c>
      <c r="C56">
        <v>16856342</v>
      </c>
      <c r="D56">
        <v>15247878</v>
      </c>
      <c r="E56">
        <v>1</v>
      </c>
      <c r="F56">
        <v>1</v>
      </c>
      <c r="G56">
        <v>1</v>
      </c>
      <c r="H56">
        <v>2</v>
      </c>
      <c r="I56" t="s">
        <v>374</v>
      </c>
      <c r="J56" t="s">
        <v>375</v>
      </c>
      <c r="K56" t="s">
        <v>376</v>
      </c>
      <c r="L56">
        <v>1368</v>
      </c>
      <c r="N56">
        <v>1011</v>
      </c>
      <c r="O56" t="s">
        <v>321</v>
      </c>
      <c r="P56" t="s">
        <v>321</v>
      </c>
      <c r="Q56">
        <v>1</v>
      </c>
      <c r="X56">
        <v>0.12</v>
      </c>
      <c r="Y56">
        <v>0</v>
      </c>
      <c r="Z56">
        <v>1.7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0.12</v>
      </c>
      <c r="AH56">
        <v>2</v>
      </c>
      <c r="AI56">
        <v>16856344</v>
      </c>
      <c r="AJ56">
        <v>46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ROW(Source!A30)</f>
        <v>30</v>
      </c>
      <c r="B57">
        <v>16856347</v>
      </c>
      <c r="C57">
        <v>16856342</v>
      </c>
      <c r="D57">
        <v>15164566</v>
      </c>
      <c r="E57">
        <v>17</v>
      </c>
      <c r="F57">
        <v>1</v>
      </c>
      <c r="G57">
        <v>1</v>
      </c>
      <c r="H57">
        <v>3</v>
      </c>
      <c r="I57" t="s">
        <v>446</v>
      </c>
      <c r="J57" t="s">
        <v>6</v>
      </c>
      <c r="K57" t="s">
        <v>447</v>
      </c>
      <c r="L57">
        <v>1348</v>
      </c>
      <c r="N57">
        <v>1009</v>
      </c>
      <c r="O57" t="s">
        <v>37</v>
      </c>
      <c r="P57" t="s">
        <v>37</v>
      </c>
      <c r="Q57">
        <v>1000</v>
      </c>
      <c r="X57">
        <v>0.12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 t="s">
        <v>6</v>
      </c>
      <c r="AG57">
        <v>0.12</v>
      </c>
      <c r="AH57">
        <v>3</v>
      </c>
      <c r="AI57">
        <v>-1</v>
      </c>
      <c r="AJ57" t="s">
        <v>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ROW(Source!A31)</f>
        <v>31</v>
      </c>
      <c r="B58">
        <v>16856345</v>
      </c>
      <c r="C58">
        <v>16856342</v>
      </c>
      <c r="D58">
        <v>15430517</v>
      </c>
      <c r="E58">
        <v>1</v>
      </c>
      <c r="F58">
        <v>1</v>
      </c>
      <c r="G58">
        <v>1</v>
      </c>
      <c r="H58">
        <v>1</v>
      </c>
      <c r="I58" t="s">
        <v>372</v>
      </c>
      <c r="J58" t="s">
        <v>6</v>
      </c>
      <c r="K58" t="s">
        <v>373</v>
      </c>
      <c r="L58">
        <v>1191</v>
      </c>
      <c r="N58">
        <v>1013</v>
      </c>
      <c r="O58" t="s">
        <v>313</v>
      </c>
      <c r="P58" t="s">
        <v>313</v>
      </c>
      <c r="Q58">
        <v>1</v>
      </c>
      <c r="X58">
        <v>9.1</v>
      </c>
      <c r="Y58">
        <v>0</v>
      </c>
      <c r="Z58">
        <v>0</v>
      </c>
      <c r="AA58">
        <v>0</v>
      </c>
      <c r="AB58">
        <v>7.8</v>
      </c>
      <c r="AC58">
        <v>0</v>
      </c>
      <c r="AD58">
        <v>1</v>
      </c>
      <c r="AE58">
        <v>1</v>
      </c>
      <c r="AF58" t="s">
        <v>6</v>
      </c>
      <c r="AG58">
        <v>9.1</v>
      </c>
      <c r="AH58">
        <v>2</v>
      </c>
      <c r="AI58">
        <v>16856343</v>
      </c>
      <c r="AJ58">
        <v>47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ROW(Source!A31)</f>
        <v>31</v>
      </c>
      <c r="B59">
        <v>16856346</v>
      </c>
      <c r="C59">
        <v>16856342</v>
      </c>
      <c r="D59">
        <v>15247878</v>
      </c>
      <c r="E59">
        <v>1</v>
      </c>
      <c r="F59">
        <v>1</v>
      </c>
      <c r="G59">
        <v>1</v>
      </c>
      <c r="H59">
        <v>2</v>
      </c>
      <c r="I59" t="s">
        <v>374</v>
      </c>
      <c r="J59" t="s">
        <v>375</v>
      </c>
      <c r="K59" t="s">
        <v>376</v>
      </c>
      <c r="L59">
        <v>1368</v>
      </c>
      <c r="N59">
        <v>1011</v>
      </c>
      <c r="O59" t="s">
        <v>321</v>
      </c>
      <c r="P59" t="s">
        <v>321</v>
      </c>
      <c r="Q59">
        <v>1</v>
      </c>
      <c r="X59">
        <v>0.12</v>
      </c>
      <c r="Y59">
        <v>0</v>
      </c>
      <c r="Z59">
        <v>1.7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0.12</v>
      </c>
      <c r="AH59">
        <v>2</v>
      </c>
      <c r="AI59">
        <v>16856344</v>
      </c>
      <c r="AJ59">
        <v>48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ROW(Source!A31)</f>
        <v>31</v>
      </c>
      <c r="B60">
        <v>16856347</v>
      </c>
      <c r="C60">
        <v>16856342</v>
      </c>
      <c r="D60">
        <v>15164566</v>
      </c>
      <c r="E60">
        <v>17</v>
      </c>
      <c r="F60">
        <v>1</v>
      </c>
      <c r="G60">
        <v>1</v>
      </c>
      <c r="H60">
        <v>3</v>
      </c>
      <c r="I60" t="s">
        <v>446</v>
      </c>
      <c r="J60" t="s">
        <v>6</v>
      </c>
      <c r="K60" t="s">
        <v>447</v>
      </c>
      <c r="L60">
        <v>1348</v>
      </c>
      <c r="N60">
        <v>1009</v>
      </c>
      <c r="O60" t="s">
        <v>37</v>
      </c>
      <c r="P60" t="s">
        <v>37</v>
      </c>
      <c r="Q60">
        <v>1000</v>
      </c>
      <c r="X60">
        <v>0.12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6</v>
      </c>
      <c r="AG60">
        <v>0.12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ROW(Source!A32)</f>
        <v>32</v>
      </c>
      <c r="B61">
        <v>16856360</v>
      </c>
      <c r="C61">
        <v>16856348</v>
      </c>
      <c r="D61">
        <v>15436014</v>
      </c>
      <c r="E61">
        <v>1</v>
      </c>
      <c r="F61">
        <v>1</v>
      </c>
      <c r="G61">
        <v>1</v>
      </c>
      <c r="H61">
        <v>1</v>
      </c>
      <c r="I61" t="s">
        <v>377</v>
      </c>
      <c r="J61" t="s">
        <v>6</v>
      </c>
      <c r="K61" t="s">
        <v>378</v>
      </c>
      <c r="L61">
        <v>1191</v>
      </c>
      <c r="N61">
        <v>1013</v>
      </c>
      <c r="O61" t="s">
        <v>313</v>
      </c>
      <c r="P61" t="s">
        <v>313</v>
      </c>
      <c r="Q61">
        <v>1</v>
      </c>
      <c r="X61">
        <v>149.16</v>
      </c>
      <c r="Y61">
        <v>0</v>
      </c>
      <c r="Z61">
        <v>0</v>
      </c>
      <c r="AA61">
        <v>0</v>
      </c>
      <c r="AB61">
        <v>8.74</v>
      </c>
      <c r="AC61">
        <v>0</v>
      </c>
      <c r="AD61">
        <v>1</v>
      </c>
      <c r="AE61">
        <v>1</v>
      </c>
      <c r="AF61" t="s">
        <v>57</v>
      </c>
      <c r="AG61">
        <v>171.53399999999999</v>
      </c>
      <c r="AH61">
        <v>2</v>
      </c>
      <c r="AI61">
        <v>16856349</v>
      </c>
      <c r="AJ61">
        <v>49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ROW(Source!A32)</f>
        <v>32</v>
      </c>
      <c r="B62">
        <v>16856361</v>
      </c>
      <c r="C62">
        <v>16856348</v>
      </c>
      <c r="D62">
        <v>15430395</v>
      </c>
      <c r="E62">
        <v>1</v>
      </c>
      <c r="F62">
        <v>1</v>
      </c>
      <c r="G62">
        <v>1</v>
      </c>
      <c r="H62">
        <v>1</v>
      </c>
      <c r="I62" t="s">
        <v>316</v>
      </c>
      <c r="J62" t="s">
        <v>6</v>
      </c>
      <c r="K62" t="s">
        <v>317</v>
      </c>
      <c r="L62">
        <v>1191</v>
      </c>
      <c r="N62">
        <v>1013</v>
      </c>
      <c r="O62" t="s">
        <v>313</v>
      </c>
      <c r="P62" t="s">
        <v>313</v>
      </c>
      <c r="Q62">
        <v>1</v>
      </c>
      <c r="X62">
        <v>4.2300000000000004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56</v>
      </c>
      <c r="AG62">
        <v>5.2875000000000005</v>
      </c>
      <c r="AH62">
        <v>2</v>
      </c>
      <c r="AI62">
        <v>16856350</v>
      </c>
      <c r="AJ62">
        <v>50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ROW(Source!A32)</f>
        <v>32</v>
      </c>
      <c r="B63">
        <v>16856362</v>
      </c>
      <c r="C63">
        <v>16856348</v>
      </c>
      <c r="D63">
        <v>15247974</v>
      </c>
      <c r="E63">
        <v>1</v>
      </c>
      <c r="F63">
        <v>1</v>
      </c>
      <c r="G63">
        <v>1</v>
      </c>
      <c r="H63">
        <v>2</v>
      </c>
      <c r="I63" t="s">
        <v>318</v>
      </c>
      <c r="J63" t="s">
        <v>319</v>
      </c>
      <c r="K63" t="s">
        <v>320</v>
      </c>
      <c r="L63">
        <v>1368</v>
      </c>
      <c r="N63">
        <v>1011</v>
      </c>
      <c r="O63" t="s">
        <v>321</v>
      </c>
      <c r="P63" t="s">
        <v>321</v>
      </c>
      <c r="Q63">
        <v>1</v>
      </c>
      <c r="X63">
        <v>0.66</v>
      </c>
      <c r="Y63">
        <v>0</v>
      </c>
      <c r="Z63">
        <v>31.26</v>
      </c>
      <c r="AA63">
        <v>13.5</v>
      </c>
      <c r="AB63">
        <v>0</v>
      </c>
      <c r="AC63">
        <v>0</v>
      </c>
      <c r="AD63">
        <v>1</v>
      </c>
      <c r="AE63">
        <v>0</v>
      </c>
      <c r="AF63" t="s">
        <v>56</v>
      </c>
      <c r="AG63">
        <v>0.82500000000000007</v>
      </c>
      <c r="AH63">
        <v>2</v>
      </c>
      <c r="AI63">
        <v>16856351</v>
      </c>
      <c r="AJ63">
        <v>51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ROW(Source!A32)</f>
        <v>32</v>
      </c>
      <c r="B64">
        <v>16856363</v>
      </c>
      <c r="C64">
        <v>16856348</v>
      </c>
      <c r="D64">
        <v>15249073</v>
      </c>
      <c r="E64">
        <v>1</v>
      </c>
      <c r="F64">
        <v>1</v>
      </c>
      <c r="G64">
        <v>1</v>
      </c>
      <c r="H64">
        <v>2</v>
      </c>
      <c r="I64" t="s">
        <v>330</v>
      </c>
      <c r="J64" t="s">
        <v>331</v>
      </c>
      <c r="K64" t="s">
        <v>332</v>
      </c>
      <c r="L64">
        <v>1368</v>
      </c>
      <c r="N64">
        <v>1011</v>
      </c>
      <c r="O64" t="s">
        <v>321</v>
      </c>
      <c r="P64" t="s">
        <v>321</v>
      </c>
      <c r="Q64">
        <v>1</v>
      </c>
      <c r="X64">
        <v>3.57</v>
      </c>
      <c r="Y64">
        <v>0</v>
      </c>
      <c r="Z64">
        <v>65.709999999999994</v>
      </c>
      <c r="AA64">
        <v>11.6</v>
      </c>
      <c r="AB64">
        <v>0</v>
      </c>
      <c r="AC64">
        <v>0</v>
      </c>
      <c r="AD64">
        <v>1</v>
      </c>
      <c r="AE64">
        <v>0</v>
      </c>
      <c r="AF64" t="s">
        <v>56</v>
      </c>
      <c r="AG64">
        <v>4.4624999999999995</v>
      </c>
      <c r="AH64">
        <v>2</v>
      </c>
      <c r="AI64">
        <v>16856352</v>
      </c>
      <c r="AJ64">
        <v>52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ROW(Source!A32)</f>
        <v>32</v>
      </c>
      <c r="B65">
        <v>16856364</v>
      </c>
      <c r="C65">
        <v>16856348</v>
      </c>
      <c r="D65">
        <v>15167551</v>
      </c>
      <c r="E65">
        <v>1</v>
      </c>
      <c r="F65">
        <v>1</v>
      </c>
      <c r="G65">
        <v>1</v>
      </c>
      <c r="H65">
        <v>3</v>
      </c>
      <c r="I65" t="s">
        <v>379</v>
      </c>
      <c r="J65" t="s">
        <v>380</v>
      </c>
      <c r="K65" t="s">
        <v>381</v>
      </c>
      <c r="L65">
        <v>1301</v>
      </c>
      <c r="N65">
        <v>1003</v>
      </c>
      <c r="O65" t="s">
        <v>90</v>
      </c>
      <c r="P65" t="s">
        <v>90</v>
      </c>
      <c r="Q65">
        <v>1</v>
      </c>
      <c r="X65">
        <v>253</v>
      </c>
      <c r="Y65">
        <v>6.38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6</v>
      </c>
      <c r="AG65">
        <v>253</v>
      </c>
      <c r="AH65">
        <v>2</v>
      </c>
      <c r="AI65">
        <v>16856353</v>
      </c>
      <c r="AJ65">
        <v>53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ROW(Source!A32)</f>
        <v>32</v>
      </c>
      <c r="B66">
        <v>16856365</v>
      </c>
      <c r="C66">
        <v>16856348</v>
      </c>
      <c r="D66">
        <v>15167552</v>
      </c>
      <c r="E66">
        <v>1</v>
      </c>
      <c r="F66">
        <v>1</v>
      </c>
      <c r="G66">
        <v>1</v>
      </c>
      <c r="H66">
        <v>3</v>
      </c>
      <c r="I66" t="s">
        <v>382</v>
      </c>
      <c r="J66" t="s">
        <v>383</v>
      </c>
      <c r="K66" t="s">
        <v>384</v>
      </c>
      <c r="L66">
        <v>1301</v>
      </c>
      <c r="N66">
        <v>1003</v>
      </c>
      <c r="O66" t="s">
        <v>90</v>
      </c>
      <c r="P66" t="s">
        <v>90</v>
      </c>
      <c r="Q66">
        <v>1</v>
      </c>
      <c r="X66">
        <v>59</v>
      </c>
      <c r="Y66">
        <v>7.95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59</v>
      </c>
      <c r="AH66">
        <v>2</v>
      </c>
      <c r="AI66">
        <v>16856354</v>
      </c>
      <c r="AJ66">
        <v>54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ROW(Source!A32)</f>
        <v>32</v>
      </c>
      <c r="B67">
        <v>16856366</v>
      </c>
      <c r="C67">
        <v>16856348</v>
      </c>
      <c r="D67">
        <v>15167640</v>
      </c>
      <c r="E67">
        <v>1</v>
      </c>
      <c r="F67">
        <v>1</v>
      </c>
      <c r="G67">
        <v>1</v>
      </c>
      <c r="H67">
        <v>3</v>
      </c>
      <c r="I67" t="s">
        <v>385</v>
      </c>
      <c r="J67" t="s">
        <v>386</v>
      </c>
      <c r="K67" t="s">
        <v>387</v>
      </c>
      <c r="L67">
        <v>1302</v>
      </c>
      <c r="N67">
        <v>1003</v>
      </c>
      <c r="O67" t="s">
        <v>152</v>
      </c>
      <c r="P67" t="s">
        <v>152</v>
      </c>
      <c r="Q67">
        <v>10</v>
      </c>
      <c r="X67">
        <v>15.9</v>
      </c>
      <c r="Y67">
        <v>64.099999999999994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15.9</v>
      </c>
      <c r="AH67">
        <v>2</v>
      </c>
      <c r="AI67">
        <v>16856355</v>
      </c>
      <c r="AJ67">
        <v>55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ROW(Source!A32)</f>
        <v>32</v>
      </c>
      <c r="B68">
        <v>16856367</v>
      </c>
      <c r="C68">
        <v>16856348</v>
      </c>
      <c r="D68">
        <v>15170065</v>
      </c>
      <c r="E68">
        <v>1</v>
      </c>
      <c r="F68">
        <v>1</v>
      </c>
      <c r="G68">
        <v>1</v>
      </c>
      <c r="H68">
        <v>3</v>
      </c>
      <c r="I68" t="s">
        <v>388</v>
      </c>
      <c r="J68" t="s">
        <v>389</v>
      </c>
      <c r="K68" t="s">
        <v>390</v>
      </c>
      <c r="L68">
        <v>1358</v>
      </c>
      <c r="N68">
        <v>1010</v>
      </c>
      <c r="O68" t="s">
        <v>391</v>
      </c>
      <c r="P68" t="s">
        <v>391</v>
      </c>
      <c r="Q68">
        <v>10</v>
      </c>
      <c r="X68">
        <v>41.2</v>
      </c>
      <c r="Y68">
        <v>7.03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6</v>
      </c>
      <c r="AG68">
        <v>41.2</v>
      </c>
      <c r="AH68">
        <v>2</v>
      </c>
      <c r="AI68">
        <v>16856356</v>
      </c>
      <c r="AJ68">
        <v>56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ROW(Source!A32)</f>
        <v>32</v>
      </c>
      <c r="B69">
        <v>16856368</v>
      </c>
      <c r="C69">
        <v>16856348</v>
      </c>
      <c r="D69">
        <v>15162466</v>
      </c>
      <c r="E69">
        <v>17</v>
      </c>
      <c r="F69">
        <v>1</v>
      </c>
      <c r="G69">
        <v>1</v>
      </c>
      <c r="H69">
        <v>3</v>
      </c>
      <c r="I69" t="s">
        <v>78</v>
      </c>
      <c r="J69" t="s">
        <v>6</v>
      </c>
      <c r="K69" t="s">
        <v>79</v>
      </c>
      <c r="L69">
        <v>1327</v>
      </c>
      <c r="N69">
        <v>1005</v>
      </c>
      <c r="O69" t="s">
        <v>64</v>
      </c>
      <c r="P69" t="s">
        <v>64</v>
      </c>
      <c r="Q69">
        <v>1</v>
      </c>
      <c r="X69">
        <v>100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 t="s">
        <v>6</v>
      </c>
      <c r="AG69">
        <v>100</v>
      </c>
      <c r="AH69">
        <v>3</v>
      </c>
      <c r="AI69">
        <v>-1</v>
      </c>
      <c r="AJ69" t="s">
        <v>6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ROW(Source!A32)</f>
        <v>32</v>
      </c>
      <c r="B70">
        <v>16856369</v>
      </c>
      <c r="C70">
        <v>16856348</v>
      </c>
      <c r="D70">
        <v>15197780</v>
      </c>
      <c r="E70">
        <v>1</v>
      </c>
      <c r="F70">
        <v>1</v>
      </c>
      <c r="G70">
        <v>1</v>
      </c>
      <c r="H70">
        <v>3</v>
      </c>
      <c r="I70" t="s">
        <v>392</v>
      </c>
      <c r="J70" t="s">
        <v>393</v>
      </c>
      <c r="K70" t="s">
        <v>394</v>
      </c>
      <c r="L70">
        <v>1355</v>
      </c>
      <c r="N70">
        <v>1010</v>
      </c>
      <c r="O70" t="s">
        <v>395</v>
      </c>
      <c r="P70" t="s">
        <v>395</v>
      </c>
      <c r="Q70">
        <v>100</v>
      </c>
      <c r="X70">
        <v>8</v>
      </c>
      <c r="Y70">
        <v>50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8</v>
      </c>
      <c r="AH70">
        <v>2</v>
      </c>
      <c r="AI70">
        <v>16856357</v>
      </c>
      <c r="AJ70">
        <v>57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ROW(Source!A32)</f>
        <v>32</v>
      </c>
      <c r="B71">
        <v>16856370</v>
      </c>
      <c r="C71">
        <v>16856348</v>
      </c>
      <c r="D71">
        <v>15204239</v>
      </c>
      <c r="E71">
        <v>1</v>
      </c>
      <c r="F71">
        <v>1</v>
      </c>
      <c r="G71">
        <v>1</v>
      </c>
      <c r="H71">
        <v>3</v>
      </c>
      <c r="I71" t="s">
        <v>396</v>
      </c>
      <c r="J71" t="s">
        <v>397</v>
      </c>
      <c r="K71" t="s">
        <v>398</v>
      </c>
      <c r="L71">
        <v>1354</v>
      </c>
      <c r="N71">
        <v>1010</v>
      </c>
      <c r="O71" t="s">
        <v>166</v>
      </c>
      <c r="P71" t="s">
        <v>166</v>
      </c>
      <c r="Q71">
        <v>1</v>
      </c>
      <c r="X71">
        <v>71</v>
      </c>
      <c r="Y71">
        <v>67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71</v>
      </c>
      <c r="AH71">
        <v>2</v>
      </c>
      <c r="AI71">
        <v>16856358</v>
      </c>
      <c r="AJ71">
        <v>58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ROW(Source!A33)</f>
        <v>33</v>
      </c>
      <c r="B72">
        <v>16856360</v>
      </c>
      <c r="C72">
        <v>16856348</v>
      </c>
      <c r="D72">
        <v>15436014</v>
      </c>
      <c r="E72">
        <v>1</v>
      </c>
      <c r="F72">
        <v>1</v>
      </c>
      <c r="G72">
        <v>1</v>
      </c>
      <c r="H72">
        <v>1</v>
      </c>
      <c r="I72" t="s">
        <v>377</v>
      </c>
      <c r="J72" t="s">
        <v>6</v>
      </c>
      <c r="K72" t="s">
        <v>378</v>
      </c>
      <c r="L72">
        <v>1191</v>
      </c>
      <c r="N72">
        <v>1013</v>
      </c>
      <c r="O72" t="s">
        <v>313</v>
      </c>
      <c r="P72" t="s">
        <v>313</v>
      </c>
      <c r="Q72">
        <v>1</v>
      </c>
      <c r="X72">
        <v>149.16</v>
      </c>
      <c r="Y72">
        <v>0</v>
      </c>
      <c r="Z72">
        <v>0</v>
      </c>
      <c r="AA72">
        <v>0</v>
      </c>
      <c r="AB72">
        <v>8.74</v>
      </c>
      <c r="AC72">
        <v>0</v>
      </c>
      <c r="AD72">
        <v>1</v>
      </c>
      <c r="AE72">
        <v>1</v>
      </c>
      <c r="AF72" t="s">
        <v>57</v>
      </c>
      <c r="AG72">
        <v>171.53399999999999</v>
      </c>
      <c r="AH72">
        <v>2</v>
      </c>
      <c r="AI72">
        <v>16856349</v>
      </c>
      <c r="AJ72">
        <v>60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ROW(Source!A33)</f>
        <v>33</v>
      </c>
      <c r="B73">
        <v>16856361</v>
      </c>
      <c r="C73">
        <v>16856348</v>
      </c>
      <c r="D73">
        <v>15430395</v>
      </c>
      <c r="E73">
        <v>1</v>
      </c>
      <c r="F73">
        <v>1</v>
      </c>
      <c r="G73">
        <v>1</v>
      </c>
      <c r="H73">
        <v>1</v>
      </c>
      <c r="I73" t="s">
        <v>316</v>
      </c>
      <c r="J73" t="s">
        <v>6</v>
      </c>
      <c r="K73" t="s">
        <v>317</v>
      </c>
      <c r="L73">
        <v>1191</v>
      </c>
      <c r="N73">
        <v>1013</v>
      </c>
      <c r="O73" t="s">
        <v>313</v>
      </c>
      <c r="P73" t="s">
        <v>313</v>
      </c>
      <c r="Q73">
        <v>1</v>
      </c>
      <c r="X73">
        <v>4.2300000000000004</v>
      </c>
      <c r="Y73">
        <v>0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2</v>
      </c>
      <c r="AF73" t="s">
        <v>56</v>
      </c>
      <c r="AG73">
        <v>5.2875000000000005</v>
      </c>
      <c r="AH73">
        <v>2</v>
      </c>
      <c r="AI73">
        <v>16856350</v>
      </c>
      <c r="AJ73">
        <v>61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ROW(Source!A33)</f>
        <v>33</v>
      </c>
      <c r="B74">
        <v>16856362</v>
      </c>
      <c r="C74">
        <v>16856348</v>
      </c>
      <c r="D74">
        <v>15247974</v>
      </c>
      <c r="E74">
        <v>1</v>
      </c>
      <c r="F74">
        <v>1</v>
      </c>
      <c r="G74">
        <v>1</v>
      </c>
      <c r="H74">
        <v>2</v>
      </c>
      <c r="I74" t="s">
        <v>318</v>
      </c>
      <c r="J74" t="s">
        <v>319</v>
      </c>
      <c r="K74" t="s">
        <v>320</v>
      </c>
      <c r="L74">
        <v>1368</v>
      </c>
      <c r="N74">
        <v>1011</v>
      </c>
      <c r="O74" t="s">
        <v>321</v>
      </c>
      <c r="P74" t="s">
        <v>321</v>
      </c>
      <c r="Q74">
        <v>1</v>
      </c>
      <c r="X74">
        <v>0.66</v>
      </c>
      <c r="Y74">
        <v>0</v>
      </c>
      <c r="Z74">
        <v>31.26</v>
      </c>
      <c r="AA74">
        <v>13.5</v>
      </c>
      <c r="AB74">
        <v>0</v>
      </c>
      <c r="AC74">
        <v>0</v>
      </c>
      <c r="AD74">
        <v>1</v>
      </c>
      <c r="AE74">
        <v>0</v>
      </c>
      <c r="AF74" t="s">
        <v>56</v>
      </c>
      <c r="AG74">
        <v>0.82500000000000007</v>
      </c>
      <c r="AH74">
        <v>2</v>
      </c>
      <c r="AI74">
        <v>16856351</v>
      </c>
      <c r="AJ74">
        <v>62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ROW(Source!A33)</f>
        <v>33</v>
      </c>
      <c r="B75">
        <v>16856363</v>
      </c>
      <c r="C75">
        <v>16856348</v>
      </c>
      <c r="D75">
        <v>15249073</v>
      </c>
      <c r="E75">
        <v>1</v>
      </c>
      <c r="F75">
        <v>1</v>
      </c>
      <c r="G75">
        <v>1</v>
      </c>
      <c r="H75">
        <v>2</v>
      </c>
      <c r="I75" t="s">
        <v>330</v>
      </c>
      <c r="J75" t="s">
        <v>331</v>
      </c>
      <c r="K75" t="s">
        <v>332</v>
      </c>
      <c r="L75">
        <v>1368</v>
      </c>
      <c r="N75">
        <v>1011</v>
      </c>
      <c r="O75" t="s">
        <v>321</v>
      </c>
      <c r="P75" t="s">
        <v>321</v>
      </c>
      <c r="Q75">
        <v>1</v>
      </c>
      <c r="X75">
        <v>3.57</v>
      </c>
      <c r="Y75">
        <v>0</v>
      </c>
      <c r="Z75">
        <v>65.709999999999994</v>
      </c>
      <c r="AA75">
        <v>11.6</v>
      </c>
      <c r="AB75">
        <v>0</v>
      </c>
      <c r="AC75">
        <v>0</v>
      </c>
      <c r="AD75">
        <v>1</v>
      </c>
      <c r="AE75">
        <v>0</v>
      </c>
      <c r="AF75" t="s">
        <v>56</v>
      </c>
      <c r="AG75">
        <v>4.4624999999999995</v>
      </c>
      <c r="AH75">
        <v>2</v>
      </c>
      <c r="AI75">
        <v>16856352</v>
      </c>
      <c r="AJ75">
        <v>63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ROW(Source!A33)</f>
        <v>33</v>
      </c>
      <c r="B76">
        <v>16856364</v>
      </c>
      <c r="C76">
        <v>16856348</v>
      </c>
      <c r="D76">
        <v>15167551</v>
      </c>
      <c r="E76">
        <v>1</v>
      </c>
      <c r="F76">
        <v>1</v>
      </c>
      <c r="G76">
        <v>1</v>
      </c>
      <c r="H76">
        <v>3</v>
      </c>
      <c r="I76" t="s">
        <v>379</v>
      </c>
      <c r="J76" t="s">
        <v>380</v>
      </c>
      <c r="K76" t="s">
        <v>381</v>
      </c>
      <c r="L76">
        <v>1301</v>
      </c>
      <c r="N76">
        <v>1003</v>
      </c>
      <c r="O76" t="s">
        <v>90</v>
      </c>
      <c r="P76" t="s">
        <v>90</v>
      </c>
      <c r="Q76">
        <v>1</v>
      </c>
      <c r="X76">
        <v>253</v>
      </c>
      <c r="Y76">
        <v>6.38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253</v>
      </c>
      <c r="AH76">
        <v>2</v>
      </c>
      <c r="AI76">
        <v>16856353</v>
      </c>
      <c r="AJ76">
        <v>64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ROW(Source!A33)</f>
        <v>33</v>
      </c>
      <c r="B77">
        <v>16856365</v>
      </c>
      <c r="C77">
        <v>16856348</v>
      </c>
      <c r="D77">
        <v>15167552</v>
      </c>
      <c r="E77">
        <v>1</v>
      </c>
      <c r="F77">
        <v>1</v>
      </c>
      <c r="G77">
        <v>1</v>
      </c>
      <c r="H77">
        <v>3</v>
      </c>
      <c r="I77" t="s">
        <v>382</v>
      </c>
      <c r="J77" t="s">
        <v>383</v>
      </c>
      <c r="K77" t="s">
        <v>384</v>
      </c>
      <c r="L77">
        <v>1301</v>
      </c>
      <c r="N77">
        <v>1003</v>
      </c>
      <c r="O77" t="s">
        <v>90</v>
      </c>
      <c r="P77" t="s">
        <v>90</v>
      </c>
      <c r="Q77">
        <v>1</v>
      </c>
      <c r="X77">
        <v>59</v>
      </c>
      <c r="Y77">
        <v>7.95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59</v>
      </c>
      <c r="AH77">
        <v>2</v>
      </c>
      <c r="AI77">
        <v>16856354</v>
      </c>
      <c r="AJ77">
        <v>65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ROW(Source!A33)</f>
        <v>33</v>
      </c>
      <c r="B78">
        <v>16856366</v>
      </c>
      <c r="C78">
        <v>16856348</v>
      </c>
      <c r="D78">
        <v>15167640</v>
      </c>
      <c r="E78">
        <v>1</v>
      </c>
      <c r="F78">
        <v>1</v>
      </c>
      <c r="G78">
        <v>1</v>
      </c>
      <c r="H78">
        <v>3</v>
      </c>
      <c r="I78" t="s">
        <v>385</v>
      </c>
      <c r="J78" t="s">
        <v>386</v>
      </c>
      <c r="K78" t="s">
        <v>387</v>
      </c>
      <c r="L78">
        <v>1302</v>
      </c>
      <c r="N78">
        <v>1003</v>
      </c>
      <c r="O78" t="s">
        <v>152</v>
      </c>
      <c r="P78" t="s">
        <v>152</v>
      </c>
      <c r="Q78">
        <v>10</v>
      </c>
      <c r="X78">
        <v>15.9</v>
      </c>
      <c r="Y78">
        <v>64.099999999999994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15.9</v>
      </c>
      <c r="AH78">
        <v>2</v>
      </c>
      <c r="AI78">
        <v>16856355</v>
      </c>
      <c r="AJ78">
        <v>66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ROW(Source!A33)</f>
        <v>33</v>
      </c>
      <c r="B79">
        <v>16856367</v>
      </c>
      <c r="C79">
        <v>16856348</v>
      </c>
      <c r="D79">
        <v>15170065</v>
      </c>
      <c r="E79">
        <v>1</v>
      </c>
      <c r="F79">
        <v>1</v>
      </c>
      <c r="G79">
        <v>1</v>
      </c>
      <c r="H79">
        <v>3</v>
      </c>
      <c r="I79" t="s">
        <v>388</v>
      </c>
      <c r="J79" t="s">
        <v>389</v>
      </c>
      <c r="K79" t="s">
        <v>390</v>
      </c>
      <c r="L79">
        <v>1358</v>
      </c>
      <c r="N79">
        <v>1010</v>
      </c>
      <c r="O79" t="s">
        <v>391</v>
      </c>
      <c r="P79" t="s">
        <v>391</v>
      </c>
      <c r="Q79">
        <v>10</v>
      </c>
      <c r="X79">
        <v>41.2</v>
      </c>
      <c r="Y79">
        <v>7.03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41.2</v>
      </c>
      <c r="AH79">
        <v>2</v>
      </c>
      <c r="AI79">
        <v>16856356</v>
      </c>
      <c r="AJ79">
        <v>67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ROW(Source!A33)</f>
        <v>33</v>
      </c>
      <c r="B80">
        <v>16856368</v>
      </c>
      <c r="C80">
        <v>16856348</v>
      </c>
      <c r="D80">
        <v>15162466</v>
      </c>
      <c r="E80">
        <v>17</v>
      </c>
      <c r="F80">
        <v>1</v>
      </c>
      <c r="G80">
        <v>1</v>
      </c>
      <c r="H80">
        <v>3</v>
      </c>
      <c r="I80" t="s">
        <v>78</v>
      </c>
      <c r="J80" t="s">
        <v>6</v>
      </c>
      <c r="K80" t="s">
        <v>79</v>
      </c>
      <c r="L80">
        <v>1327</v>
      </c>
      <c r="N80">
        <v>1005</v>
      </c>
      <c r="O80" t="s">
        <v>64</v>
      </c>
      <c r="P80" t="s">
        <v>64</v>
      </c>
      <c r="Q80">
        <v>1</v>
      </c>
      <c r="X80">
        <v>100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6</v>
      </c>
      <c r="AG80">
        <v>100</v>
      </c>
      <c r="AH80">
        <v>3</v>
      </c>
      <c r="AI80">
        <v>-1</v>
      </c>
      <c r="AJ80" t="s">
        <v>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ROW(Source!A33)</f>
        <v>33</v>
      </c>
      <c r="B81">
        <v>16856369</v>
      </c>
      <c r="C81">
        <v>16856348</v>
      </c>
      <c r="D81">
        <v>15197780</v>
      </c>
      <c r="E81">
        <v>1</v>
      </c>
      <c r="F81">
        <v>1</v>
      </c>
      <c r="G81">
        <v>1</v>
      </c>
      <c r="H81">
        <v>3</v>
      </c>
      <c r="I81" t="s">
        <v>392</v>
      </c>
      <c r="J81" t="s">
        <v>393</v>
      </c>
      <c r="K81" t="s">
        <v>394</v>
      </c>
      <c r="L81">
        <v>1355</v>
      </c>
      <c r="N81">
        <v>1010</v>
      </c>
      <c r="O81" t="s">
        <v>395</v>
      </c>
      <c r="P81" t="s">
        <v>395</v>
      </c>
      <c r="Q81">
        <v>100</v>
      </c>
      <c r="X81">
        <v>8</v>
      </c>
      <c r="Y81">
        <v>50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6</v>
      </c>
      <c r="AG81">
        <v>8</v>
      </c>
      <c r="AH81">
        <v>2</v>
      </c>
      <c r="AI81">
        <v>16856357</v>
      </c>
      <c r="AJ81">
        <v>68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ROW(Source!A33)</f>
        <v>33</v>
      </c>
      <c r="B82">
        <v>16856370</v>
      </c>
      <c r="C82">
        <v>16856348</v>
      </c>
      <c r="D82">
        <v>15204239</v>
      </c>
      <c r="E82">
        <v>1</v>
      </c>
      <c r="F82">
        <v>1</v>
      </c>
      <c r="G82">
        <v>1</v>
      </c>
      <c r="H82">
        <v>3</v>
      </c>
      <c r="I82" t="s">
        <v>396</v>
      </c>
      <c r="J82" t="s">
        <v>397</v>
      </c>
      <c r="K82" t="s">
        <v>398</v>
      </c>
      <c r="L82">
        <v>1354</v>
      </c>
      <c r="N82">
        <v>1010</v>
      </c>
      <c r="O82" t="s">
        <v>166</v>
      </c>
      <c r="P82" t="s">
        <v>166</v>
      </c>
      <c r="Q82">
        <v>1</v>
      </c>
      <c r="X82">
        <v>71</v>
      </c>
      <c r="Y82">
        <v>67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71</v>
      </c>
      <c r="AH82">
        <v>2</v>
      </c>
      <c r="AI82">
        <v>16856358</v>
      </c>
      <c r="AJ82">
        <v>69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ROW(Source!A36)</f>
        <v>36</v>
      </c>
      <c r="B83">
        <v>16856384</v>
      </c>
      <c r="C83">
        <v>16856372</v>
      </c>
      <c r="D83">
        <v>15436014</v>
      </c>
      <c r="E83">
        <v>1</v>
      </c>
      <c r="F83">
        <v>1</v>
      </c>
      <c r="G83">
        <v>1</v>
      </c>
      <c r="H83">
        <v>1</v>
      </c>
      <c r="I83" t="s">
        <v>377</v>
      </c>
      <c r="J83" t="s">
        <v>6</v>
      </c>
      <c r="K83" t="s">
        <v>378</v>
      </c>
      <c r="L83">
        <v>1191</v>
      </c>
      <c r="N83">
        <v>1013</v>
      </c>
      <c r="O83" t="s">
        <v>313</v>
      </c>
      <c r="P83" t="s">
        <v>313</v>
      </c>
      <c r="Q83">
        <v>1</v>
      </c>
      <c r="X83">
        <v>145.72</v>
      </c>
      <c r="Y83">
        <v>0</v>
      </c>
      <c r="Z83">
        <v>0</v>
      </c>
      <c r="AA83">
        <v>0</v>
      </c>
      <c r="AB83">
        <v>8.74</v>
      </c>
      <c r="AC83">
        <v>0</v>
      </c>
      <c r="AD83">
        <v>1</v>
      </c>
      <c r="AE83">
        <v>1</v>
      </c>
      <c r="AF83" t="s">
        <v>57</v>
      </c>
      <c r="AG83">
        <v>167.57799999999997</v>
      </c>
      <c r="AH83">
        <v>2</v>
      </c>
      <c r="AI83">
        <v>16856373</v>
      </c>
      <c r="AJ83">
        <v>71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ROW(Source!A36)</f>
        <v>36</v>
      </c>
      <c r="B84">
        <v>16856385</v>
      </c>
      <c r="C84">
        <v>16856372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316</v>
      </c>
      <c r="J84" t="s">
        <v>6</v>
      </c>
      <c r="K84" t="s">
        <v>317</v>
      </c>
      <c r="L84">
        <v>1191</v>
      </c>
      <c r="N84">
        <v>1013</v>
      </c>
      <c r="O84" t="s">
        <v>313</v>
      </c>
      <c r="P84" t="s">
        <v>313</v>
      </c>
      <c r="Q84">
        <v>1</v>
      </c>
      <c r="X84">
        <v>4.2300000000000004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56</v>
      </c>
      <c r="AG84">
        <v>5.2875000000000005</v>
      </c>
      <c r="AH84">
        <v>2</v>
      </c>
      <c r="AI84">
        <v>16856374</v>
      </c>
      <c r="AJ84">
        <v>72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ROW(Source!A36)</f>
        <v>36</v>
      </c>
      <c r="B85">
        <v>16856386</v>
      </c>
      <c r="C85">
        <v>16856372</v>
      </c>
      <c r="D85">
        <v>15247974</v>
      </c>
      <c r="E85">
        <v>1</v>
      </c>
      <c r="F85">
        <v>1</v>
      </c>
      <c r="G85">
        <v>1</v>
      </c>
      <c r="H85">
        <v>2</v>
      </c>
      <c r="I85" t="s">
        <v>318</v>
      </c>
      <c r="J85" t="s">
        <v>319</v>
      </c>
      <c r="K85" t="s">
        <v>320</v>
      </c>
      <c r="L85">
        <v>1368</v>
      </c>
      <c r="N85">
        <v>1011</v>
      </c>
      <c r="O85" t="s">
        <v>321</v>
      </c>
      <c r="P85" t="s">
        <v>321</v>
      </c>
      <c r="Q85">
        <v>1</v>
      </c>
      <c r="X85">
        <v>0.66</v>
      </c>
      <c r="Y85">
        <v>0</v>
      </c>
      <c r="Z85">
        <v>31.26</v>
      </c>
      <c r="AA85">
        <v>13.5</v>
      </c>
      <c r="AB85">
        <v>0</v>
      </c>
      <c r="AC85">
        <v>0</v>
      </c>
      <c r="AD85">
        <v>1</v>
      </c>
      <c r="AE85">
        <v>0</v>
      </c>
      <c r="AF85" t="s">
        <v>56</v>
      </c>
      <c r="AG85">
        <v>0.82500000000000007</v>
      </c>
      <c r="AH85">
        <v>2</v>
      </c>
      <c r="AI85">
        <v>16856375</v>
      </c>
      <c r="AJ85">
        <v>73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ROW(Source!A36)</f>
        <v>36</v>
      </c>
      <c r="B86">
        <v>16856387</v>
      </c>
      <c r="C86">
        <v>16856372</v>
      </c>
      <c r="D86">
        <v>15249073</v>
      </c>
      <c r="E86">
        <v>1</v>
      </c>
      <c r="F86">
        <v>1</v>
      </c>
      <c r="G86">
        <v>1</v>
      </c>
      <c r="H86">
        <v>2</v>
      </c>
      <c r="I86" t="s">
        <v>330</v>
      </c>
      <c r="J86" t="s">
        <v>331</v>
      </c>
      <c r="K86" t="s">
        <v>332</v>
      </c>
      <c r="L86">
        <v>1368</v>
      </c>
      <c r="N86">
        <v>1011</v>
      </c>
      <c r="O86" t="s">
        <v>321</v>
      </c>
      <c r="P86" t="s">
        <v>321</v>
      </c>
      <c r="Q86">
        <v>1</v>
      </c>
      <c r="X86">
        <v>3.57</v>
      </c>
      <c r="Y86">
        <v>0</v>
      </c>
      <c r="Z86">
        <v>65.709999999999994</v>
      </c>
      <c r="AA86">
        <v>11.6</v>
      </c>
      <c r="AB86">
        <v>0</v>
      </c>
      <c r="AC86">
        <v>0</v>
      </c>
      <c r="AD86">
        <v>1</v>
      </c>
      <c r="AE86">
        <v>0</v>
      </c>
      <c r="AF86" t="s">
        <v>56</v>
      </c>
      <c r="AG86">
        <v>4.4624999999999995</v>
      </c>
      <c r="AH86">
        <v>2</v>
      </c>
      <c r="AI86">
        <v>16856376</v>
      </c>
      <c r="AJ86">
        <v>74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ROW(Source!A36)</f>
        <v>36</v>
      </c>
      <c r="B87">
        <v>16856388</v>
      </c>
      <c r="C87">
        <v>16856372</v>
      </c>
      <c r="D87">
        <v>15167551</v>
      </c>
      <c r="E87">
        <v>1</v>
      </c>
      <c r="F87">
        <v>1</v>
      </c>
      <c r="G87">
        <v>1</v>
      </c>
      <c r="H87">
        <v>3</v>
      </c>
      <c r="I87" t="s">
        <v>379</v>
      </c>
      <c r="J87" t="s">
        <v>380</v>
      </c>
      <c r="K87" t="s">
        <v>381</v>
      </c>
      <c r="L87">
        <v>1301</v>
      </c>
      <c r="N87">
        <v>1003</v>
      </c>
      <c r="O87" t="s">
        <v>90</v>
      </c>
      <c r="P87" t="s">
        <v>90</v>
      </c>
      <c r="Q87">
        <v>1</v>
      </c>
      <c r="X87">
        <v>244</v>
      </c>
      <c r="Y87">
        <v>6.38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244</v>
      </c>
      <c r="AH87">
        <v>2</v>
      </c>
      <c r="AI87">
        <v>16856377</v>
      </c>
      <c r="AJ87">
        <v>75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ROW(Source!A36)</f>
        <v>36</v>
      </c>
      <c r="B88">
        <v>16856389</v>
      </c>
      <c r="C88">
        <v>16856372</v>
      </c>
      <c r="D88">
        <v>15167552</v>
      </c>
      <c r="E88">
        <v>1</v>
      </c>
      <c r="F88">
        <v>1</v>
      </c>
      <c r="G88">
        <v>1</v>
      </c>
      <c r="H88">
        <v>3</v>
      </c>
      <c r="I88" t="s">
        <v>382</v>
      </c>
      <c r="J88" t="s">
        <v>383</v>
      </c>
      <c r="K88" t="s">
        <v>384</v>
      </c>
      <c r="L88">
        <v>1301</v>
      </c>
      <c r="N88">
        <v>1003</v>
      </c>
      <c r="O88" t="s">
        <v>90</v>
      </c>
      <c r="P88" t="s">
        <v>90</v>
      </c>
      <c r="Q88">
        <v>1</v>
      </c>
      <c r="X88">
        <v>56</v>
      </c>
      <c r="Y88">
        <v>7.95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56</v>
      </c>
      <c r="AH88">
        <v>2</v>
      </c>
      <c r="AI88">
        <v>16856378</v>
      </c>
      <c r="AJ88">
        <v>76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ROW(Source!A36)</f>
        <v>36</v>
      </c>
      <c r="B89">
        <v>16856390</v>
      </c>
      <c r="C89">
        <v>16856372</v>
      </c>
      <c r="D89">
        <v>15167640</v>
      </c>
      <c r="E89">
        <v>1</v>
      </c>
      <c r="F89">
        <v>1</v>
      </c>
      <c r="G89">
        <v>1</v>
      </c>
      <c r="H89">
        <v>3</v>
      </c>
      <c r="I89" t="s">
        <v>385</v>
      </c>
      <c r="J89" t="s">
        <v>386</v>
      </c>
      <c r="K89" t="s">
        <v>387</v>
      </c>
      <c r="L89">
        <v>1302</v>
      </c>
      <c r="N89">
        <v>1003</v>
      </c>
      <c r="O89" t="s">
        <v>152</v>
      </c>
      <c r="P89" t="s">
        <v>152</v>
      </c>
      <c r="Q89">
        <v>10</v>
      </c>
      <c r="X89">
        <v>15.6</v>
      </c>
      <c r="Y89">
        <v>64.099999999999994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15.6</v>
      </c>
      <c r="AH89">
        <v>2</v>
      </c>
      <c r="AI89">
        <v>16856379</v>
      </c>
      <c r="AJ89">
        <v>77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ROW(Source!A36)</f>
        <v>36</v>
      </c>
      <c r="B90">
        <v>16856391</v>
      </c>
      <c r="C90">
        <v>16856372</v>
      </c>
      <c r="D90">
        <v>15170065</v>
      </c>
      <c r="E90">
        <v>1</v>
      </c>
      <c r="F90">
        <v>1</v>
      </c>
      <c r="G90">
        <v>1</v>
      </c>
      <c r="H90">
        <v>3</v>
      </c>
      <c r="I90" t="s">
        <v>388</v>
      </c>
      <c r="J90" t="s">
        <v>389</v>
      </c>
      <c r="K90" t="s">
        <v>390</v>
      </c>
      <c r="L90">
        <v>1358</v>
      </c>
      <c r="N90">
        <v>1010</v>
      </c>
      <c r="O90" t="s">
        <v>391</v>
      </c>
      <c r="P90" t="s">
        <v>391</v>
      </c>
      <c r="Q90">
        <v>10</v>
      </c>
      <c r="X90">
        <v>38.9</v>
      </c>
      <c r="Y90">
        <v>7.03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38.9</v>
      </c>
      <c r="AH90">
        <v>2</v>
      </c>
      <c r="AI90">
        <v>16856380</v>
      </c>
      <c r="AJ90">
        <v>78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ROW(Source!A36)</f>
        <v>36</v>
      </c>
      <c r="B91">
        <v>16856392</v>
      </c>
      <c r="C91">
        <v>16856372</v>
      </c>
      <c r="D91">
        <v>15162466</v>
      </c>
      <c r="E91">
        <v>17</v>
      </c>
      <c r="F91">
        <v>1</v>
      </c>
      <c r="G91">
        <v>1</v>
      </c>
      <c r="H91">
        <v>3</v>
      </c>
      <c r="I91" t="s">
        <v>78</v>
      </c>
      <c r="J91" t="s">
        <v>6</v>
      </c>
      <c r="K91" t="s">
        <v>79</v>
      </c>
      <c r="L91">
        <v>1327</v>
      </c>
      <c r="N91">
        <v>1005</v>
      </c>
      <c r="O91" t="s">
        <v>64</v>
      </c>
      <c r="P91" t="s">
        <v>64</v>
      </c>
      <c r="Q91">
        <v>1</v>
      </c>
      <c r="X91">
        <v>100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 t="s">
        <v>6</v>
      </c>
      <c r="AG91">
        <v>100</v>
      </c>
      <c r="AH91">
        <v>3</v>
      </c>
      <c r="AI91">
        <v>-1</v>
      </c>
      <c r="AJ91" t="s">
        <v>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ROW(Source!A36)</f>
        <v>36</v>
      </c>
      <c r="B92">
        <v>16856393</v>
      </c>
      <c r="C92">
        <v>16856372</v>
      </c>
      <c r="D92">
        <v>15197780</v>
      </c>
      <c r="E92">
        <v>1</v>
      </c>
      <c r="F92">
        <v>1</v>
      </c>
      <c r="G92">
        <v>1</v>
      </c>
      <c r="H92">
        <v>3</v>
      </c>
      <c r="I92" t="s">
        <v>392</v>
      </c>
      <c r="J92" t="s">
        <v>393</v>
      </c>
      <c r="K92" t="s">
        <v>394</v>
      </c>
      <c r="L92">
        <v>1355</v>
      </c>
      <c r="N92">
        <v>1010</v>
      </c>
      <c r="O92" t="s">
        <v>395</v>
      </c>
      <c r="P92" t="s">
        <v>395</v>
      </c>
      <c r="Q92">
        <v>100</v>
      </c>
      <c r="X92">
        <v>8</v>
      </c>
      <c r="Y92">
        <v>50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8</v>
      </c>
      <c r="AH92">
        <v>2</v>
      </c>
      <c r="AI92">
        <v>16856381</v>
      </c>
      <c r="AJ92">
        <v>79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ROW(Source!A36)</f>
        <v>36</v>
      </c>
      <c r="B93">
        <v>16856394</v>
      </c>
      <c r="C93">
        <v>16856372</v>
      </c>
      <c r="D93">
        <v>15204239</v>
      </c>
      <c r="E93">
        <v>1</v>
      </c>
      <c r="F93">
        <v>1</v>
      </c>
      <c r="G93">
        <v>1</v>
      </c>
      <c r="H93">
        <v>3</v>
      </c>
      <c r="I93" t="s">
        <v>396</v>
      </c>
      <c r="J93" t="s">
        <v>397</v>
      </c>
      <c r="K93" t="s">
        <v>398</v>
      </c>
      <c r="L93">
        <v>1354</v>
      </c>
      <c r="N93">
        <v>1010</v>
      </c>
      <c r="O93" t="s">
        <v>166</v>
      </c>
      <c r="P93" t="s">
        <v>166</v>
      </c>
      <c r="Q93">
        <v>1</v>
      </c>
      <c r="X93">
        <v>69</v>
      </c>
      <c r="Y93">
        <v>67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69</v>
      </c>
      <c r="AH93">
        <v>2</v>
      </c>
      <c r="AI93">
        <v>16856382</v>
      </c>
      <c r="AJ93">
        <v>80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ROW(Source!A37)</f>
        <v>37</v>
      </c>
      <c r="B94">
        <v>16856384</v>
      </c>
      <c r="C94">
        <v>16856372</v>
      </c>
      <c r="D94">
        <v>15436014</v>
      </c>
      <c r="E94">
        <v>1</v>
      </c>
      <c r="F94">
        <v>1</v>
      </c>
      <c r="G94">
        <v>1</v>
      </c>
      <c r="H94">
        <v>1</v>
      </c>
      <c r="I94" t="s">
        <v>377</v>
      </c>
      <c r="J94" t="s">
        <v>6</v>
      </c>
      <c r="K94" t="s">
        <v>378</v>
      </c>
      <c r="L94">
        <v>1191</v>
      </c>
      <c r="N94">
        <v>1013</v>
      </c>
      <c r="O94" t="s">
        <v>313</v>
      </c>
      <c r="P94" t="s">
        <v>313</v>
      </c>
      <c r="Q94">
        <v>1</v>
      </c>
      <c r="X94">
        <v>145.72</v>
      </c>
      <c r="Y94">
        <v>0</v>
      </c>
      <c r="Z94">
        <v>0</v>
      </c>
      <c r="AA94">
        <v>0</v>
      </c>
      <c r="AB94">
        <v>8.74</v>
      </c>
      <c r="AC94">
        <v>0</v>
      </c>
      <c r="AD94">
        <v>1</v>
      </c>
      <c r="AE94">
        <v>1</v>
      </c>
      <c r="AF94" t="s">
        <v>57</v>
      </c>
      <c r="AG94">
        <v>167.57799999999997</v>
      </c>
      <c r="AH94">
        <v>2</v>
      </c>
      <c r="AI94">
        <v>16856373</v>
      </c>
      <c r="AJ94">
        <v>82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ROW(Source!A37)</f>
        <v>37</v>
      </c>
      <c r="B95">
        <v>16856385</v>
      </c>
      <c r="C95">
        <v>16856372</v>
      </c>
      <c r="D95">
        <v>15430395</v>
      </c>
      <c r="E95">
        <v>1</v>
      </c>
      <c r="F95">
        <v>1</v>
      </c>
      <c r="G95">
        <v>1</v>
      </c>
      <c r="H95">
        <v>1</v>
      </c>
      <c r="I95" t="s">
        <v>316</v>
      </c>
      <c r="J95" t="s">
        <v>6</v>
      </c>
      <c r="K95" t="s">
        <v>317</v>
      </c>
      <c r="L95">
        <v>1191</v>
      </c>
      <c r="N95">
        <v>1013</v>
      </c>
      <c r="O95" t="s">
        <v>313</v>
      </c>
      <c r="P95" t="s">
        <v>313</v>
      </c>
      <c r="Q95">
        <v>1</v>
      </c>
      <c r="X95">
        <v>4.2300000000000004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2</v>
      </c>
      <c r="AF95" t="s">
        <v>56</v>
      </c>
      <c r="AG95">
        <v>5.2875000000000005</v>
      </c>
      <c r="AH95">
        <v>2</v>
      </c>
      <c r="AI95">
        <v>16856374</v>
      </c>
      <c r="AJ95">
        <v>83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ROW(Source!A37)</f>
        <v>37</v>
      </c>
      <c r="B96">
        <v>16856386</v>
      </c>
      <c r="C96">
        <v>16856372</v>
      </c>
      <c r="D96">
        <v>15247974</v>
      </c>
      <c r="E96">
        <v>1</v>
      </c>
      <c r="F96">
        <v>1</v>
      </c>
      <c r="G96">
        <v>1</v>
      </c>
      <c r="H96">
        <v>2</v>
      </c>
      <c r="I96" t="s">
        <v>318</v>
      </c>
      <c r="J96" t="s">
        <v>319</v>
      </c>
      <c r="K96" t="s">
        <v>320</v>
      </c>
      <c r="L96">
        <v>1368</v>
      </c>
      <c r="N96">
        <v>1011</v>
      </c>
      <c r="O96" t="s">
        <v>321</v>
      </c>
      <c r="P96" t="s">
        <v>321</v>
      </c>
      <c r="Q96">
        <v>1</v>
      </c>
      <c r="X96">
        <v>0.66</v>
      </c>
      <c r="Y96">
        <v>0</v>
      </c>
      <c r="Z96">
        <v>31.26</v>
      </c>
      <c r="AA96">
        <v>13.5</v>
      </c>
      <c r="AB96">
        <v>0</v>
      </c>
      <c r="AC96">
        <v>0</v>
      </c>
      <c r="AD96">
        <v>1</v>
      </c>
      <c r="AE96">
        <v>0</v>
      </c>
      <c r="AF96" t="s">
        <v>56</v>
      </c>
      <c r="AG96">
        <v>0.82500000000000007</v>
      </c>
      <c r="AH96">
        <v>2</v>
      </c>
      <c r="AI96">
        <v>16856375</v>
      </c>
      <c r="AJ96">
        <v>84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ROW(Source!A37)</f>
        <v>37</v>
      </c>
      <c r="B97">
        <v>16856387</v>
      </c>
      <c r="C97">
        <v>16856372</v>
      </c>
      <c r="D97">
        <v>15249073</v>
      </c>
      <c r="E97">
        <v>1</v>
      </c>
      <c r="F97">
        <v>1</v>
      </c>
      <c r="G97">
        <v>1</v>
      </c>
      <c r="H97">
        <v>2</v>
      </c>
      <c r="I97" t="s">
        <v>330</v>
      </c>
      <c r="J97" t="s">
        <v>331</v>
      </c>
      <c r="K97" t="s">
        <v>332</v>
      </c>
      <c r="L97">
        <v>1368</v>
      </c>
      <c r="N97">
        <v>1011</v>
      </c>
      <c r="O97" t="s">
        <v>321</v>
      </c>
      <c r="P97" t="s">
        <v>321</v>
      </c>
      <c r="Q97">
        <v>1</v>
      </c>
      <c r="X97">
        <v>3.57</v>
      </c>
      <c r="Y97">
        <v>0</v>
      </c>
      <c r="Z97">
        <v>65.709999999999994</v>
      </c>
      <c r="AA97">
        <v>11.6</v>
      </c>
      <c r="AB97">
        <v>0</v>
      </c>
      <c r="AC97">
        <v>0</v>
      </c>
      <c r="AD97">
        <v>1</v>
      </c>
      <c r="AE97">
        <v>0</v>
      </c>
      <c r="AF97" t="s">
        <v>56</v>
      </c>
      <c r="AG97">
        <v>4.4624999999999995</v>
      </c>
      <c r="AH97">
        <v>2</v>
      </c>
      <c r="AI97">
        <v>16856376</v>
      </c>
      <c r="AJ97">
        <v>85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ROW(Source!A37)</f>
        <v>37</v>
      </c>
      <c r="B98">
        <v>16856388</v>
      </c>
      <c r="C98">
        <v>16856372</v>
      </c>
      <c r="D98">
        <v>15167551</v>
      </c>
      <c r="E98">
        <v>1</v>
      </c>
      <c r="F98">
        <v>1</v>
      </c>
      <c r="G98">
        <v>1</v>
      </c>
      <c r="H98">
        <v>3</v>
      </c>
      <c r="I98" t="s">
        <v>379</v>
      </c>
      <c r="J98" t="s">
        <v>380</v>
      </c>
      <c r="K98" t="s">
        <v>381</v>
      </c>
      <c r="L98">
        <v>1301</v>
      </c>
      <c r="N98">
        <v>1003</v>
      </c>
      <c r="O98" t="s">
        <v>90</v>
      </c>
      <c r="P98" t="s">
        <v>90</v>
      </c>
      <c r="Q98">
        <v>1</v>
      </c>
      <c r="X98">
        <v>244</v>
      </c>
      <c r="Y98">
        <v>6.38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6</v>
      </c>
      <c r="AG98">
        <v>244</v>
      </c>
      <c r="AH98">
        <v>2</v>
      </c>
      <c r="AI98">
        <v>16856377</v>
      </c>
      <c r="AJ98">
        <v>86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ROW(Source!A37)</f>
        <v>37</v>
      </c>
      <c r="B99">
        <v>16856389</v>
      </c>
      <c r="C99">
        <v>16856372</v>
      </c>
      <c r="D99">
        <v>15167552</v>
      </c>
      <c r="E99">
        <v>1</v>
      </c>
      <c r="F99">
        <v>1</v>
      </c>
      <c r="G99">
        <v>1</v>
      </c>
      <c r="H99">
        <v>3</v>
      </c>
      <c r="I99" t="s">
        <v>382</v>
      </c>
      <c r="J99" t="s">
        <v>383</v>
      </c>
      <c r="K99" t="s">
        <v>384</v>
      </c>
      <c r="L99">
        <v>1301</v>
      </c>
      <c r="N99">
        <v>1003</v>
      </c>
      <c r="O99" t="s">
        <v>90</v>
      </c>
      <c r="P99" t="s">
        <v>90</v>
      </c>
      <c r="Q99">
        <v>1</v>
      </c>
      <c r="X99">
        <v>56</v>
      </c>
      <c r="Y99">
        <v>7.95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56</v>
      </c>
      <c r="AH99">
        <v>2</v>
      </c>
      <c r="AI99">
        <v>16856378</v>
      </c>
      <c r="AJ99">
        <v>87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ROW(Source!A37)</f>
        <v>37</v>
      </c>
      <c r="B100">
        <v>16856390</v>
      </c>
      <c r="C100">
        <v>16856372</v>
      </c>
      <c r="D100">
        <v>15167640</v>
      </c>
      <c r="E100">
        <v>1</v>
      </c>
      <c r="F100">
        <v>1</v>
      </c>
      <c r="G100">
        <v>1</v>
      </c>
      <c r="H100">
        <v>3</v>
      </c>
      <c r="I100" t="s">
        <v>385</v>
      </c>
      <c r="J100" t="s">
        <v>386</v>
      </c>
      <c r="K100" t="s">
        <v>387</v>
      </c>
      <c r="L100">
        <v>1302</v>
      </c>
      <c r="N100">
        <v>1003</v>
      </c>
      <c r="O100" t="s">
        <v>152</v>
      </c>
      <c r="P100" t="s">
        <v>152</v>
      </c>
      <c r="Q100">
        <v>10</v>
      </c>
      <c r="X100">
        <v>15.6</v>
      </c>
      <c r="Y100">
        <v>64.099999999999994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15.6</v>
      </c>
      <c r="AH100">
        <v>2</v>
      </c>
      <c r="AI100">
        <v>16856379</v>
      </c>
      <c r="AJ100">
        <v>88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ROW(Source!A37)</f>
        <v>37</v>
      </c>
      <c r="B101">
        <v>16856391</v>
      </c>
      <c r="C101">
        <v>16856372</v>
      </c>
      <c r="D101">
        <v>15170065</v>
      </c>
      <c r="E101">
        <v>1</v>
      </c>
      <c r="F101">
        <v>1</v>
      </c>
      <c r="G101">
        <v>1</v>
      </c>
      <c r="H101">
        <v>3</v>
      </c>
      <c r="I101" t="s">
        <v>388</v>
      </c>
      <c r="J101" t="s">
        <v>389</v>
      </c>
      <c r="K101" t="s">
        <v>390</v>
      </c>
      <c r="L101">
        <v>1358</v>
      </c>
      <c r="N101">
        <v>1010</v>
      </c>
      <c r="O101" t="s">
        <v>391</v>
      </c>
      <c r="P101" t="s">
        <v>391</v>
      </c>
      <c r="Q101">
        <v>10</v>
      </c>
      <c r="X101">
        <v>38.9</v>
      </c>
      <c r="Y101">
        <v>7.03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38.9</v>
      </c>
      <c r="AH101">
        <v>2</v>
      </c>
      <c r="AI101">
        <v>16856380</v>
      </c>
      <c r="AJ101">
        <v>89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ROW(Source!A37)</f>
        <v>37</v>
      </c>
      <c r="B102">
        <v>16856392</v>
      </c>
      <c r="C102">
        <v>16856372</v>
      </c>
      <c r="D102">
        <v>15162466</v>
      </c>
      <c r="E102">
        <v>17</v>
      </c>
      <c r="F102">
        <v>1</v>
      </c>
      <c r="G102">
        <v>1</v>
      </c>
      <c r="H102">
        <v>3</v>
      </c>
      <c r="I102" t="s">
        <v>78</v>
      </c>
      <c r="J102" t="s">
        <v>6</v>
      </c>
      <c r="K102" t="s">
        <v>79</v>
      </c>
      <c r="L102">
        <v>1327</v>
      </c>
      <c r="N102">
        <v>1005</v>
      </c>
      <c r="O102" t="s">
        <v>64</v>
      </c>
      <c r="P102" t="s">
        <v>64</v>
      </c>
      <c r="Q102">
        <v>1</v>
      </c>
      <c r="X102">
        <v>100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 t="s">
        <v>6</v>
      </c>
      <c r="AG102">
        <v>100</v>
      </c>
      <c r="AH102">
        <v>3</v>
      </c>
      <c r="AI102">
        <v>-1</v>
      </c>
      <c r="AJ102" t="s">
        <v>6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ROW(Source!A37)</f>
        <v>37</v>
      </c>
      <c r="B103">
        <v>16856393</v>
      </c>
      <c r="C103">
        <v>16856372</v>
      </c>
      <c r="D103">
        <v>15197780</v>
      </c>
      <c r="E103">
        <v>1</v>
      </c>
      <c r="F103">
        <v>1</v>
      </c>
      <c r="G103">
        <v>1</v>
      </c>
      <c r="H103">
        <v>3</v>
      </c>
      <c r="I103" t="s">
        <v>392</v>
      </c>
      <c r="J103" t="s">
        <v>393</v>
      </c>
      <c r="K103" t="s">
        <v>394</v>
      </c>
      <c r="L103">
        <v>1355</v>
      </c>
      <c r="N103">
        <v>1010</v>
      </c>
      <c r="O103" t="s">
        <v>395</v>
      </c>
      <c r="P103" t="s">
        <v>395</v>
      </c>
      <c r="Q103">
        <v>100</v>
      </c>
      <c r="X103">
        <v>8</v>
      </c>
      <c r="Y103">
        <v>50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8</v>
      </c>
      <c r="AH103">
        <v>2</v>
      </c>
      <c r="AI103">
        <v>16856381</v>
      </c>
      <c r="AJ103">
        <v>90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ROW(Source!A37)</f>
        <v>37</v>
      </c>
      <c r="B104">
        <v>16856394</v>
      </c>
      <c r="C104">
        <v>16856372</v>
      </c>
      <c r="D104">
        <v>15204239</v>
      </c>
      <c r="E104">
        <v>1</v>
      </c>
      <c r="F104">
        <v>1</v>
      </c>
      <c r="G104">
        <v>1</v>
      </c>
      <c r="H104">
        <v>3</v>
      </c>
      <c r="I104" t="s">
        <v>396</v>
      </c>
      <c r="J104" t="s">
        <v>397</v>
      </c>
      <c r="K104" t="s">
        <v>398</v>
      </c>
      <c r="L104">
        <v>1354</v>
      </c>
      <c r="N104">
        <v>1010</v>
      </c>
      <c r="O104" t="s">
        <v>166</v>
      </c>
      <c r="P104" t="s">
        <v>166</v>
      </c>
      <c r="Q104">
        <v>1</v>
      </c>
      <c r="X104">
        <v>69</v>
      </c>
      <c r="Y104">
        <v>67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6</v>
      </c>
      <c r="AG104">
        <v>69</v>
      </c>
      <c r="AH104">
        <v>2</v>
      </c>
      <c r="AI104">
        <v>16856382</v>
      </c>
      <c r="AJ104">
        <v>91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ROW(Source!A40)</f>
        <v>40</v>
      </c>
      <c r="B105">
        <v>16856409</v>
      </c>
      <c r="C105">
        <v>16856396</v>
      </c>
      <c r="D105">
        <v>15436014</v>
      </c>
      <c r="E105">
        <v>1</v>
      </c>
      <c r="F105">
        <v>1</v>
      </c>
      <c r="G105">
        <v>1</v>
      </c>
      <c r="H105">
        <v>1</v>
      </c>
      <c r="I105" t="s">
        <v>377</v>
      </c>
      <c r="J105" t="s">
        <v>6</v>
      </c>
      <c r="K105" t="s">
        <v>378</v>
      </c>
      <c r="L105">
        <v>1191</v>
      </c>
      <c r="N105">
        <v>1013</v>
      </c>
      <c r="O105" t="s">
        <v>313</v>
      </c>
      <c r="P105" t="s">
        <v>313</v>
      </c>
      <c r="Q105">
        <v>1</v>
      </c>
      <c r="X105">
        <v>137.43</v>
      </c>
      <c r="Y105">
        <v>0</v>
      </c>
      <c r="Z105">
        <v>0</v>
      </c>
      <c r="AA105">
        <v>0</v>
      </c>
      <c r="AB105">
        <v>8.74</v>
      </c>
      <c r="AC105">
        <v>0</v>
      </c>
      <c r="AD105">
        <v>1</v>
      </c>
      <c r="AE105">
        <v>1</v>
      </c>
      <c r="AF105" t="s">
        <v>57</v>
      </c>
      <c r="AG105">
        <v>158.0445</v>
      </c>
      <c r="AH105">
        <v>2</v>
      </c>
      <c r="AI105">
        <v>16856397</v>
      </c>
      <c r="AJ105">
        <v>93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ROW(Source!A40)</f>
        <v>40</v>
      </c>
      <c r="B106">
        <v>16856410</v>
      </c>
      <c r="C106">
        <v>16856396</v>
      </c>
      <c r="D106">
        <v>15430395</v>
      </c>
      <c r="E106">
        <v>1</v>
      </c>
      <c r="F106">
        <v>1</v>
      </c>
      <c r="G106">
        <v>1</v>
      </c>
      <c r="H106">
        <v>1</v>
      </c>
      <c r="I106" t="s">
        <v>316</v>
      </c>
      <c r="J106" t="s">
        <v>6</v>
      </c>
      <c r="K106" t="s">
        <v>317</v>
      </c>
      <c r="L106">
        <v>1191</v>
      </c>
      <c r="N106">
        <v>1013</v>
      </c>
      <c r="O106" t="s">
        <v>313</v>
      </c>
      <c r="P106" t="s">
        <v>313</v>
      </c>
      <c r="Q106">
        <v>1</v>
      </c>
      <c r="X106">
        <v>4.2300000000000004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2</v>
      </c>
      <c r="AF106" t="s">
        <v>56</v>
      </c>
      <c r="AG106">
        <v>5.2875000000000005</v>
      </c>
      <c r="AH106">
        <v>2</v>
      </c>
      <c r="AI106">
        <v>16856398</v>
      </c>
      <c r="AJ106">
        <v>94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ROW(Source!A40)</f>
        <v>40</v>
      </c>
      <c r="B107">
        <v>16856411</v>
      </c>
      <c r="C107">
        <v>16856396</v>
      </c>
      <c r="D107">
        <v>15247974</v>
      </c>
      <c r="E107">
        <v>1</v>
      </c>
      <c r="F107">
        <v>1</v>
      </c>
      <c r="G107">
        <v>1</v>
      </c>
      <c r="H107">
        <v>2</v>
      </c>
      <c r="I107" t="s">
        <v>318</v>
      </c>
      <c r="J107" t="s">
        <v>319</v>
      </c>
      <c r="K107" t="s">
        <v>320</v>
      </c>
      <c r="L107">
        <v>1368</v>
      </c>
      <c r="N107">
        <v>1011</v>
      </c>
      <c r="O107" t="s">
        <v>321</v>
      </c>
      <c r="P107" t="s">
        <v>321</v>
      </c>
      <c r="Q107">
        <v>1</v>
      </c>
      <c r="X107">
        <v>0.66</v>
      </c>
      <c r="Y107">
        <v>0</v>
      </c>
      <c r="Z107">
        <v>31.26</v>
      </c>
      <c r="AA107">
        <v>13.5</v>
      </c>
      <c r="AB107">
        <v>0</v>
      </c>
      <c r="AC107">
        <v>0</v>
      </c>
      <c r="AD107">
        <v>1</v>
      </c>
      <c r="AE107">
        <v>0</v>
      </c>
      <c r="AF107" t="s">
        <v>56</v>
      </c>
      <c r="AG107">
        <v>0.82500000000000007</v>
      </c>
      <c r="AH107">
        <v>2</v>
      </c>
      <c r="AI107">
        <v>16856399</v>
      </c>
      <c r="AJ107">
        <v>95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ROW(Source!A40)</f>
        <v>40</v>
      </c>
      <c r="B108">
        <v>16856412</v>
      </c>
      <c r="C108">
        <v>16856396</v>
      </c>
      <c r="D108">
        <v>15249073</v>
      </c>
      <c r="E108">
        <v>1</v>
      </c>
      <c r="F108">
        <v>1</v>
      </c>
      <c r="G108">
        <v>1</v>
      </c>
      <c r="H108">
        <v>2</v>
      </c>
      <c r="I108" t="s">
        <v>330</v>
      </c>
      <c r="J108" t="s">
        <v>331</v>
      </c>
      <c r="K108" t="s">
        <v>332</v>
      </c>
      <c r="L108">
        <v>1368</v>
      </c>
      <c r="N108">
        <v>1011</v>
      </c>
      <c r="O108" t="s">
        <v>321</v>
      </c>
      <c r="P108" t="s">
        <v>321</v>
      </c>
      <c r="Q108">
        <v>1</v>
      </c>
      <c r="X108">
        <v>3.57</v>
      </c>
      <c r="Y108">
        <v>0</v>
      </c>
      <c r="Z108">
        <v>65.709999999999994</v>
      </c>
      <c r="AA108">
        <v>11.6</v>
      </c>
      <c r="AB108">
        <v>0</v>
      </c>
      <c r="AC108">
        <v>0</v>
      </c>
      <c r="AD108">
        <v>1</v>
      </c>
      <c r="AE108">
        <v>0</v>
      </c>
      <c r="AF108" t="s">
        <v>56</v>
      </c>
      <c r="AG108">
        <v>4.4624999999999995</v>
      </c>
      <c r="AH108">
        <v>2</v>
      </c>
      <c r="AI108">
        <v>16856400</v>
      </c>
      <c r="AJ108">
        <v>96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ROW(Source!A40)</f>
        <v>40</v>
      </c>
      <c r="B109">
        <v>16856413</v>
      </c>
      <c r="C109">
        <v>16856396</v>
      </c>
      <c r="D109">
        <v>15167551</v>
      </c>
      <c r="E109">
        <v>1</v>
      </c>
      <c r="F109">
        <v>1</v>
      </c>
      <c r="G109">
        <v>1</v>
      </c>
      <c r="H109">
        <v>3</v>
      </c>
      <c r="I109" t="s">
        <v>379</v>
      </c>
      <c r="J109" t="s">
        <v>380</v>
      </c>
      <c r="K109" t="s">
        <v>381</v>
      </c>
      <c r="L109">
        <v>1301</v>
      </c>
      <c r="N109">
        <v>1003</v>
      </c>
      <c r="O109" t="s">
        <v>90</v>
      </c>
      <c r="P109" t="s">
        <v>90</v>
      </c>
      <c r="Q109">
        <v>1</v>
      </c>
      <c r="X109">
        <v>230</v>
      </c>
      <c r="Y109">
        <v>6.38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230</v>
      </c>
      <c r="AH109">
        <v>2</v>
      </c>
      <c r="AI109">
        <v>16856401</v>
      </c>
      <c r="AJ109">
        <v>97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ROW(Source!A40)</f>
        <v>40</v>
      </c>
      <c r="B110">
        <v>16856414</v>
      </c>
      <c r="C110">
        <v>16856396</v>
      </c>
      <c r="D110">
        <v>15167552</v>
      </c>
      <c r="E110">
        <v>1</v>
      </c>
      <c r="F110">
        <v>1</v>
      </c>
      <c r="G110">
        <v>1</v>
      </c>
      <c r="H110">
        <v>3</v>
      </c>
      <c r="I110" t="s">
        <v>382</v>
      </c>
      <c r="J110" t="s">
        <v>383</v>
      </c>
      <c r="K110" t="s">
        <v>384</v>
      </c>
      <c r="L110">
        <v>1301</v>
      </c>
      <c r="N110">
        <v>1003</v>
      </c>
      <c r="O110" t="s">
        <v>90</v>
      </c>
      <c r="P110" t="s">
        <v>90</v>
      </c>
      <c r="Q110">
        <v>1</v>
      </c>
      <c r="X110">
        <v>50</v>
      </c>
      <c r="Y110">
        <v>7.95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50</v>
      </c>
      <c r="AH110">
        <v>2</v>
      </c>
      <c r="AI110">
        <v>16856402</v>
      </c>
      <c r="AJ110">
        <v>98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ROW(Source!A40)</f>
        <v>40</v>
      </c>
      <c r="B111">
        <v>16856415</v>
      </c>
      <c r="C111">
        <v>16856396</v>
      </c>
      <c r="D111">
        <v>15167640</v>
      </c>
      <c r="E111">
        <v>1</v>
      </c>
      <c r="F111">
        <v>1</v>
      </c>
      <c r="G111">
        <v>1</v>
      </c>
      <c r="H111">
        <v>3</v>
      </c>
      <c r="I111" t="s">
        <v>385</v>
      </c>
      <c r="J111" t="s">
        <v>386</v>
      </c>
      <c r="K111" t="s">
        <v>387</v>
      </c>
      <c r="L111">
        <v>1302</v>
      </c>
      <c r="N111">
        <v>1003</v>
      </c>
      <c r="O111" t="s">
        <v>152</v>
      </c>
      <c r="P111" t="s">
        <v>152</v>
      </c>
      <c r="Q111">
        <v>10</v>
      </c>
      <c r="X111">
        <v>15</v>
      </c>
      <c r="Y111">
        <v>64.099999999999994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15</v>
      </c>
      <c r="AH111">
        <v>2</v>
      </c>
      <c r="AI111">
        <v>16856403</v>
      </c>
      <c r="AJ111">
        <v>99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ROW(Source!A40)</f>
        <v>40</v>
      </c>
      <c r="B112">
        <v>16856416</v>
      </c>
      <c r="C112">
        <v>16856396</v>
      </c>
      <c r="D112">
        <v>15170065</v>
      </c>
      <c r="E112">
        <v>1</v>
      </c>
      <c r="F112">
        <v>1</v>
      </c>
      <c r="G112">
        <v>1</v>
      </c>
      <c r="H112">
        <v>3</v>
      </c>
      <c r="I112" t="s">
        <v>388</v>
      </c>
      <c r="J112" t="s">
        <v>389</v>
      </c>
      <c r="K112" t="s">
        <v>390</v>
      </c>
      <c r="L112">
        <v>1358</v>
      </c>
      <c r="N112">
        <v>1010</v>
      </c>
      <c r="O112" t="s">
        <v>391</v>
      </c>
      <c r="P112" t="s">
        <v>391</v>
      </c>
      <c r="Q112">
        <v>10</v>
      </c>
      <c r="X112">
        <v>30</v>
      </c>
      <c r="Y112">
        <v>7.03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30</v>
      </c>
      <c r="AH112">
        <v>2</v>
      </c>
      <c r="AI112">
        <v>16856404</v>
      </c>
      <c r="AJ112">
        <v>100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ROW(Source!A40)</f>
        <v>40</v>
      </c>
      <c r="B113">
        <v>16856417</v>
      </c>
      <c r="C113">
        <v>16856396</v>
      </c>
      <c r="D113">
        <v>15162466</v>
      </c>
      <c r="E113">
        <v>17</v>
      </c>
      <c r="F113">
        <v>1</v>
      </c>
      <c r="G113">
        <v>1</v>
      </c>
      <c r="H113">
        <v>3</v>
      </c>
      <c r="I113" t="s">
        <v>78</v>
      </c>
      <c r="J113" t="s">
        <v>6</v>
      </c>
      <c r="K113" t="s">
        <v>79</v>
      </c>
      <c r="L113">
        <v>1327</v>
      </c>
      <c r="N113">
        <v>1005</v>
      </c>
      <c r="O113" t="s">
        <v>64</v>
      </c>
      <c r="P113" t="s">
        <v>64</v>
      </c>
      <c r="Q113">
        <v>1</v>
      </c>
      <c r="X113">
        <v>100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 t="s">
        <v>6</v>
      </c>
      <c r="AG113">
        <v>100</v>
      </c>
      <c r="AH113">
        <v>2</v>
      </c>
      <c r="AI113">
        <v>16856405</v>
      </c>
      <c r="AJ113">
        <v>101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ROW(Source!A40)</f>
        <v>40</v>
      </c>
      <c r="B114">
        <v>16856418</v>
      </c>
      <c r="C114">
        <v>16856396</v>
      </c>
      <c r="D114">
        <v>15197780</v>
      </c>
      <c r="E114">
        <v>1</v>
      </c>
      <c r="F114">
        <v>1</v>
      </c>
      <c r="G114">
        <v>1</v>
      </c>
      <c r="H114">
        <v>3</v>
      </c>
      <c r="I114" t="s">
        <v>392</v>
      </c>
      <c r="J114" t="s">
        <v>393</v>
      </c>
      <c r="K114" t="s">
        <v>394</v>
      </c>
      <c r="L114">
        <v>1355</v>
      </c>
      <c r="N114">
        <v>1010</v>
      </c>
      <c r="O114" t="s">
        <v>395</v>
      </c>
      <c r="P114" t="s">
        <v>395</v>
      </c>
      <c r="Q114">
        <v>100</v>
      </c>
      <c r="X114">
        <v>8</v>
      </c>
      <c r="Y114">
        <v>50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8</v>
      </c>
      <c r="AH114">
        <v>2</v>
      </c>
      <c r="AI114">
        <v>16856406</v>
      </c>
      <c r="AJ114">
        <v>102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ROW(Source!A40)</f>
        <v>40</v>
      </c>
      <c r="B115">
        <v>16856419</v>
      </c>
      <c r="C115">
        <v>16856396</v>
      </c>
      <c r="D115">
        <v>15204239</v>
      </c>
      <c r="E115">
        <v>1</v>
      </c>
      <c r="F115">
        <v>1</v>
      </c>
      <c r="G115">
        <v>1</v>
      </c>
      <c r="H115">
        <v>3</v>
      </c>
      <c r="I115" t="s">
        <v>396</v>
      </c>
      <c r="J115" t="s">
        <v>397</v>
      </c>
      <c r="K115" t="s">
        <v>398</v>
      </c>
      <c r="L115">
        <v>1354</v>
      </c>
      <c r="N115">
        <v>1010</v>
      </c>
      <c r="O115" t="s">
        <v>166</v>
      </c>
      <c r="P115" t="s">
        <v>166</v>
      </c>
      <c r="Q115">
        <v>1</v>
      </c>
      <c r="X115">
        <v>66</v>
      </c>
      <c r="Y115">
        <v>67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66</v>
      </c>
      <c r="AH115">
        <v>2</v>
      </c>
      <c r="AI115">
        <v>16856407</v>
      </c>
      <c r="AJ115">
        <v>103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ROW(Source!A41)</f>
        <v>41</v>
      </c>
      <c r="B116">
        <v>16856409</v>
      </c>
      <c r="C116">
        <v>16856396</v>
      </c>
      <c r="D116">
        <v>15436014</v>
      </c>
      <c r="E116">
        <v>1</v>
      </c>
      <c r="F116">
        <v>1</v>
      </c>
      <c r="G116">
        <v>1</v>
      </c>
      <c r="H116">
        <v>1</v>
      </c>
      <c r="I116" t="s">
        <v>377</v>
      </c>
      <c r="J116" t="s">
        <v>6</v>
      </c>
      <c r="K116" t="s">
        <v>378</v>
      </c>
      <c r="L116">
        <v>1191</v>
      </c>
      <c r="N116">
        <v>1013</v>
      </c>
      <c r="O116" t="s">
        <v>313</v>
      </c>
      <c r="P116" t="s">
        <v>313</v>
      </c>
      <c r="Q116">
        <v>1</v>
      </c>
      <c r="X116">
        <v>137.43</v>
      </c>
      <c r="Y116">
        <v>0</v>
      </c>
      <c r="Z116">
        <v>0</v>
      </c>
      <c r="AA116">
        <v>0</v>
      </c>
      <c r="AB116">
        <v>8.74</v>
      </c>
      <c r="AC116">
        <v>0</v>
      </c>
      <c r="AD116">
        <v>1</v>
      </c>
      <c r="AE116">
        <v>1</v>
      </c>
      <c r="AF116" t="s">
        <v>57</v>
      </c>
      <c r="AG116">
        <v>158.0445</v>
      </c>
      <c r="AH116">
        <v>2</v>
      </c>
      <c r="AI116">
        <v>16856397</v>
      </c>
      <c r="AJ116">
        <v>105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ROW(Source!A41)</f>
        <v>41</v>
      </c>
      <c r="B117">
        <v>16856410</v>
      </c>
      <c r="C117">
        <v>16856396</v>
      </c>
      <c r="D117">
        <v>15430395</v>
      </c>
      <c r="E117">
        <v>1</v>
      </c>
      <c r="F117">
        <v>1</v>
      </c>
      <c r="G117">
        <v>1</v>
      </c>
      <c r="H117">
        <v>1</v>
      </c>
      <c r="I117" t="s">
        <v>316</v>
      </c>
      <c r="J117" t="s">
        <v>6</v>
      </c>
      <c r="K117" t="s">
        <v>317</v>
      </c>
      <c r="L117">
        <v>1191</v>
      </c>
      <c r="N117">
        <v>1013</v>
      </c>
      <c r="O117" t="s">
        <v>313</v>
      </c>
      <c r="P117" t="s">
        <v>313</v>
      </c>
      <c r="Q117">
        <v>1</v>
      </c>
      <c r="X117">
        <v>4.2300000000000004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2</v>
      </c>
      <c r="AF117" t="s">
        <v>56</v>
      </c>
      <c r="AG117">
        <v>5.2875000000000005</v>
      </c>
      <c r="AH117">
        <v>2</v>
      </c>
      <c r="AI117">
        <v>16856398</v>
      </c>
      <c r="AJ117">
        <v>106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ROW(Source!A41)</f>
        <v>41</v>
      </c>
      <c r="B118">
        <v>16856411</v>
      </c>
      <c r="C118">
        <v>16856396</v>
      </c>
      <c r="D118">
        <v>15247974</v>
      </c>
      <c r="E118">
        <v>1</v>
      </c>
      <c r="F118">
        <v>1</v>
      </c>
      <c r="G118">
        <v>1</v>
      </c>
      <c r="H118">
        <v>2</v>
      </c>
      <c r="I118" t="s">
        <v>318</v>
      </c>
      <c r="J118" t="s">
        <v>319</v>
      </c>
      <c r="K118" t="s">
        <v>320</v>
      </c>
      <c r="L118">
        <v>1368</v>
      </c>
      <c r="N118">
        <v>1011</v>
      </c>
      <c r="O118" t="s">
        <v>321</v>
      </c>
      <c r="P118" t="s">
        <v>321</v>
      </c>
      <c r="Q118">
        <v>1</v>
      </c>
      <c r="X118">
        <v>0.66</v>
      </c>
      <c r="Y118">
        <v>0</v>
      </c>
      <c r="Z118">
        <v>31.26</v>
      </c>
      <c r="AA118">
        <v>13.5</v>
      </c>
      <c r="AB118">
        <v>0</v>
      </c>
      <c r="AC118">
        <v>0</v>
      </c>
      <c r="AD118">
        <v>1</v>
      </c>
      <c r="AE118">
        <v>0</v>
      </c>
      <c r="AF118" t="s">
        <v>56</v>
      </c>
      <c r="AG118">
        <v>0.82500000000000007</v>
      </c>
      <c r="AH118">
        <v>2</v>
      </c>
      <c r="AI118">
        <v>16856399</v>
      </c>
      <c r="AJ118">
        <v>107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ROW(Source!A41)</f>
        <v>41</v>
      </c>
      <c r="B119">
        <v>16856412</v>
      </c>
      <c r="C119">
        <v>16856396</v>
      </c>
      <c r="D119">
        <v>15249073</v>
      </c>
      <c r="E119">
        <v>1</v>
      </c>
      <c r="F119">
        <v>1</v>
      </c>
      <c r="G119">
        <v>1</v>
      </c>
      <c r="H119">
        <v>2</v>
      </c>
      <c r="I119" t="s">
        <v>330</v>
      </c>
      <c r="J119" t="s">
        <v>331</v>
      </c>
      <c r="K119" t="s">
        <v>332</v>
      </c>
      <c r="L119">
        <v>1368</v>
      </c>
      <c r="N119">
        <v>1011</v>
      </c>
      <c r="O119" t="s">
        <v>321</v>
      </c>
      <c r="P119" t="s">
        <v>321</v>
      </c>
      <c r="Q119">
        <v>1</v>
      </c>
      <c r="X119">
        <v>3.57</v>
      </c>
      <c r="Y119">
        <v>0</v>
      </c>
      <c r="Z119">
        <v>65.709999999999994</v>
      </c>
      <c r="AA119">
        <v>11.6</v>
      </c>
      <c r="AB119">
        <v>0</v>
      </c>
      <c r="AC119">
        <v>0</v>
      </c>
      <c r="AD119">
        <v>1</v>
      </c>
      <c r="AE119">
        <v>0</v>
      </c>
      <c r="AF119" t="s">
        <v>56</v>
      </c>
      <c r="AG119">
        <v>4.4624999999999995</v>
      </c>
      <c r="AH119">
        <v>2</v>
      </c>
      <c r="AI119">
        <v>16856400</v>
      </c>
      <c r="AJ119">
        <v>108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ROW(Source!A41)</f>
        <v>41</v>
      </c>
      <c r="B120">
        <v>16856413</v>
      </c>
      <c r="C120">
        <v>16856396</v>
      </c>
      <c r="D120">
        <v>15167551</v>
      </c>
      <c r="E120">
        <v>1</v>
      </c>
      <c r="F120">
        <v>1</v>
      </c>
      <c r="G120">
        <v>1</v>
      </c>
      <c r="H120">
        <v>3</v>
      </c>
      <c r="I120" t="s">
        <v>379</v>
      </c>
      <c r="J120" t="s">
        <v>380</v>
      </c>
      <c r="K120" t="s">
        <v>381</v>
      </c>
      <c r="L120">
        <v>1301</v>
      </c>
      <c r="N120">
        <v>1003</v>
      </c>
      <c r="O120" t="s">
        <v>90</v>
      </c>
      <c r="P120" t="s">
        <v>90</v>
      </c>
      <c r="Q120">
        <v>1</v>
      </c>
      <c r="X120">
        <v>230</v>
      </c>
      <c r="Y120">
        <v>6.38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230</v>
      </c>
      <c r="AH120">
        <v>2</v>
      </c>
      <c r="AI120">
        <v>16856401</v>
      </c>
      <c r="AJ120">
        <v>109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ROW(Source!A41)</f>
        <v>41</v>
      </c>
      <c r="B121">
        <v>16856414</v>
      </c>
      <c r="C121">
        <v>16856396</v>
      </c>
      <c r="D121">
        <v>15167552</v>
      </c>
      <c r="E121">
        <v>1</v>
      </c>
      <c r="F121">
        <v>1</v>
      </c>
      <c r="G121">
        <v>1</v>
      </c>
      <c r="H121">
        <v>3</v>
      </c>
      <c r="I121" t="s">
        <v>382</v>
      </c>
      <c r="J121" t="s">
        <v>383</v>
      </c>
      <c r="K121" t="s">
        <v>384</v>
      </c>
      <c r="L121">
        <v>1301</v>
      </c>
      <c r="N121">
        <v>1003</v>
      </c>
      <c r="O121" t="s">
        <v>90</v>
      </c>
      <c r="P121" t="s">
        <v>90</v>
      </c>
      <c r="Q121">
        <v>1</v>
      </c>
      <c r="X121">
        <v>50</v>
      </c>
      <c r="Y121">
        <v>7.95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50</v>
      </c>
      <c r="AH121">
        <v>2</v>
      </c>
      <c r="AI121">
        <v>16856402</v>
      </c>
      <c r="AJ121">
        <v>110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ROW(Source!A41)</f>
        <v>41</v>
      </c>
      <c r="B122">
        <v>16856415</v>
      </c>
      <c r="C122">
        <v>16856396</v>
      </c>
      <c r="D122">
        <v>15167640</v>
      </c>
      <c r="E122">
        <v>1</v>
      </c>
      <c r="F122">
        <v>1</v>
      </c>
      <c r="G122">
        <v>1</v>
      </c>
      <c r="H122">
        <v>3</v>
      </c>
      <c r="I122" t="s">
        <v>385</v>
      </c>
      <c r="J122" t="s">
        <v>386</v>
      </c>
      <c r="K122" t="s">
        <v>387</v>
      </c>
      <c r="L122">
        <v>1302</v>
      </c>
      <c r="N122">
        <v>1003</v>
      </c>
      <c r="O122" t="s">
        <v>152</v>
      </c>
      <c r="P122" t="s">
        <v>152</v>
      </c>
      <c r="Q122">
        <v>10</v>
      </c>
      <c r="X122">
        <v>15</v>
      </c>
      <c r="Y122">
        <v>64.099999999999994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15</v>
      </c>
      <c r="AH122">
        <v>2</v>
      </c>
      <c r="AI122">
        <v>16856403</v>
      </c>
      <c r="AJ122">
        <v>111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ROW(Source!A41)</f>
        <v>41</v>
      </c>
      <c r="B123">
        <v>16856416</v>
      </c>
      <c r="C123">
        <v>16856396</v>
      </c>
      <c r="D123">
        <v>15170065</v>
      </c>
      <c r="E123">
        <v>1</v>
      </c>
      <c r="F123">
        <v>1</v>
      </c>
      <c r="G123">
        <v>1</v>
      </c>
      <c r="H123">
        <v>3</v>
      </c>
      <c r="I123" t="s">
        <v>388</v>
      </c>
      <c r="J123" t="s">
        <v>389</v>
      </c>
      <c r="K123" t="s">
        <v>390</v>
      </c>
      <c r="L123">
        <v>1358</v>
      </c>
      <c r="N123">
        <v>1010</v>
      </c>
      <c r="O123" t="s">
        <v>391</v>
      </c>
      <c r="P123" t="s">
        <v>391</v>
      </c>
      <c r="Q123">
        <v>10</v>
      </c>
      <c r="X123">
        <v>30</v>
      </c>
      <c r="Y123">
        <v>7.03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30</v>
      </c>
      <c r="AH123">
        <v>2</v>
      </c>
      <c r="AI123">
        <v>16856404</v>
      </c>
      <c r="AJ123">
        <v>112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ROW(Source!A41)</f>
        <v>41</v>
      </c>
      <c r="B124">
        <v>16856417</v>
      </c>
      <c r="C124">
        <v>16856396</v>
      </c>
      <c r="D124">
        <v>15162466</v>
      </c>
      <c r="E124">
        <v>17</v>
      </c>
      <c r="F124">
        <v>1</v>
      </c>
      <c r="G124">
        <v>1</v>
      </c>
      <c r="H124">
        <v>3</v>
      </c>
      <c r="I124" t="s">
        <v>78</v>
      </c>
      <c r="J124" t="s">
        <v>6</v>
      </c>
      <c r="K124" t="s">
        <v>79</v>
      </c>
      <c r="L124">
        <v>1327</v>
      </c>
      <c r="N124">
        <v>1005</v>
      </c>
      <c r="O124" t="s">
        <v>64</v>
      </c>
      <c r="P124" t="s">
        <v>64</v>
      </c>
      <c r="Q124">
        <v>1</v>
      </c>
      <c r="X124">
        <v>100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 t="s">
        <v>6</v>
      </c>
      <c r="AG124">
        <v>100</v>
      </c>
      <c r="AH124">
        <v>2</v>
      </c>
      <c r="AI124">
        <v>16856405</v>
      </c>
      <c r="AJ124">
        <v>113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ROW(Source!A41)</f>
        <v>41</v>
      </c>
      <c r="B125">
        <v>16856418</v>
      </c>
      <c r="C125">
        <v>16856396</v>
      </c>
      <c r="D125">
        <v>15197780</v>
      </c>
      <c r="E125">
        <v>1</v>
      </c>
      <c r="F125">
        <v>1</v>
      </c>
      <c r="G125">
        <v>1</v>
      </c>
      <c r="H125">
        <v>3</v>
      </c>
      <c r="I125" t="s">
        <v>392</v>
      </c>
      <c r="J125" t="s">
        <v>393</v>
      </c>
      <c r="K125" t="s">
        <v>394</v>
      </c>
      <c r="L125">
        <v>1355</v>
      </c>
      <c r="N125">
        <v>1010</v>
      </c>
      <c r="O125" t="s">
        <v>395</v>
      </c>
      <c r="P125" t="s">
        <v>395</v>
      </c>
      <c r="Q125">
        <v>100</v>
      </c>
      <c r="X125">
        <v>8</v>
      </c>
      <c r="Y125">
        <v>50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8</v>
      </c>
      <c r="AH125">
        <v>2</v>
      </c>
      <c r="AI125">
        <v>16856406</v>
      </c>
      <c r="AJ125">
        <v>114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ROW(Source!A41)</f>
        <v>41</v>
      </c>
      <c r="B126">
        <v>16856419</v>
      </c>
      <c r="C126">
        <v>16856396</v>
      </c>
      <c r="D126">
        <v>15204239</v>
      </c>
      <c r="E126">
        <v>1</v>
      </c>
      <c r="F126">
        <v>1</v>
      </c>
      <c r="G126">
        <v>1</v>
      </c>
      <c r="H126">
        <v>3</v>
      </c>
      <c r="I126" t="s">
        <v>396</v>
      </c>
      <c r="J126" t="s">
        <v>397</v>
      </c>
      <c r="K126" t="s">
        <v>398</v>
      </c>
      <c r="L126">
        <v>1354</v>
      </c>
      <c r="N126">
        <v>1010</v>
      </c>
      <c r="O126" t="s">
        <v>166</v>
      </c>
      <c r="P126" t="s">
        <v>166</v>
      </c>
      <c r="Q126">
        <v>1</v>
      </c>
      <c r="X126">
        <v>66</v>
      </c>
      <c r="Y126">
        <v>67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66</v>
      </c>
      <c r="AH126">
        <v>2</v>
      </c>
      <c r="AI126">
        <v>16856407</v>
      </c>
      <c r="AJ126">
        <v>115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ROW(Source!A46)</f>
        <v>46</v>
      </c>
      <c r="B127">
        <v>16856430</v>
      </c>
      <c r="C127">
        <v>16856422</v>
      </c>
      <c r="D127">
        <v>15430767</v>
      </c>
      <c r="E127">
        <v>1</v>
      </c>
      <c r="F127">
        <v>1</v>
      </c>
      <c r="G127">
        <v>1</v>
      </c>
      <c r="H127">
        <v>1</v>
      </c>
      <c r="I127" t="s">
        <v>399</v>
      </c>
      <c r="J127" t="s">
        <v>6</v>
      </c>
      <c r="K127" t="s">
        <v>400</v>
      </c>
      <c r="L127">
        <v>1191</v>
      </c>
      <c r="N127">
        <v>1013</v>
      </c>
      <c r="O127" t="s">
        <v>313</v>
      </c>
      <c r="P127" t="s">
        <v>313</v>
      </c>
      <c r="Q127">
        <v>1</v>
      </c>
      <c r="X127">
        <v>21.19</v>
      </c>
      <c r="Y127">
        <v>0</v>
      </c>
      <c r="Z127">
        <v>0</v>
      </c>
      <c r="AA127">
        <v>0</v>
      </c>
      <c r="AB127">
        <v>8.5299999999999994</v>
      </c>
      <c r="AC127">
        <v>0</v>
      </c>
      <c r="AD127">
        <v>1</v>
      </c>
      <c r="AE127">
        <v>1</v>
      </c>
      <c r="AF127" t="s">
        <v>57</v>
      </c>
      <c r="AG127">
        <v>24.368500000000001</v>
      </c>
      <c r="AH127">
        <v>2</v>
      </c>
      <c r="AI127">
        <v>16856424</v>
      </c>
      <c r="AJ127">
        <v>117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ROW(Source!A46)</f>
        <v>46</v>
      </c>
      <c r="B128">
        <v>16856431</v>
      </c>
      <c r="C128">
        <v>16856422</v>
      </c>
      <c r="D128">
        <v>15430395</v>
      </c>
      <c r="E128">
        <v>1</v>
      </c>
      <c r="F128">
        <v>1</v>
      </c>
      <c r="G128">
        <v>1</v>
      </c>
      <c r="H128">
        <v>1</v>
      </c>
      <c r="I128" t="s">
        <v>316</v>
      </c>
      <c r="J128" t="s">
        <v>6</v>
      </c>
      <c r="K128" t="s">
        <v>317</v>
      </c>
      <c r="L128">
        <v>1191</v>
      </c>
      <c r="N128">
        <v>1013</v>
      </c>
      <c r="O128" t="s">
        <v>313</v>
      </c>
      <c r="P128" t="s">
        <v>313</v>
      </c>
      <c r="Q128">
        <v>1</v>
      </c>
      <c r="X128">
        <v>0.19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2</v>
      </c>
      <c r="AF128" t="s">
        <v>56</v>
      </c>
      <c r="AG128">
        <v>0.23749999999999999</v>
      </c>
      <c r="AH128">
        <v>2</v>
      </c>
      <c r="AI128">
        <v>16856425</v>
      </c>
      <c r="AJ128">
        <v>118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ROW(Source!A46)</f>
        <v>46</v>
      </c>
      <c r="B129">
        <v>16856432</v>
      </c>
      <c r="C129">
        <v>16856422</v>
      </c>
      <c r="D129">
        <v>15247974</v>
      </c>
      <c r="E129">
        <v>1</v>
      </c>
      <c r="F129">
        <v>1</v>
      </c>
      <c r="G129">
        <v>1</v>
      </c>
      <c r="H129">
        <v>2</v>
      </c>
      <c r="I129" t="s">
        <v>318</v>
      </c>
      <c r="J129" t="s">
        <v>319</v>
      </c>
      <c r="K129" t="s">
        <v>320</v>
      </c>
      <c r="L129">
        <v>1368</v>
      </c>
      <c r="N129">
        <v>1011</v>
      </c>
      <c r="O129" t="s">
        <v>321</v>
      </c>
      <c r="P129" t="s">
        <v>321</v>
      </c>
      <c r="Q129">
        <v>1</v>
      </c>
      <c r="X129">
        <v>0.04</v>
      </c>
      <c r="Y129">
        <v>0</v>
      </c>
      <c r="Z129">
        <v>31.26</v>
      </c>
      <c r="AA129">
        <v>13.5</v>
      </c>
      <c r="AB129">
        <v>0</v>
      </c>
      <c r="AC129">
        <v>0</v>
      </c>
      <c r="AD129">
        <v>1</v>
      </c>
      <c r="AE129">
        <v>0</v>
      </c>
      <c r="AF129" t="s">
        <v>56</v>
      </c>
      <c r="AG129">
        <v>0.05</v>
      </c>
      <c r="AH129">
        <v>2</v>
      </c>
      <c r="AI129">
        <v>16856426</v>
      </c>
      <c r="AJ129">
        <v>119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ROW(Source!A46)</f>
        <v>46</v>
      </c>
      <c r="B130">
        <v>16856433</v>
      </c>
      <c r="C130">
        <v>16856422</v>
      </c>
      <c r="D130">
        <v>15249073</v>
      </c>
      <c r="E130">
        <v>1</v>
      </c>
      <c r="F130">
        <v>1</v>
      </c>
      <c r="G130">
        <v>1</v>
      </c>
      <c r="H130">
        <v>2</v>
      </c>
      <c r="I130" t="s">
        <v>330</v>
      </c>
      <c r="J130" t="s">
        <v>331</v>
      </c>
      <c r="K130" t="s">
        <v>332</v>
      </c>
      <c r="L130">
        <v>1368</v>
      </c>
      <c r="N130">
        <v>1011</v>
      </c>
      <c r="O130" t="s">
        <v>321</v>
      </c>
      <c r="P130" t="s">
        <v>321</v>
      </c>
      <c r="Q130">
        <v>1</v>
      </c>
      <c r="X130">
        <v>0.15</v>
      </c>
      <c r="Y130">
        <v>0</v>
      </c>
      <c r="Z130">
        <v>65.709999999999994</v>
      </c>
      <c r="AA130">
        <v>11.6</v>
      </c>
      <c r="AB130">
        <v>0</v>
      </c>
      <c r="AC130">
        <v>0</v>
      </c>
      <c r="AD130">
        <v>1</v>
      </c>
      <c r="AE130">
        <v>0</v>
      </c>
      <c r="AF130" t="s">
        <v>56</v>
      </c>
      <c r="AG130">
        <v>0.1875</v>
      </c>
      <c r="AH130">
        <v>2</v>
      </c>
      <c r="AI130">
        <v>16856427</v>
      </c>
      <c r="AJ130">
        <v>120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ROW(Source!A46)</f>
        <v>46</v>
      </c>
      <c r="B131">
        <v>16856434</v>
      </c>
      <c r="C131">
        <v>16856422</v>
      </c>
      <c r="D131">
        <v>15162469</v>
      </c>
      <c r="E131">
        <v>17</v>
      </c>
      <c r="F131">
        <v>1</v>
      </c>
      <c r="G131">
        <v>1</v>
      </c>
      <c r="H131">
        <v>3</v>
      </c>
      <c r="I131" t="s">
        <v>448</v>
      </c>
      <c r="J131" t="s">
        <v>6</v>
      </c>
      <c r="K131" t="s">
        <v>449</v>
      </c>
      <c r="L131">
        <v>1301</v>
      </c>
      <c r="N131">
        <v>1003</v>
      </c>
      <c r="O131" t="s">
        <v>90</v>
      </c>
      <c r="P131" t="s">
        <v>90</v>
      </c>
      <c r="Q131">
        <v>1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1</v>
      </c>
      <c r="AD131">
        <v>0</v>
      </c>
      <c r="AE131">
        <v>0</v>
      </c>
      <c r="AF131" t="s">
        <v>6</v>
      </c>
      <c r="AG131">
        <v>0</v>
      </c>
      <c r="AH131">
        <v>3</v>
      </c>
      <c r="AI131">
        <v>-1</v>
      </c>
      <c r="AJ131" t="s">
        <v>6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ROW(Source!A46)</f>
        <v>46</v>
      </c>
      <c r="B132">
        <v>16856435</v>
      </c>
      <c r="C132">
        <v>16856422</v>
      </c>
      <c r="D132">
        <v>15197780</v>
      </c>
      <c r="E132">
        <v>1</v>
      </c>
      <c r="F132">
        <v>1</v>
      </c>
      <c r="G132">
        <v>1</v>
      </c>
      <c r="H132">
        <v>3</v>
      </c>
      <c r="I132" t="s">
        <v>392</v>
      </c>
      <c r="J132" t="s">
        <v>393</v>
      </c>
      <c r="K132" t="s">
        <v>394</v>
      </c>
      <c r="L132">
        <v>1355</v>
      </c>
      <c r="N132">
        <v>1010</v>
      </c>
      <c r="O132" t="s">
        <v>395</v>
      </c>
      <c r="P132" t="s">
        <v>395</v>
      </c>
      <c r="Q132">
        <v>100</v>
      </c>
      <c r="X132">
        <v>4</v>
      </c>
      <c r="Y132">
        <v>50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4</v>
      </c>
      <c r="AH132">
        <v>2</v>
      </c>
      <c r="AI132">
        <v>16856428</v>
      </c>
      <c r="AJ132">
        <v>122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ROW(Source!A46)</f>
        <v>46</v>
      </c>
      <c r="B133">
        <v>16856436</v>
      </c>
      <c r="C133">
        <v>16856422</v>
      </c>
      <c r="D133">
        <v>15204239</v>
      </c>
      <c r="E133">
        <v>1</v>
      </c>
      <c r="F133">
        <v>1</v>
      </c>
      <c r="G133">
        <v>1</v>
      </c>
      <c r="H133">
        <v>3</v>
      </c>
      <c r="I133" t="s">
        <v>396</v>
      </c>
      <c r="J133" t="s">
        <v>397</v>
      </c>
      <c r="K133" t="s">
        <v>398</v>
      </c>
      <c r="L133">
        <v>1354</v>
      </c>
      <c r="N133">
        <v>1010</v>
      </c>
      <c r="O133" t="s">
        <v>166</v>
      </c>
      <c r="P133" t="s">
        <v>166</v>
      </c>
      <c r="Q133">
        <v>1</v>
      </c>
      <c r="X133">
        <v>56.6</v>
      </c>
      <c r="Y133">
        <v>67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6</v>
      </c>
      <c r="AG133">
        <v>56.6</v>
      </c>
      <c r="AH133">
        <v>2</v>
      </c>
      <c r="AI133">
        <v>16856429</v>
      </c>
      <c r="AJ133">
        <v>123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ROW(Source!A47)</f>
        <v>47</v>
      </c>
      <c r="B134">
        <v>16856430</v>
      </c>
      <c r="C134">
        <v>16856422</v>
      </c>
      <c r="D134">
        <v>15430767</v>
      </c>
      <c r="E134">
        <v>1</v>
      </c>
      <c r="F134">
        <v>1</v>
      </c>
      <c r="G134">
        <v>1</v>
      </c>
      <c r="H134">
        <v>1</v>
      </c>
      <c r="I134" t="s">
        <v>399</v>
      </c>
      <c r="J134" t="s">
        <v>6</v>
      </c>
      <c r="K134" t="s">
        <v>400</v>
      </c>
      <c r="L134">
        <v>1191</v>
      </c>
      <c r="N134">
        <v>1013</v>
      </c>
      <c r="O134" t="s">
        <v>313</v>
      </c>
      <c r="P134" t="s">
        <v>313</v>
      </c>
      <c r="Q134">
        <v>1</v>
      </c>
      <c r="X134">
        <v>21.19</v>
      </c>
      <c r="Y134">
        <v>0</v>
      </c>
      <c r="Z134">
        <v>0</v>
      </c>
      <c r="AA134">
        <v>0</v>
      </c>
      <c r="AB134">
        <v>8.5299999999999994</v>
      </c>
      <c r="AC134">
        <v>0</v>
      </c>
      <c r="AD134">
        <v>1</v>
      </c>
      <c r="AE134">
        <v>1</v>
      </c>
      <c r="AF134" t="s">
        <v>57</v>
      </c>
      <c r="AG134">
        <v>24.368500000000001</v>
      </c>
      <c r="AH134">
        <v>2</v>
      </c>
      <c r="AI134">
        <v>16856424</v>
      </c>
      <c r="AJ134">
        <v>124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ROW(Source!A47)</f>
        <v>47</v>
      </c>
      <c r="B135">
        <v>16856431</v>
      </c>
      <c r="C135">
        <v>16856422</v>
      </c>
      <c r="D135">
        <v>15430395</v>
      </c>
      <c r="E135">
        <v>1</v>
      </c>
      <c r="F135">
        <v>1</v>
      </c>
      <c r="G135">
        <v>1</v>
      </c>
      <c r="H135">
        <v>1</v>
      </c>
      <c r="I135" t="s">
        <v>316</v>
      </c>
      <c r="J135" t="s">
        <v>6</v>
      </c>
      <c r="K135" t="s">
        <v>317</v>
      </c>
      <c r="L135">
        <v>1191</v>
      </c>
      <c r="N135">
        <v>1013</v>
      </c>
      <c r="O135" t="s">
        <v>313</v>
      </c>
      <c r="P135" t="s">
        <v>313</v>
      </c>
      <c r="Q135">
        <v>1</v>
      </c>
      <c r="X135">
        <v>0.19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2</v>
      </c>
      <c r="AF135" t="s">
        <v>56</v>
      </c>
      <c r="AG135">
        <v>0.23749999999999999</v>
      </c>
      <c r="AH135">
        <v>2</v>
      </c>
      <c r="AI135">
        <v>16856425</v>
      </c>
      <c r="AJ135">
        <v>125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ROW(Source!A47)</f>
        <v>47</v>
      </c>
      <c r="B136">
        <v>16856432</v>
      </c>
      <c r="C136">
        <v>16856422</v>
      </c>
      <c r="D136">
        <v>15247974</v>
      </c>
      <c r="E136">
        <v>1</v>
      </c>
      <c r="F136">
        <v>1</v>
      </c>
      <c r="G136">
        <v>1</v>
      </c>
      <c r="H136">
        <v>2</v>
      </c>
      <c r="I136" t="s">
        <v>318</v>
      </c>
      <c r="J136" t="s">
        <v>319</v>
      </c>
      <c r="K136" t="s">
        <v>320</v>
      </c>
      <c r="L136">
        <v>1368</v>
      </c>
      <c r="N136">
        <v>1011</v>
      </c>
      <c r="O136" t="s">
        <v>321</v>
      </c>
      <c r="P136" t="s">
        <v>321</v>
      </c>
      <c r="Q136">
        <v>1</v>
      </c>
      <c r="X136">
        <v>0.04</v>
      </c>
      <c r="Y136">
        <v>0</v>
      </c>
      <c r="Z136">
        <v>31.26</v>
      </c>
      <c r="AA136">
        <v>13.5</v>
      </c>
      <c r="AB136">
        <v>0</v>
      </c>
      <c r="AC136">
        <v>0</v>
      </c>
      <c r="AD136">
        <v>1</v>
      </c>
      <c r="AE136">
        <v>0</v>
      </c>
      <c r="AF136" t="s">
        <v>56</v>
      </c>
      <c r="AG136">
        <v>0.05</v>
      </c>
      <c r="AH136">
        <v>2</v>
      </c>
      <c r="AI136">
        <v>16856426</v>
      </c>
      <c r="AJ136">
        <v>126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ROW(Source!A47)</f>
        <v>47</v>
      </c>
      <c r="B137">
        <v>16856433</v>
      </c>
      <c r="C137">
        <v>16856422</v>
      </c>
      <c r="D137">
        <v>15249073</v>
      </c>
      <c r="E137">
        <v>1</v>
      </c>
      <c r="F137">
        <v>1</v>
      </c>
      <c r="G137">
        <v>1</v>
      </c>
      <c r="H137">
        <v>2</v>
      </c>
      <c r="I137" t="s">
        <v>330</v>
      </c>
      <c r="J137" t="s">
        <v>331</v>
      </c>
      <c r="K137" t="s">
        <v>332</v>
      </c>
      <c r="L137">
        <v>1368</v>
      </c>
      <c r="N137">
        <v>1011</v>
      </c>
      <c r="O137" t="s">
        <v>321</v>
      </c>
      <c r="P137" t="s">
        <v>321</v>
      </c>
      <c r="Q137">
        <v>1</v>
      </c>
      <c r="X137">
        <v>0.15</v>
      </c>
      <c r="Y137">
        <v>0</v>
      </c>
      <c r="Z137">
        <v>65.709999999999994</v>
      </c>
      <c r="AA137">
        <v>11.6</v>
      </c>
      <c r="AB137">
        <v>0</v>
      </c>
      <c r="AC137">
        <v>0</v>
      </c>
      <c r="AD137">
        <v>1</v>
      </c>
      <c r="AE137">
        <v>0</v>
      </c>
      <c r="AF137" t="s">
        <v>56</v>
      </c>
      <c r="AG137">
        <v>0.1875</v>
      </c>
      <c r="AH137">
        <v>2</v>
      </c>
      <c r="AI137">
        <v>16856427</v>
      </c>
      <c r="AJ137">
        <v>127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ROW(Source!A47)</f>
        <v>47</v>
      </c>
      <c r="B138">
        <v>16856434</v>
      </c>
      <c r="C138">
        <v>16856422</v>
      </c>
      <c r="D138">
        <v>15162469</v>
      </c>
      <c r="E138">
        <v>17</v>
      </c>
      <c r="F138">
        <v>1</v>
      </c>
      <c r="G138">
        <v>1</v>
      </c>
      <c r="H138">
        <v>3</v>
      </c>
      <c r="I138" t="s">
        <v>448</v>
      </c>
      <c r="J138" t="s">
        <v>6</v>
      </c>
      <c r="K138" t="s">
        <v>449</v>
      </c>
      <c r="L138">
        <v>1301</v>
      </c>
      <c r="N138">
        <v>1003</v>
      </c>
      <c r="O138" t="s">
        <v>90</v>
      </c>
      <c r="P138" t="s">
        <v>90</v>
      </c>
      <c r="Q138">
        <v>1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1</v>
      </c>
      <c r="AD138">
        <v>0</v>
      </c>
      <c r="AE138">
        <v>0</v>
      </c>
      <c r="AF138" t="s">
        <v>6</v>
      </c>
      <c r="AG138">
        <v>0</v>
      </c>
      <c r="AH138">
        <v>3</v>
      </c>
      <c r="AI138">
        <v>-1</v>
      </c>
      <c r="AJ138" t="s">
        <v>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ROW(Source!A47)</f>
        <v>47</v>
      </c>
      <c r="B139">
        <v>16856435</v>
      </c>
      <c r="C139">
        <v>16856422</v>
      </c>
      <c r="D139">
        <v>15197780</v>
      </c>
      <c r="E139">
        <v>1</v>
      </c>
      <c r="F139">
        <v>1</v>
      </c>
      <c r="G139">
        <v>1</v>
      </c>
      <c r="H139">
        <v>3</v>
      </c>
      <c r="I139" t="s">
        <v>392</v>
      </c>
      <c r="J139" t="s">
        <v>393</v>
      </c>
      <c r="K139" t="s">
        <v>394</v>
      </c>
      <c r="L139">
        <v>1355</v>
      </c>
      <c r="N139">
        <v>1010</v>
      </c>
      <c r="O139" t="s">
        <v>395</v>
      </c>
      <c r="P139" t="s">
        <v>395</v>
      </c>
      <c r="Q139">
        <v>100</v>
      </c>
      <c r="X139">
        <v>4</v>
      </c>
      <c r="Y139">
        <v>50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4</v>
      </c>
      <c r="AH139">
        <v>2</v>
      </c>
      <c r="AI139">
        <v>16856428</v>
      </c>
      <c r="AJ139">
        <v>129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ROW(Source!A47)</f>
        <v>47</v>
      </c>
      <c r="B140">
        <v>16856436</v>
      </c>
      <c r="C140">
        <v>16856422</v>
      </c>
      <c r="D140">
        <v>15204239</v>
      </c>
      <c r="E140">
        <v>1</v>
      </c>
      <c r="F140">
        <v>1</v>
      </c>
      <c r="G140">
        <v>1</v>
      </c>
      <c r="H140">
        <v>3</v>
      </c>
      <c r="I140" t="s">
        <v>396</v>
      </c>
      <c r="J140" t="s">
        <v>397</v>
      </c>
      <c r="K140" t="s">
        <v>398</v>
      </c>
      <c r="L140">
        <v>1354</v>
      </c>
      <c r="N140">
        <v>1010</v>
      </c>
      <c r="O140" t="s">
        <v>166</v>
      </c>
      <c r="P140" t="s">
        <v>166</v>
      </c>
      <c r="Q140">
        <v>1</v>
      </c>
      <c r="X140">
        <v>56.6</v>
      </c>
      <c r="Y140">
        <v>67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56.6</v>
      </c>
      <c r="AH140">
        <v>2</v>
      </c>
      <c r="AI140">
        <v>16856429</v>
      </c>
      <c r="AJ140">
        <v>130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ROW(Source!A50)</f>
        <v>50</v>
      </c>
      <c r="B141">
        <v>16856446</v>
      </c>
      <c r="C141">
        <v>16856438</v>
      </c>
      <c r="D141">
        <v>15430767</v>
      </c>
      <c r="E141">
        <v>1</v>
      </c>
      <c r="F141">
        <v>1</v>
      </c>
      <c r="G141">
        <v>1</v>
      </c>
      <c r="H141">
        <v>1</v>
      </c>
      <c r="I141" t="s">
        <v>399</v>
      </c>
      <c r="J141" t="s">
        <v>6</v>
      </c>
      <c r="K141" t="s">
        <v>400</v>
      </c>
      <c r="L141">
        <v>1191</v>
      </c>
      <c r="N141">
        <v>1013</v>
      </c>
      <c r="O141" t="s">
        <v>313</v>
      </c>
      <c r="P141" t="s">
        <v>313</v>
      </c>
      <c r="Q141">
        <v>1</v>
      </c>
      <c r="X141">
        <v>112.75</v>
      </c>
      <c r="Y141">
        <v>0</v>
      </c>
      <c r="Z141">
        <v>0</v>
      </c>
      <c r="AA141">
        <v>0</v>
      </c>
      <c r="AB141">
        <v>8.5299999999999994</v>
      </c>
      <c r="AC141">
        <v>0</v>
      </c>
      <c r="AD141">
        <v>1</v>
      </c>
      <c r="AE141">
        <v>1</v>
      </c>
      <c r="AF141" t="s">
        <v>57</v>
      </c>
      <c r="AG141">
        <v>129.66249999999999</v>
      </c>
      <c r="AH141">
        <v>2</v>
      </c>
      <c r="AI141">
        <v>16856439</v>
      </c>
      <c r="AJ141">
        <v>131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ROW(Source!A50)</f>
        <v>50</v>
      </c>
      <c r="B142">
        <v>16856447</v>
      </c>
      <c r="C142">
        <v>16856438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316</v>
      </c>
      <c r="J142" t="s">
        <v>6</v>
      </c>
      <c r="K142" t="s">
        <v>317</v>
      </c>
      <c r="L142">
        <v>1191</v>
      </c>
      <c r="N142">
        <v>1013</v>
      </c>
      <c r="O142" t="s">
        <v>313</v>
      </c>
      <c r="P142" t="s">
        <v>313</v>
      </c>
      <c r="Q142">
        <v>1</v>
      </c>
      <c r="X142">
        <v>0.27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56</v>
      </c>
      <c r="AG142">
        <v>0.33750000000000002</v>
      </c>
      <c r="AH142">
        <v>2</v>
      </c>
      <c r="AI142">
        <v>16856440</v>
      </c>
      <c r="AJ142">
        <v>132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ROW(Source!A50)</f>
        <v>50</v>
      </c>
      <c r="B143">
        <v>16856448</v>
      </c>
      <c r="C143">
        <v>16856438</v>
      </c>
      <c r="D143">
        <v>15247578</v>
      </c>
      <c r="E143">
        <v>1</v>
      </c>
      <c r="F143">
        <v>1</v>
      </c>
      <c r="G143">
        <v>1</v>
      </c>
      <c r="H143">
        <v>2</v>
      </c>
      <c r="I143" t="s">
        <v>401</v>
      </c>
      <c r="J143" t="s">
        <v>402</v>
      </c>
      <c r="K143" t="s">
        <v>403</v>
      </c>
      <c r="L143">
        <v>1368</v>
      </c>
      <c r="N143">
        <v>1011</v>
      </c>
      <c r="O143" t="s">
        <v>321</v>
      </c>
      <c r="P143" t="s">
        <v>321</v>
      </c>
      <c r="Q143">
        <v>1</v>
      </c>
      <c r="X143">
        <v>0.2</v>
      </c>
      <c r="Y143">
        <v>0</v>
      </c>
      <c r="Z143">
        <v>86.4</v>
      </c>
      <c r="AA143">
        <v>13.5</v>
      </c>
      <c r="AB143">
        <v>0</v>
      </c>
      <c r="AC143">
        <v>0</v>
      </c>
      <c r="AD143">
        <v>1</v>
      </c>
      <c r="AE143">
        <v>0</v>
      </c>
      <c r="AF143" t="s">
        <v>56</v>
      </c>
      <c r="AG143">
        <v>0.25</v>
      </c>
      <c r="AH143">
        <v>2</v>
      </c>
      <c r="AI143">
        <v>16856441</v>
      </c>
      <c r="AJ143">
        <v>133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ROW(Source!A50)</f>
        <v>50</v>
      </c>
      <c r="B144">
        <v>16856449</v>
      </c>
      <c r="C144">
        <v>16856438</v>
      </c>
      <c r="D144">
        <v>15249073</v>
      </c>
      <c r="E144">
        <v>1</v>
      </c>
      <c r="F144">
        <v>1</v>
      </c>
      <c r="G144">
        <v>1</v>
      </c>
      <c r="H144">
        <v>2</v>
      </c>
      <c r="I144" t="s">
        <v>330</v>
      </c>
      <c r="J144" t="s">
        <v>331</v>
      </c>
      <c r="K144" t="s">
        <v>332</v>
      </c>
      <c r="L144">
        <v>1368</v>
      </c>
      <c r="N144">
        <v>1011</v>
      </c>
      <c r="O144" t="s">
        <v>321</v>
      </c>
      <c r="P144" t="s">
        <v>321</v>
      </c>
      <c r="Q144">
        <v>1</v>
      </c>
      <c r="X144">
        <v>7.0000000000000007E-2</v>
      </c>
      <c r="Y144">
        <v>0</v>
      </c>
      <c r="Z144">
        <v>65.709999999999994</v>
      </c>
      <c r="AA144">
        <v>11.6</v>
      </c>
      <c r="AB144">
        <v>0</v>
      </c>
      <c r="AC144">
        <v>0</v>
      </c>
      <c r="AD144">
        <v>1</v>
      </c>
      <c r="AE144">
        <v>0</v>
      </c>
      <c r="AF144" t="s">
        <v>56</v>
      </c>
      <c r="AG144">
        <v>8.7500000000000008E-2</v>
      </c>
      <c r="AH144">
        <v>2</v>
      </c>
      <c r="AI144">
        <v>16856442</v>
      </c>
      <c r="AJ144">
        <v>134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ROW(Source!A50)</f>
        <v>50</v>
      </c>
      <c r="B145">
        <v>16856450</v>
      </c>
      <c r="C145">
        <v>16856438</v>
      </c>
      <c r="D145">
        <v>15170059</v>
      </c>
      <c r="E145">
        <v>1</v>
      </c>
      <c r="F145">
        <v>1</v>
      </c>
      <c r="G145">
        <v>1</v>
      </c>
      <c r="H145">
        <v>3</v>
      </c>
      <c r="I145" t="s">
        <v>404</v>
      </c>
      <c r="J145" t="s">
        <v>405</v>
      </c>
      <c r="K145" t="s">
        <v>406</v>
      </c>
      <c r="L145">
        <v>1348</v>
      </c>
      <c r="N145">
        <v>1009</v>
      </c>
      <c r="O145" t="s">
        <v>37</v>
      </c>
      <c r="P145" t="s">
        <v>37</v>
      </c>
      <c r="Q145">
        <v>1000</v>
      </c>
      <c r="X145">
        <v>4.0000000000000001E-3</v>
      </c>
      <c r="Y145">
        <v>8475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4.0000000000000001E-3</v>
      </c>
      <c r="AH145">
        <v>2</v>
      </c>
      <c r="AI145">
        <v>16856443</v>
      </c>
      <c r="AJ145">
        <v>135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ROW(Source!A50)</f>
        <v>50</v>
      </c>
      <c r="B146">
        <v>16856451</v>
      </c>
      <c r="C146">
        <v>16856438</v>
      </c>
      <c r="D146">
        <v>15191140</v>
      </c>
      <c r="E146">
        <v>1</v>
      </c>
      <c r="F146">
        <v>1</v>
      </c>
      <c r="G146">
        <v>1</v>
      </c>
      <c r="H146">
        <v>3</v>
      </c>
      <c r="I146" t="s">
        <v>407</v>
      </c>
      <c r="J146" t="s">
        <v>408</v>
      </c>
      <c r="K146" t="s">
        <v>409</v>
      </c>
      <c r="L146">
        <v>1348</v>
      </c>
      <c r="N146">
        <v>1009</v>
      </c>
      <c r="O146" t="s">
        <v>37</v>
      </c>
      <c r="P146" t="s">
        <v>37</v>
      </c>
      <c r="Q146">
        <v>1000</v>
      </c>
      <c r="X146">
        <v>1.2E-2</v>
      </c>
      <c r="Y146">
        <v>8190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6</v>
      </c>
      <c r="AG146">
        <v>1.2E-2</v>
      </c>
      <c r="AH146">
        <v>2</v>
      </c>
      <c r="AI146">
        <v>16856444</v>
      </c>
      <c r="AJ146">
        <v>136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ROW(Source!A50)</f>
        <v>50</v>
      </c>
      <c r="B147">
        <v>16856452</v>
      </c>
      <c r="C147">
        <v>16856438</v>
      </c>
      <c r="D147">
        <v>15191387</v>
      </c>
      <c r="E147">
        <v>1</v>
      </c>
      <c r="F147">
        <v>1</v>
      </c>
      <c r="G147">
        <v>1</v>
      </c>
      <c r="H147">
        <v>3</v>
      </c>
      <c r="I147" t="s">
        <v>410</v>
      </c>
      <c r="J147" t="s">
        <v>411</v>
      </c>
      <c r="K147" t="s">
        <v>412</v>
      </c>
      <c r="L147">
        <v>1348</v>
      </c>
      <c r="N147">
        <v>1009</v>
      </c>
      <c r="O147" t="s">
        <v>37</v>
      </c>
      <c r="P147" t="s">
        <v>37</v>
      </c>
      <c r="Q147">
        <v>1000</v>
      </c>
      <c r="X147">
        <v>0.78200000000000003</v>
      </c>
      <c r="Y147">
        <v>11200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6</v>
      </c>
      <c r="AG147">
        <v>0.78200000000000003</v>
      </c>
      <c r="AH147">
        <v>2</v>
      </c>
      <c r="AI147">
        <v>16856445</v>
      </c>
      <c r="AJ147">
        <v>137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ROW(Source!A51)</f>
        <v>51</v>
      </c>
      <c r="B148">
        <v>16856446</v>
      </c>
      <c r="C148">
        <v>16856438</v>
      </c>
      <c r="D148">
        <v>15430767</v>
      </c>
      <c r="E148">
        <v>1</v>
      </c>
      <c r="F148">
        <v>1</v>
      </c>
      <c r="G148">
        <v>1</v>
      </c>
      <c r="H148">
        <v>1</v>
      </c>
      <c r="I148" t="s">
        <v>399</v>
      </c>
      <c r="J148" t="s">
        <v>6</v>
      </c>
      <c r="K148" t="s">
        <v>400</v>
      </c>
      <c r="L148">
        <v>1191</v>
      </c>
      <c r="N148">
        <v>1013</v>
      </c>
      <c r="O148" t="s">
        <v>313</v>
      </c>
      <c r="P148" t="s">
        <v>313</v>
      </c>
      <c r="Q148">
        <v>1</v>
      </c>
      <c r="X148">
        <v>112.75</v>
      </c>
      <c r="Y148">
        <v>0</v>
      </c>
      <c r="Z148">
        <v>0</v>
      </c>
      <c r="AA148">
        <v>0</v>
      </c>
      <c r="AB148">
        <v>8.5299999999999994</v>
      </c>
      <c r="AC148">
        <v>0</v>
      </c>
      <c r="AD148">
        <v>1</v>
      </c>
      <c r="AE148">
        <v>1</v>
      </c>
      <c r="AF148" t="s">
        <v>57</v>
      </c>
      <c r="AG148">
        <v>129.66249999999999</v>
      </c>
      <c r="AH148">
        <v>2</v>
      </c>
      <c r="AI148">
        <v>16856439</v>
      </c>
      <c r="AJ148">
        <v>138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ROW(Source!A51)</f>
        <v>51</v>
      </c>
      <c r="B149">
        <v>16856447</v>
      </c>
      <c r="C149">
        <v>16856438</v>
      </c>
      <c r="D149">
        <v>15430395</v>
      </c>
      <c r="E149">
        <v>1</v>
      </c>
      <c r="F149">
        <v>1</v>
      </c>
      <c r="G149">
        <v>1</v>
      </c>
      <c r="H149">
        <v>1</v>
      </c>
      <c r="I149" t="s">
        <v>316</v>
      </c>
      <c r="J149" t="s">
        <v>6</v>
      </c>
      <c r="K149" t="s">
        <v>317</v>
      </c>
      <c r="L149">
        <v>1191</v>
      </c>
      <c r="N149">
        <v>1013</v>
      </c>
      <c r="O149" t="s">
        <v>313</v>
      </c>
      <c r="P149" t="s">
        <v>313</v>
      </c>
      <c r="Q149">
        <v>1</v>
      </c>
      <c r="X149">
        <v>0.27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2</v>
      </c>
      <c r="AF149" t="s">
        <v>56</v>
      </c>
      <c r="AG149">
        <v>0.33750000000000002</v>
      </c>
      <c r="AH149">
        <v>2</v>
      </c>
      <c r="AI149">
        <v>16856440</v>
      </c>
      <c r="AJ149">
        <v>139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ROW(Source!A51)</f>
        <v>51</v>
      </c>
      <c r="B150">
        <v>16856448</v>
      </c>
      <c r="C150">
        <v>16856438</v>
      </c>
      <c r="D150">
        <v>15247578</v>
      </c>
      <c r="E150">
        <v>1</v>
      </c>
      <c r="F150">
        <v>1</v>
      </c>
      <c r="G150">
        <v>1</v>
      </c>
      <c r="H150">
        <v>2</v>
      </c>
      <c r="I150" t="s">
        <v>401</v>
      </c>
      <c r="J150" t="s">
        <v>402</v>
      </c>
      <c r="K150" t="s">
        <v>403</v>
      </c>
      <c r="L150">
        <v>1368</v>
      </c>
      <c r="N150">
        <v>1011</v>
      </c>
      <c r="O150" t="s">
        <v>321</v>
      </c>
      <c r="P150" t="s">
        <v>321</v>
      </c>
      <c r="Q150">
        <v>1</v>
      </c>
      <c r="X150">
        <v>0.2</v>
      </c>
      <c r="Y150">
        <v>0</v>
      </c>
      <c r="Z150">
        <v>86.4</v>
      </c>
      <c r="AA150">
        <v>13.5</v>
      </c>
      <c r="AB150">
        <v>0</v>
      </c>
      <c r="AC150">
        <v>0</v>
      </c>
      <c r="AD150">
        <v>1</v>
      </c>
      <c r="AE150">
        <v>0</v>
      </c>
      <c r="AF150" t="s">
        <v>56</v>
      </c>
      <c r="AG150">
        <v>0.25</v>
      </c>
      <c r="AH150">
        <v>2</v>
      </c>
      <c r="AI150">
        <v>16856441</v>
      </c>
      <c r="AJ150">
        <v>140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ROW(Source!A51)</f>
        <v>51</v>
      </c>
      <c r="B151">
        <v>16856449</v>
      </c>
      <c r="C151">
        <v>16856438</v>
      </c>
      <c r="D151">
        <v>15249073</v>
      </c>
      <c r="E151">
        <v>1</v>
      </c>
      <c r="F151">
        <v>1</v>
      </c>
      <c r="G151">
        <v>1</v>
      </c>
      <c r="H151">
        <v>2</v>
      </c>
      <c r="I151" t="s">
        <v>330</v>
      </c>
      <c r="J151" t="s">
        <v>331</v>
      </c>
      <c r="K151" t="s">
        <v>332</v>
      </c>
      <c r="L151">
        <v>1368</v>
      </c>
      <c r="N151">
        <v>1011</v>
      </c>
      <c r="O151" t="s">
        <v>321</v>
      </c>
      <c r="P151" t="s">
        <v>321</v>
      </c>
      <c r="Q151">
        <v>1</v>
      </c>
      <c r="X151">
        <v>7.0000000000000007E-2</v>
      </c>
      <c r="Y151">
        <v>0</v>
      </c>
      <c r="Z151">
        <v>65.709999999999994</v>
      </c>
      <c r="AA151">
        <v>11.6</v>
      </c>
      <c r="AB151">
        <v>0</v>
      </c>
      <c r="AC151">
        <v>0</v>
      </c>
      <c r="AD151">
        <v>1</v>
      </c>
      <c r="AE151">
        <v>0</v>
      </c>
      <c r="AF151" t="s">
        <v>56</v>
      </c>
      <c r="AG151">
        <v>8.7500000000000008E-2</v>
      </c>
      <c r="AH151">
        <v>2</v>
      </c>
      <c r="AI151">
        <v>16856442</v>
      </c>
      <c r="AJ151">
        <v>141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ROW(Source!A51)</f>
        <v>51</v>
      </c>
      <c r="B152">
        <v>16856450</v>
      </c>
      <c r="C152">
        <v>16856438</v>
      </c>
      <c r="D152">
        <v>15170059</v>
      </c>
      <c r="E152">
        <v>1</v>
      </c>
      <c r="F152">
        <v>1</v>
      </c>
      <c r="G152">
        <v>1</v>
      </c>
      <c r="H152">
        <v>3</v>
      </c>
      <c r="I152" t="s">
        <v>404</v>
      </c>
      <c r="J152" t="s">
        <v>405</v>
      </c>
      <c r="K152" t="s">
        <v>406</v>
      </c>
      <c r="L152">
        <v>1348</v>
      </c>
      <c r="N152">
        <v>1009</v>
      </c>
      <c r="O152" t="s">
        <v>37</v>
      </c>
      <c r="P152" t="s">
        <v>37</v>
      </c>
      <c r="Q152">
        <v>1000</v>
      </c>
      <c r="X152">
        <v>4.0000000000000001E-3</v>
      </c>
      <c r="Y152">
        <v>8475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6</v>
      </c>
      <c r="AG152">
        <v>4.0000000000000001E-3</v>
      </c>
      <c r="AH152">
        <v>2</v>
      </c>
      <c r="AI152">
        <v>16856443</v>
      </c>
      <c r="AJ152">
        <v>142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ROW(Source!A51)</f>
        <v>51</v>
      </c>
      <c r="B153">
        <v>16856451</v>
      </c>
      <c r="C153">
        <v>16856438</v>
      </c>
      <c r="D153">
        <v>15191140</v>
      </c>
      <c r="E153">
        <v>1</v>
      </c>
      <c r="F153">
        <v>1</v>
      </c>
      <c r="G153">
        <v>1</v>
      </c>
      <c r="H153">
        <v>3</v>
      </c>
      <c r="I153" t="s">
        <v>407</v>
      </c>
      <c r="J153" t="s">
        <v>408</v>
      </c>
      <c r="K153" t="s">
        <v>409</v>
      </c>
      <c r="L153">
        <v>1348</v>
      </c>
      <c r="N153">
        <v>1009</v>
      </c>
      <c r="O153" t="s">
        <v>37</v>
      </c>
      <c r="P153" t="s">
        <v>37</v>
      </c>
      <c r="Q153">
        <v>1000</v>
      </c>
      <c r="X153">
        <v>1.2E-2</v>
      </c>
      <c r="Y153">
        <v>8190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1.2E-2</v>
      </c>
      <c r="AH153">
        <v>2</v>
      </c>
      <c r="AI153">
        <v>16856444</v>
      </c>
      <c r="AJ153">
        <v>143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ROW(Source!A51)</f>
        <v>51</v>
      </c>
      <c r="B154">
        <v>16856452</v>
      </c>
      <c r="C154">
        <v>16856438</v>
      </c>
      <c r="D154">
        <v>15191387</v>
      </c>
      <c r="E154">
        <v>1</v>
      </c>
      <c r="F154">
        <v>1</v>
      </c>
      <c r="G154">
        <v>1</v>
      </c>
      <c r="H154">
        <v>3</v>
      </c>
      <c r="I154" t="s">
        <v>410</v>
      </c>
      <c r="J154" t="s">
        <v>411</v>
      </c>
      <c r="K154" t="s">
        <v>412</v>
      </c>
      <c r="L154">
        <v>1348</v>
      </c>
      <c r="N154">
        <v>1009</v>
      </c>
      <c r="O154" t="s">
        <v>37</v>
      </c>
      <c r="P154" t="s">
        <v>37</v>
      </c>
      <c r="Q154">
        <v>1000</v>
      </c>
      <c r="X154">
        <v>0.78200000000000003</v>
      </c>
      <c r="Y154">
        <v>11200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0.78200000000000003</v>
      </c>
      <c r="AH154">
        <v>2</v>
      </c>
      <c r="AI154">
        <v>16856445</v>
      </c>
      <c r="AJ154">
        <v>144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ROW(Source!A52)</f>
        <v>52</v>
      </c>
      <c r="B155">
        <v>16856460</v>
      </c>
      <c r="C155">
        <v>16856453</v>
      </c>
      <c r="D155">
        <v>15435609</v>
      </c>
      <c r="E155">
        <v>1</v>
      </c>
      <c r="F155">
        <v>1</v>
      </c>
      <c r="G155">
        <v>1</v>
      </c>
      <c r="H155">
        <v>1</v>
      </c>
      <c r="I155" t="s">
        <v>311</v>
      </c>
      <c r="J155" t="s">
        <v>6</v>
      </c>
      <c r="K155" t="s">
        <v>312</v>
      </c>
      <c r="L155">
        <v>1191</v>
      </c>
      <c r="N155">
        <v>1013</v>
      </c>
      <c r="O155" t="s">
        <v>313</v>
      </c>
      <c r="P155" t="s">
        <v>313</v>
      </c>
      <c r="Q155">
        <v>1</v>
      </c>
      <c r="X155">
        <v>383.06</v>
      </c>
      <c r="Y155">
        <v>0</v>
      </c>
      <c r="Z155">
        <v>0</v>
      </c>
      <c r="AA155">
        <v>0</v>
      </c>
      <c r="AB155">
        <v>8.9700000000000006</v>
      </c>
      <c r="AC155">
        <v>0</v>
      </c>
      <c r="AD155">
        <v>1</v>
      </c>
      <c r="AE155">
        <v>1</v>
      </c>
      <c r="AF155" t="s">
        <v>6</v>
      </c>
      <c r="AG155">
        <v>383.06</v>
      </c>
      <c r="AH155">
        <v>2</v>
      </c>
      <c r="AI155">
        <v>16856454</v>
      </c>
      <c r="AJ155">
        <v>145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ROW(Source!A52)</f>
        <v>52</v>
      </c>
      <c r="B156">
        <v>16856461</v>
      </c>
      <c r="C156">
        <v>16856453</v>
      </c>
      <c r="D156">
        <v>15430395</v>
      </c>
      <c r="E156">
        <v>1</v>
      </c>
      <c r="F156">
        <v>1</v>
      </c>
      <c r="G156">
        <v>1</v>
      </c>
      <c r="H156">
        <v>1</v>
      </c>
      <c r="I156" t="s">
        <v>316</v>
      </c>
      <c r="J156" t="s">
        <v>6</v>
      </c>
      <c r="K156" t="s">
        <v>317</v>
      </c>
      <c r="L156">
        <v>1191</v>
      </c>
      <c r="N156">
        <v>1013</v>
      </c>
      <c r="O156" t="s">
        <v>313</v>
      </c>
      <c r="P156" t="s">
        <v>313</v>
      </c>
      <c r="Q156">
        <v>1</v>
      </c>
      <c r="X156">
        <v>1.1599999999999999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2</v>
      </c>
      <c r="AF156" t="s">
        <v>6</v>
      </c>
      <c r="AG156">
        <v>1.1599999999999999</v>
      </c>
      <c r="AH156">
        <v>2</v>
      </c>
      <c r="AI156">
        <v>16856455</v>
      </c>
      <c r="AJ156">
        <v>146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ROW(Source!A52)</f>
        <v>52</v>
      </c>
      <c r="B157">
        <v>16856462</v>
      </c>
      <c r="C157">
        <v>16856453</v>
      </c>
      <c r="D157">
        <v>15247974</v>
      </c>
      <c r="E157">
        <v>1</v>
      </c>
      <c r="F157">
        <v>1</v>
      </c>
      <c r="G157">
        <v>1</v>
      </c>
      <c r="H157">
        <v>2</v>
      </c>
      <c r="I157" t="s">
        <v>318</v>
      </c>
      <c r="J157" t="s">
        <v>319</v>
      </c>
      <c r="K157" t="s">
        <v>320</v>
      </c>
      <c r="L157">
        <v>1368</v>
      </c>
      <c r="N157">
        <v>1011</v>
      </c>
      <c r="O157" t="s">
        <v>321</v>
      </c>
      <c r="P157" t="s">
        <v>321</v>
      </c>
      <c r="Q157">
        <v>1</v>
      </c>
      <c r="X157">
        <v>1.1599999999999999</v>
      </c>
      <c r="Y157">
        <v>0</v>
      </c>
      <c r="Z157">
        <v>31.26</v>
      </c>
      <c r="AA157">
        <v>13.5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1.1599999999999999</v>
      </c>
      <c r="AH157">
        <v>2</v>
      </c>
      <c r="AI157">
        <v>16856456</v>
      </c>
      <c r="AJ157">
        <v>147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ROW(Source!A52)</f>
        <v>52</v>
      </c>
      <c r="B158">
        <v>16856463</v>
      </c>
      <c r="C158">
        <v>16856453</v>
      </c>
      <c r="D158">
        <v>15167286</v>
      </c>
      <c r="E158">
        <v>1</v>
      </c>
      <c r="F158">
        <v>1</v>
      </c>
      <c r="G158">
        <v>1</v>
      </c>
      <c r="H158">
        <v>3</v>
      </c>
      <c r="I158" t="s">
        <v>413</v>
      </c>
      <c r="J158" t="s">
        <v>414</v>
      </c>
      <c r="K158" t="s">
        <v>415</v>
      </c>
      <c r="L158">
        <v>1339</v>
      </c>
      <c r="N158">
        <v>1007</v>
      </c>
      <c r="O158" t="s">
        <v>107</v>
      </c>
      <c r="P158" t="s">
        <v>107</v>
      </c>
      <c r="Q158">
        <v>1</v>
      </c>
      <c r="X158">
        <v>0.35</v>
      </c>
      <c r="Y158">
        <v>2.44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0.35</v>
      </c>
      <c r="AH158">
        <v>2</v>
      </c>
      <c r="AI158">
        <v>16856457</v>
      </c>
      <c r="AJ158">
        <v>148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ROW(Source!A52)</f>
        <v>52</v>
      </c>
      <c r="B159">
        <v>16856464</v>
      </c>
      <c r="C159">
        <v>16856453</v>
      </c>
      <c r="D159">
        <v>15164566</v>
      </c>
      <c r="E159">
        <v>17</v>
      </c>
      <c r="F159">
        <v>1</v>
      </c>
      <c r="G159">
        <v>1</v>
      </c>
      <c r="H159">
        <v>3</v>
      </c>
      <c r="I159" t="s">
        <v>446</v>
      </c>
      <c r="J159" t="s">
        <v>6</v>
      </c>
      <c r="K159" t="s">
        <v>447</v>
      </c>
      <c r="L159">
        <v>1348</v>
      </c>
      <c r="N159">
        <v>1009</v>
      </c>
      <c r="O159" t="s">
        <v>37</v>
      </c>
      <c r="P159" t="s">
        <v>37</v>
      </c>
      <c r="Q159">
        <v>1000</v>
      </c>
      <c r="X159">
        <v>8.1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 t="s">
        <v>6</v>
      </c>
      <c r="AG159">
        <v>8.1</v>
      </c>
      <c r="AH159">
        <v>3</v>
      </c>
      <c r="AI159">
        <v>-1</v>
      </c>
      <c r="AJ159" t="s">
        <v>6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ROW(Source!A52)</f>
        <v>52</v>
      </c>
      <c r="B160">
        <v>16856465</v>
      </c>
      <c r="C160">
        <v>16856453</v>
      </c>
      <c r="D160">
        <v>15172875</v>
      </c>
      <c r="E160">
        <v>1</v>
      </c>
      <c r="F160">
        <v>1</v>
      </c>
      <c r="G160">
        <v>1</v>
      </c>
      <c r="H160">
        <v>3</v>
      </c>
      <c r="I160" t="s">
        <v>105</v>
      </c>
      <c r="J160" t="s">
        <v>108</v>
      </c>
      <c r="K160" t="s">
        <v>106</v>
      </c>
      <c r="L160">
        <v>1339</v>
      </c>
      <c r="N160">
        <v>1007</v>
      </c>
      <c r="O160" t="s">
        <v>107</v>
      </c>
      <c r="P160" t="s">
        <v>107</v>
      </c>
      <c r="Q160">
        <v>1</v>
      </c>
      <c r="X160">
        <v>4.4000000000000004</v>
      </c>
      <c r="Y160">
        <v>517.91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6</v>
      </c>
      <c r="AG160">
        <v>4.4000000000000004</v>
      </c>
      <c r="AH160">
        <v>2</v>
      </c>
      <c r="AI160">
        <v>16856458</v>
      </c>
      <c r="AJ160">
        <v>150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ROW(Source!A53)</f>
        <v>53</v>
      </c>
      <c r="B161">
        <v>16856460</v>
      </c>
      <c r="C161">
        <v>16856453</v>
      </c>
      <c r="D161">
        <v>15435609</v>
      </c>
      <c r="E161">
        <v>1</v>
      </c>
      <c r="F161">
        <v>1</v>
      </c>
      <c r="G161">
        <v>1</v>
      </c>
      <c r="H161">
        <v>1</v>
      </c>
      <c r="I161" t="s">
        <v>311</v>
      </c>
      <c r="J161" t="s">
        <v>6</v>
      </c>
      <c r="K161" t="s">
        <v>312</v>
      </c>
      <c r="L161">
        <v>1191</v>
      </c>
      <c r="N161">
        <v>1013</v>
      </c>
      <c r="O161" t="s">
        <v>313</v>
      </c>
      <c r="P161" t="s">
        <v>313</v>
      </c>
      <c r="Q161">
        <v>1</v>
      </c>
      <c r="X161">
        <v>383.06</v>
      </c>
      <c r="Y161">
        <v>0</v>
      </c>
      <c r="Z161">
        <v>0</v>
      </c>
      <c r="AA161">
        <v>0</v>
      </c>
      <c r="AB161">
        <v>8.9700000000000006</v>
      </c>
      <c r="AC161">
        <v>0</v>
      </c>
      <c r="AD161">
        <v>1</v>
      </c>
      <c r="AE161">
        <v>1</v>
      </c>
      <c r="AF161" t="s">
        <v>6</v>
      </c>
      <c r="AG161">
        <v>383.06</v>
      </c>
      <c r="AH161">
        <v>2</v>
      </c>
      <c r="AI161">
        <v>16856454</v>
      </c>
      <c r="AJ161">
        <v>151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ROW(Source!A53)</f>
        <v>53</v>
      </c>
      <c r="B162">
        <v>16856461</v>
      </c>
      <c r="C162">
        <v>16856453</v>
      </c>
      <c r="D162">
        <v>15430395</v>
      </c>
      <c r="E162">
        <v>1</v>
      </c>
      <c r="F162">
        <v>1</v>
      </c>
      <c r="G162">
        <v>1</v>
      </c>
      <c r="H162">
        <v>1</v>
      </c>
      <c r="I162" t="s">
        <v>316</v>
      </c>
      <c r="J162" t="s">
        <v>6</v>
      </c>
      <c r="K162" t="s">
        <v>317</v>
      </c>
      <c r="L162">
        <v>1191</v>
      </c>
      <c r="N162">
        <v>1013</v>
      </c>
      <c r="O162" t="s">
        <v>313</v>
      </c>
      <c r="P162" t="s">
        <v>313</v>
      </c>
      <c r="Q162">
        <v>1</v>
      </c>
      <c r="X162">
        <v>1.1599999999999999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2</v>
      </c>
      <c r="AF162" t="s">
        <v>6</v>
      </c>
      <c r="AG162">
        <v>1.1599999999999999</v>
      </c>
      <c r="AH162">
        <v>2</v>
      </c>
      <c r="AI162">
        <v>16856455</v>
      </c>
      <c r="AJ162">
        <v>152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ROW(Source!A53)</f>
        <v>53</v>
      </c>
      <c r="B163">
        <v>16856462</v>
      </c>
      <c r="C163">
        <v>16856453</v>
      </c>
      <c r="D163">
        <v>15247974</v>
      </c>
      <c r="E163">
        <v>1</v>
      </c>
      <c r="F163">
        <v>1</v>
      </c>
      <c r="G163">
        <v>1</v>
      </c>
      <c r="H163">
        <v>2</v>
      </c>
      <c r="I163" t="s">
        <v>318</v>
      </c>
      <c r="J163" t="s">
        <v>319</v>
      </c>
      <c r="K163" t="s">
        <v>320</v>
      </c>
      <c r="L163">
        <v>1368</v>
      </c>
      <c r="N163">
        <v>1011</v>
      </c>
      <c r="O163" t="s">
        <v>321</v>
      </c>
      <c r="P163" t="s">
        <v>321</v>
      </c>
      <c r="Q163">
        <v>1</v>
      </c>
      <c r="X163">
        <v>1.1599999999999999</v>
      </c>
      <c r="Y163">
        <v>0</v>
      </c>
      <c r="Z163">
        <v>31.26</v>
      </c>
      <c r="AA163">
        <v>13.5</v>
      </c>
      <c r="AB163">
        <v>0</v>
      </c>
      <c r="AC163">
        <v>0</v>
      </c>
      <c r="AD163">
        <v>1</v>
      </c>
      <c r="AE163">
        <v>0</v>
      </c>
      <c r="AF163" t="s">
        <v>6</v>
      </c>
      <c r="AG163">
        <v>1.1599999999999999</v>
      </c>
      <c r="AH163">
        <v>2</v>
      </c>
      <c r="AI163">
        <v>16856456</v>
      </c>
      <c r="AJ163">
        <v>153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ROW(Source!A53)</f>
        <v>53</v>
      </c>
      <c r="B164">
        <v>16856463</v>
      </c>
      <c r="C164">
        <v>16856453</v>
      </c>
      <c r="D164">
        <v>15167286</v>
      </c>
      <c r="E164">
        <v>1</v>
      </c>
      <c r="F164">
        <v>1</v>
      </c>
      <c r="G164">
        <v>1</v>
      </c>
      <c r="H164">
        <v>3</v>
      </c>
      <c r="I164" t="s">
        <v>413</v>
      </c>
      <c r="J164" t="s">
        <v>414</v>
      </c>
      <c r="K164" t="s">
        <v>415</v>
      </c>
      <c r="L164">
        <v>1339</v>
      </c>
      <c r="N164">
        <v>1007</v>
      </c>
      <c r="O164" t="s">
        <v>107</v>
      </c>
      <c r="P164" t="s">
        <v>107</v>
      </c>
      <c r="Q164">
        <v>1</v>
      </c>
      <c r="X164">
        <v>0.35</v>
      </c>
      <c r="Y164">
        <v>2.44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0.35</v>
      </c>
      <c r="AH164">
        <v>2</v>
      </c>
      <c r="AI164">
        <v>16856457</v>
      </c>
      <c r="AJ164">
        <v>154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ROW(Source!A53)</f>
        <v>53</v>
      </c>
      <c r="B165">
        <v>16856464</v>
      </c>
      <c r="C165">
        <v>16856453</v>
      </c>
      <c r="D165">
        <v>15164566</v>
      </c>
      <c r="E165">
        <v>17</v>
      </c>
      <c r="F165">
        <v>1</v>
      </c>
      <c r="G165">
        <v>1</v>
      </c>
      <c r="H165">
        <v>3</v>
      </c>
      <c r="I165" t="s">
        <v>446</v>
      </c>
      <c r="J165" t="s">
        <v>6</v>
      </c>
      <c r="K165" t="s">
        <v>447</v>
      </c>
      <c r="L165">
        <v>1348</v>
      </c>
      <c r="N165">
        <v>1009</v>
      </c>
      <c r="O165" t="s">
        <v>37</v>
      </c>
      <c r="P165" t="s">
        <v>37</v>
      </c>
      <c r="Q165">
        <v>1000</v>
      </c>
      <c r="X165">
        <v>8.1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 t="s">
        <v>6</v>
      </c>
      <c r="AG165">
        <v>8.1</v>
      </c>
      <c r="AH165">
        <v>3</v>
      </c>
      <c r="AI165">
        <v>-1</v>
      </c>
      <c r="AJ165" t="s">
        <v>6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ROW(Source!A53)</f>
        <v>53</v>
      </c>
      <c r="B166">
        <v>16856465</v>
      </c>
      <c r="C166">
        <v>16856453</v>
      </c>
      <c r="D166">
        <v>15172875</v>
      </c>
      <c r="E166">
        <v>1</v>
      </c>
      <c r="F166">
        <v>1</v>
      </c>
      <c r="G166">
        <v>1</v>
      </c>
      <c r="H166">
        <v>3</v>
      </c>
      <c r="I166" t="s">
        <v>105</v>
      </c>
      <c r="J166" t="s">
        <v>108</v>
      </c>
      <c r="K166" t="s">
        <v>106</v>
      </c>
      <c r="L166">
        <v>1339</v>
      </c>
      <c r="N166">
        <v>1007</v>
      </c>
      <c r="O166" t="s">
        <v>107</v>
      </c>
      <c r="P166" t="s">
        <v>107</v>
      </c>
      <c r="Q166">
        <v>1</v>
      </c>
      <c r="X166">
        <v>4.4000000000000004</v>
      </c>
      <c r="Y166">
        <v>517.91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4.4000000000000004</v>
      </c>
      <c r="AH166">
        <v>2</v>
      </c>
      <c r="AI166">
        <v>16856458</v>
      </c>
      <c r="AJ166">
        <v>156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ROW(Source!A58)</f>
        <v>58</v>
      </c>
      <c r="B167">
        <v>16856480</v>
      </c>
      <c r="C167">
        <v>16856468</v>
      </c>
      <c r="D167">
        <v>15438286</v>
      </c>
      <c r="E167">
        <v>1</v>
      </c>
      <c r="F167">
        <v>1</v>
      </c>
      <c r="G167">
        <v>1</v>
      </c>
      <c r="H167">
        <v>1</v>
      </c>
      <c r="I167" t="s">
        <v>416</v>
      </c>
      <c r="J167" t="s">
        <v>6</v>
      </c>
      <c r="K167" t="s">
        <v>417</v>
      </c>
      <c r="L167">
        <v>1191</v>
      </c>
      <c r="N167">
        <v>1013</v>
      </c>
      <c r="O167" t="s">
        <v>313</v>
      </c>
      <c r="P167" t="s">
        <v>313</v>
      </c>
      <c r="Q167">
        <v>1</v>
      </c>
      <c r="X167">
        <v>166.47</v>
      </c>
      <c r="Y167">
        <v>0</v>
      </c>
      <c r="Z167">
        <v>0</v>
      </c>
      <c r="AA167">
        <v>0</v>
      </c>
      <c r="AB167">
        <v>9.18</v>
      </c>
      <c r="AC167">
        <v>0</v>
      </c>
      <c r="AD167">
        <v>1</v>
      </c>
      <c r="AE167">
        <v>1</v>
      </c>
      <c r="AF167" t="s">
        <v>57</v>
      </c>
      <c r="AG167">
        <v>191.44049999999999</v>
      </c>
      <c r="AH167">
        <v>2</v>
      </c>
      <c r="AI167">
        <v>16856469</v>
      </c>
      <c r="AJ167">
        <v>157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ROW(Source!A58)</f>
        <v>58</v>
      </c>
      <c r="B168">
        <v>16856481</v>
      </c>
      <c r="C168">
        <v>16856468</v>
      </c>
      <c r="D168">
        <v>15430395</v>
      </c>
      <c r="E168">
        <v>1</v>
      </c>
      <c r="F168">
        <v>1</v>
      </c>
      <c r="G168">
        <v>1</v>
      </c>
      <c r="H168">
        <v>1</v>
      </c>
      <c r="I168" t="s">
        <v>316</v>
      </c>
      <c r="J168" t="s">
        <v>6</v>
      </c>
      <c r="K168" t="s">
        <v>317</v>
      </c>
      <c r="L168">
        <v>1191</v>
      </c>
      <c r="N168">
        <v>1013</v>
      </c>
      <c r="O168" t="s">
        <v>313</v>
      </c>
      <c r="P168" t="s">
        <v>313</v>
      </c>
      <c r="Q168">
        <v>1</v>
      </c>
      <c r="X168">
        <v>0.57999999999999996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2</v>
      </c>
      <c r="AF168" t="s">
        <v>56</v>
      </c>
      <c r="AG168">
        <v>0.72499999999999998</v>
      </c>
      <c r="AH168">
        <v>2</v>
      </c>
      <c r="AI168">
        <v>16856470</v>
      </c>
      <c r="AJ168">
        <v>158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ROW(Source!A58)</f>
        <v>58</v>
      </c>
      <c r="B169">
        <v>16856482</v>
      </c>
      <c r="C169">
        <v>16856468</v>
      </c>
      <c r="D169">
        <v>15247974</v>
      </c>
      <c r="E169">
        <v>1</v>
      </c>
      <c r="F169">
        <v>1</v>
      </c>
      <c r="G169">
        <v>1</v>
      </c>
      <c r="H169">
        <v>2</v>
      </c>
      <c r="I169" t="s">
        <v>318</v>
      </c>
      <c r="J169" t="s">
        <v>319</v>
      </c>
      <c r="K169" t="s">
        <v>320</v>
      </c>
      <c r="L169">
        <v>1368</v>
      </c>
      <c r="N169">
        <v>1011</v>
      </c>
      <c r="O169" t="s">
        <v>321</v>
      </c>
      <c r="P169" t="s">
        <v>321</v>
      </c>
      <c r="Q169">
        <v>1</v>
      </c>
      <c r="X169">
        <v>0.08</v>
      </c>
      <c r="Y169">
        <v>0</v>
      </c>
      <c r="Z169">
        <v>31.26</v>
      </c>
      <c r="AA169">
        <v>13.5</v>
      </c>
      <c r="AB169">
        <v>0</v>
      </c>
      <c r="AC169">
        <v>0</v>
      </c>
      <c r="AD169">
        <v>1</v>
      </c>
      <c r="AE169">
        <v>0</v>
      </c>
      <c r="AF169" t="s">
        <v>56</v>
      </c>
      <c r="AG169">
        <v>0.1</v>
      </c>
      <c r="AH169">
        <v>2</v>
      </c>
      <c r="AI169">
        <v>16856471</v>
      </c>
      <c r="AJ169">
        <v>159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ROW(Source!A58)</f>
        <v>58</v>
      </c>
      <c r="B170">
        <v>16856483</v>
      </c>
      <c r="C170">
        <v>16856468</v>
      </c>
      <c r="D170">
        <v>15249073</v>
      </c>
      <c r="E170">
        <v>1</v>
      </c>
      <c r="F170">
        <v>1</v>
      </c>
      <c r="G170">
        <v>1</v>
      </c>
      <c r="H170">
        <v>2</v>
      </c>
      <c r="I170" t="s">
        <v>330</v>
      </c>
      <c r="J170" t="s">
        <v>331</v>
      </c>
      <c r="K170" t="s">
        <v>332</v>
      </c>
      <c r="L170">
        <v>1368</v>
      </c>
      <c r="N170">
        <v>1011</v>
      </c>
      <c r="O170" t="s">
        <v>321</v>
      </c>
      <c r="P170" t="s">
        <v>321</v>
      </c>
      <c r="Q170">
        <v>1</v>
      </c>
      <c r="X170">
        <v>0.5</v>
      </c>
      <c r="Y170">
        <v>0</v>
      </c>
      <c r="Z170">
        <v>65.709999999999994</v>
      </c>
      <c r="AA170">
        <v>11.6</v>
      </c>
      <c r="AB170">
        <v>0</v>
      </c>
      <c r="AC170">
        <v>0</v>
      </c>
      <c r="AD170">
        <v>1</v>
      </c>
      <c r="AE170">
        <v>0</v>
      </c>
      <c r="AF170" t="s">
        <v>56</v>
      </c>
      <c r="AG170">
        <v>0.625</v>
      </c>
      <c r="AH170">
        <v>2</v>
      </c>
      <c r="AI170">
        <v>16856472</v>
      </c>
      <c r="AJ170">
        <v>160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ROW(Source!A58)</f>
        <v>58</v>
      </c>
      <c r="B171">
        <v>16856484</v>
      </c>
      <c r="C171">
        <v>16856468</v>
      </c>
      <c r="D171">
        <v>15162966</v>
      </c>
      <c r="E171">
        <v>17</v>
      </c>
      <c r="F171">
        <v>1</v>
      </c>
      <c r="G171">
        <v>1</v>
      </c>
      <c r="H171">
        <v>3</v>
      </c>
      <c r="I171" t="s">
        <v>120</v>
      </c>
      <c r="J171" t="s">
        <v>6</v>
      </c>
      <c r="K171" t="s">
        <v>121</v>
      </c>
      <c r="L171">
        <v>1327</v>
      </c>
      <c r="N171">
        <v>1005</v>
      </c>
      <c r="O171" t="s">
        <v>64</v>
      </c>
      <c r="P171" t="s">
        <v>64</v>
      </c>
      <c r="Q171">
        <v>1</v>
      </c>
      <c r="X171">
        <v>105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6</v>
      </c>
      <c r="AG171">
        <v>105</v>
      </c>
      <c r="AH171">
        <v>2</v>
      </c>
      <c r="AI171">
        <v>16856473</v>
      </c>
      <c r="AJ171">
        <v>161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ROW(Source!A58)</f>
        <v>58</v>
      </c>
      <c r="B172">
        <v>16856485</v>
      </c>
      <c r="C172">
        <v>16856468</v>
      </c>
      <c r="D172">
        <v>15171018</v>
      </c>
      <c r="E172">
        <v>1</v>
      </c>
      <c r="F172">
        <v>1</v>
      </c>
      <c r="G172">
        <v>1</v>
      </c>
      <c r="H172">
        <v>3</v>
      </c>
      <c r="I172" t="s">
        <v>418</v>
      </c>
      <c r="J172" t="s">
        <v>419</v>
      </c>
      <c r="K172" t="s">
        <v>420</v>
      </c>
      <c r="L172">
        <v>1346</v>
      </c>
      <c r="N172">
        <v>1009</v>
      </c>
      <c r="O172" t="s">
        <v>129</v>
      </c>
      <c r="P172" t="s">
        <v>129</v>
      </c>
      <c r="Q172">
        <v>1</v>
      </c>
      <c r="X172">
        <v>0.2</v>
      </c>
      <c r="Y172">
        <v>1.82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0.2</v>
      </c>
      <c r="AH172">
        <v>2</v>
      </c>
      <c r="AI172">
        <v>16856474</v>
      </c>
      <c r="AJ172">
        <v>162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ROW(Source!A58)</f>
        <v>58</v>
      </c>
      <c r="B173">
        <v>16856486</v>
      </c>
      <c r="C173">
        <v>16856468</v>
      </c>
      <c r="D173">
        <v>15162257</v>
      </c>
      <c r="E173">
        <v>17</v>
      </c>
      <c r="F173">
        <v>1</v>
      </c>
      <c r="G173">
        <v>1</v>
      </c>
      <c r="H173">
        <v>3</v>
      </c>
      <c r="I173" t="s">
        <v>127</v>
      </c>
      <c r="J173" t="s">
        <v>6</v>
      </c>
      <c r="K173" t="s">
        <v>128</v>
      </c>
      <c r="L173">
        <v>1346</v>
      </c>
      <c r="N173">
        <v>1009</v>
      </c>
      <c r="O173" t="s">
        <v>129</v>
      </c>
      <c r="P173" t="s">
        <v>129</v>
      </c>
      <c r="Q173">
        <v>1</v>
      </c>
      <c r="X173">
        <v>30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 t="s">
        <v>6</v>
      </c>
      <c r="AG173">
        <v>30</v>
      </c>
      <c r="AH173">
        <v>2</v>
      </c>
      <c r="AI173">
        <v>16856475</v>
      </c>
      <c r="AJ173">
        <v>165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ROW(Source!A58)</f>
        <v>58</v>
      </c>
      <c r="B174">
        <v>16856487</v>
      </c>
      <c r="C174">
        <v>16856468</v>
      </c>
      <c r="D174">
        <v>15162572</v>
      </c>
      <c r="E174">
        <v>17</v>
      </c>
      <c r="F174">
        <v>1</v>
      </c>
      <c r="G174">
        <v>1</v>
      </c>
      <c r="H174">
        <v>3</v>
      </c>
      <c r="I174" t="s">
        <v>139</v>
      </c>
      <c r="J174" t="s">
        <v>6</v>
      </c>
      <c r="K174" t="s">
        <v>140</v>
      </c>
      <c r="L174">
        <v>1348</v>
      </c>
      <c r="N174">
        <v>1009</v>
      </c>
      <c r="O174" t="s">
        <v>37</v>
      </c>
      <c r="P174" t="s">
        <v>37</v>
      </c>
      <c r="Q174">
        <v>1000</v>
      </c>
      <c r="X174">
        <v>8.8999999999999999E-3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 t="s">
        <v>6</v>
      </c>
      <c r="AG174">
        <v>8.8999999999999999E-3</v>
      </c>
      <c r="AH174">
        <v>2</v>
      </c>
      <c r="AI174">
        <v>16856476</v>
      </c>
      <c r="AJ174">
        <v>167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ROW(Source!A59)</f>
        <v>59</v>
      </c>
      <c r="B175">
        <v>16856480</v>
      </c>
      <c r="C175">
        <v>16856468</v>
      </c>
      <c r="D175">
        <v>15438286</v>
      </c>
      <c r="E175">
        <v>1</v>
      </c>
      <c r="F175">
        <v>1</v>
      </c>
      <c r="G175">
        <v>1</v>
      </c>
      <c r="H175">
        <v>1</v>
      </c>
      <c r="I175" t="s">
        <v>416</v>
      </c>
      <c r="J175" t="s">
        <v>6</v>
      </c>
      <c r="K175" t="s">
        <v>417</v>
      </c>
      <c r="L175">
        <v>1191</v>
      </c>
      <c r="N175">
        <v>1013</v>
      </c>
      <c r="O175" t="s">
        <v>313</v>
      </c>
      <c r="P175" t="s">
        <v>313</v>
      </c>
      <c r="Q175">
        <v>1</v>
      </c>
      <c r="X175">
        <v>166.47</v>
      </c>
      <c r="Y175">
        <v>0</v>
      </c>
      <c r="Z175">
        <v>0</v>
      </c>
      <c r="AA175">
        <v>0</v>
      </c>
      <c r="AB175">
        <v>9.18</v>
      </c>
      <c r="AC175">
        <v>0</v>
      </c>
      <c r="AD175">
        <v>1</v>
      </c>
      <c r="AE175">
        <v>1</v>
      </c>
      <c r="AF175" t="s">
        <v>57</v>
      </c>
      <c r="AG175">
        <v>191.44049999999999</v>
      </c>
      <c r="AH175">
        <v>2</v>
      </c>
      <c r="AI175">
        <v>16856469</v>
      </c>
      <c r="AJ175">
        <v>168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ROW(Source!A59)</f>
        <v>59</v>
      </c>
      <c r="B176">
        <v>16856481</v>
      </c>
      <c r="C176">
        <v>16856468</v>
      </c>
      <c r="D176">
        <v>15430395</v>
      </c>
      <c r="E176">
        <v>1</v>
      </c>
      <c r="F176">
        <v>1</v>
      </c>
      <c r="G176">
        <v>1</v>
      </c>
      <c r="H176">
        <v>1</v>
      </c>
      <c r="I176" t="s">
        <v>316</v>
      </c>
      <c r="J176" t="s">
        <v>6</v>
      </c>
      <c r="K176" t="s">
        <v>317</v>
      </c>
      <c r="L176">
        <v>1191</v>
      </c>
      <c r="N176">
        <v>1013</v>
      </c>
      <c r="O176" t="s">
        <v>313</v>
      </c>
      <c r="P176" t="s">
        <v>313</v>
      </c>
      <c r="Q176">
        <v>1</v>
      </c>
      <c r="X176">
        <v>0.57999999999999996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56</v>
      </c>
      <c r="AG176">
        <v>0.72499999999999998</v>
      </c>
      <c r="AH176">
        <v>2</v>
      </c>
      <c r="AI176">
        <v>16856470</v>
      </c>
      <c r="AJ176">
        <v>169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ROW(Source!A59)</f>
        <v>59</v>
      </c>
      <c r="B177">
        <v>16856482</v>
      </c>
      <c r="C177">
        <v>16856468</v>
      </c>
      <c r="D177">
        <v>15247974</v>
      </c>
      <c r="E177">
        <v>1</v>
      </c>
      <c r="F177">
        <v>1</v>
      </c>
      <c r="G177">
        <v>1</v>
      </c>
      <c r="H177">
        <v>2</v>
      </c>
      <c r="I177" t="s">
        <v>318</v>
      </c>
      <c r="J177" t="s">
        <v>319</v>
      </c>
      <c r="K177" t="s">
        <v>320</v>
      </c>
      <c r="L177">
        <v>1368</v>
      </c>
      <c r="N177">
        <v>1011</v>
      </c>
      <c r="O177" t="s">
        <v>321</v>
      </c>
      <c r="P177" t="s">
        <v>321</v>
      </c>
      <c r="Q177">
        <v>1</v>
      </c>
      <c r="X177">
        <v>0.08</v>
      </c>
      <c r="Y177">
        <v>0</v>
      </c>
      <c r="Z177">
        <v>31.26</v>
      </c>
      <c r="AA177">
        <v>13.5</v>
      </c>
      <c r="AB177">
        <v>0</v>
      </c>
      <c r="AC177">
        <v>0</v>
      </c>
      <c r="AD177">
        <v>1</v>
      </c>
      <c r="AE177">
        <v>0</v>
      </c>
      <c r="AF177" t="s">
        <v>56</v>
      </c>
      <c r="AG177">
        <v>0.1</v>
      </c>
      <c r="AH177">
        <v>2</v>
      </c>
      <c r="AI177">
        <v>16856471</v>
      </c>
      <c r="AJ177">
        <v>170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ROW(Source!A59)</f>
        <v>59</v>
      </c>
      <c r="B178">
        <v>16856483</v>
      </c>
      <c r="C178">
        <v>16856468</v>
      </c>
      <c r="D178">
        <v>15249073</v>
      </c>
      <c r="E178">
        <v>1</v>
      </c>
      <c r="F178">
        <v>1</v>
      </c>
      <c r="G178">
        <v>1</v>
      </c>
      <c r="H178">
        <v>2</v>
      </c>
      <c r="I178" t="s">
        <v>330</v>
      </c>
      <c r="J178" t="s">
        <v>331</v>
      </c>
      <c r="K178" t="s">
        <v>332</v>
      </c>
      <c r="L178">
        <v>1368</v>
      </c>
      <c r="N178">
        <v>1011</v>
      </c>
      <c r="O178" t="s">
        <v>321</v>
      </c>
      <c r="P178" t="s">
        <v>321</v>
      </c>
      <c r="Q178">
        <v>1</v>
      </c>
      <c r="X178">
        <v>0.5</v>
      </c>
      <c r="Y178">
        <v>0</v>
      </c>
      <c r="Z178">
        <v>65.709999999999994</v>
      </c>
      <c r="AA178">
        <v>11.6</v>
      </c>
      <c r="AB178">
        <v>0</v>
      </c>
      <c r="AC178">
        <v>0</v>
      </c>
      <c r="AD178">
        <v>1</v>
      </c>
      <c r="AE178">
        <v>0</v>
      </c>
      <c r="AF178" t="s">
        <v>56</v>
      </c>
      <c r="AG178">
        <v>0.625</v>
      </c>
      <c r="AH178">
        <v>2</v>
      </c>
      <c r="AI178">
        <v>16856472</v>
      </c>
      <c r="AJ178">
        <v>171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ROW(Source!A59)</f>
        <v>59</v>
      </c>
      <c r="B179">
        <v>16856484</v>
      </c>
      <c r="C179">
        <v>16856468</v>
      </c>
      <c r="D179">
        <v>15162966</v>
      </c>
      <c r="E179">
        <v>17</v>
      </c>
      <c r="F179">
        <v>1</v>
      </c>
      <c r="G179">
        <v>1</v>
      </c>
      <c r="H179">
        <v>3</v>
      </c>
      <c r="I179" t="s">
        <v>120</v>
      </c>
      <c r="J179" t="s">
        <v>6</v>
      </c>
      <c r="K179" t="s">
        <v>121</v>
      </c>
      <c r="L179">
        <v>1327</v>
      </c>
      <c r="N179">
        <v>1005</v>
      </c>
      <c r="O179" t="s">
        <v>64</v>
      </c>
      <c r="P179" t="s">
        <v>64</v>
      </c>
      <c r="Q179">
        <v>1</v>
      </c>
      <c r="X179">
        <v>105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6</v>
      </c>
      <c r="AG179">
        <v>105</v>
      </c>
      <c r="AH179">
        <v>2</v>
      </c>
      <c r="AI179">
        <v>16856473</v>
      </c>
      <c r="AJ179">
        <v>172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ROW(Source!A59)</f>
        <v>59</v>
      </c>
      <c r="B180">
        <v>16856485</v>
      </c>
      <c r="C180">
        <v>16856468</v>
      </c>
      <c r="D180">
        <v>15171018</v>
      </c>
      <c r="E180">
        <v>1</v>
      </c>
      <c r="F180">
        <v>1</v>
      </c>
      <c r="G180">
        <v>1</v>
      </c>
      <c r="H180">
        <v>3</v>
      </c>
      <c r="I180" t="s">
        <v>418</v>
      </c>
      <c r="J180" t="s">
        <v>419</v>
      </c>
      <c r="K180" t="s">
        <v>420</v>
      </c>
      <c r="L180">
        <v>1346</v>
      </c>
      <c r="N180">
        <v>1009</v>
      </c>
      <c r="O180" t="s">
        <v>129</v>
      </c>
      <c r="P180" t="s">
        <v>129</v>
      </c>
      <c r="Q180">
        <v>1</v>
      </c>
      <c r="X180">
        <v>0.2</v>
      </c>
      <c r="Y180">
        <v>1.82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0.2</v>
      </c>
      <c r="AH180">
        <v>2</v>
      </c>
      <c r="AI180">
        <v>16856474</v>
      </c>
      <c r="AJ180">
        <v>173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ROW(Source!A59)</f>
        <v>59</v>
      </c>
      <c r="B181">
        <v>16856486</v>
      </c>
      <c r="C181">
        <v>16856468</v>
      </c>
      <c r="D181">
        <v>15162257</v>
      </c>
      <c r="E181">
        <v>17</v>
      </c>
      <c r="F181">
        <v>1</v>
      </c>
      <c r="G181">
        <v>1</v>
      </c>
      <c r="H181">
        <v>3</v>
      </c>
      <c r="I181" t="s">
        <v>127</v>
      </c>
      <c r="J181" t="s">
        <v>6</v>
      </c>
      <c r="K181" t="s">
        <v>128</v>
      </c>
      <c r="L181">
        <v>1346</v>
      </c>
      <c r="N181">
        <v>1009</v>
      </c>
      <c r="O181" t="s">
        <v>129</v>
      </c>
      <c r="P181" t="s">
        <v>129</v>
      </c>
      <c r="Q181">
        <v>1</v>
      </c>
      <c r="X181">
        <v>30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 t="s">
        <v>6</v>
      </c>
      <c r="AG181">
        <v>30</v>
      </c>
      <c r="AH181">
        <v>2</v>
      </c>
      <c r="AI181">
        <v>16856475</v>
      </c>
      <c r="AJ181">
        <v>176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ROW(Source!A59)</f>
        <v>59</v>
      </c>
      <c r="B182">
        <v>16856487</v>
      </c>
      <c r="C182">
        <v>16856468</v>
      </c>
      <c r="D182">
        <v>15162572</v>
      </c>
      <c r="E182">
        <v>17</v>
      </c>
      <c r="F182">
        <v>1</v>
      </c>
      <c r="G182">
        <v>1</v>
      </c>
      <c r="H182">
        <v>3</v>
      </c>
      <c r="I182" t="s">
        <v>139</v>
      </c>
      <c r="J182" t="s">
        <v>6</v>
      </c>
      <c r="K182" t="s">
        <v>140</v>
      </c>
      <c r="L182">
        <v>1348</v>
      </c>
      <c r="N182">
        <v>1009</v>
      </c>
      <c r="O182" t="s">
        <v>37</v>
      </c>
      <c r="P182" t="s">
        <v>37</v>
      </c>
      <c r="Q182">
        <v>1000</v>
      </c>
      <c r="X182">
        <v>8.8999999999999999E-3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 t="s">
        <v>6</v>
      </c>
      <c r="AG182">
        <v>8.8999999999999999E-3</v>
      </c>
      <c r="AH182">
        <v>2</v>
      </c>
      <c r="AI182">
        <v>16856476</v>
      </c>
      <c r="AJ182">
        <v>178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ROW(Source!A72)</f>
        <v>72</v>
      </c>
      <c r="B183">
        <v>16856499</v>
      </c>
      <c r="C183">
        <v>16856494</v>
      </c>
      <c r="D183">
        <v>15430767</v>
      </c>
      <c r="E183">
        <v>1</v>
      </c>
      <c r="F183">
        <v>1</v>
      </c>
      <c r="G183">
        <v>1</v>
      </c>
      <c r="H183">
        <v>1</v>
      </c>
      <c r="I183" t="s">
        <v>399</v>
      </c>
      <c r="J183" t="s">
        <v>6</v>
      </c>
      <c r="K183" t="s">
        <v>400</v>
      </c>
      <c r="L183">
        <v>1191</v>
      </c>
      <c r="N183">
        <v>1013</v>
      </c>
      <c r="O183" t="s">
        <v>313</v>
      </c>
      <c r="P183" t="s">
        <v>313</v>
      </c>
      <c r="Q183">
        <v>1</v>
      </c>
      <c r="X183">
        <v>6.7</v>
      </c>
      <c r="Y183">
        <v>0</v>
      </c>
      <c r="Z183">
        <v>0</v>
      </c>
      <c r="AA183">
        <v>0</v>
      </c>
      <c r="AB183">
        <v>8.5299999999999994</v>
      </c>
      <c r="AC183">
        <v>0</v>
      </c>
      <c r="AD183">
        <v>1</v>
      </c>
      <c r="AE183">
        <v>1</v>
      </c>
      <c r="AF183" t="s">
        <v>57</v>
      </c>
      <c r="AG183">
        <v>7.7049999999999992</v>
      </c>
      <c r="AH183">
        <v>2</v>
      </c>
      <c r="AI183">
        <v>16856495</v>
      </c>
      <c r="AJ183">
        <v>179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ROW(Source!A72)</f>
        <v>72</v>
      </c>
      <c r="B184">
        <v>16856500</v>
      </c>
      <c r="C184">
        <v>16856494</v>
      </c>
      <c r="D184">
        <v>15162472</v>
      </c>
      <c r="E184">
        <v>17</v>
      </c>
      <c r="F184">
        <v>1</v>
      </c>
      <c r="G184">
        <v>1</v>
      </c>
      <c r="H184">
        <v>3</v>
      </c>
      <c r="I184" t="s">
        <v>146</v>
      </c>
      <c r="J184" t="s">
        <v>6</v>
      </c>
      <c r="K184" t="s">
        <v>147</v>
      </c>
      <c r="L184">
        <v>2233</v>
      </c>
      <c r="N184">
        <v>1013</v>
      </c>
      <c r="O184" t="s">
        <v>148</v>
      </c>
      <c r="P184" t="s">
        <v>148</v>
      </c>
      <c r="Q184">
        <v>1</v>
      </c>
      <c r="X184">
        <v>100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 t="s">
        <v>6</v>
      </c>
      <c r="AG184">
        <v>100</v>
      </c>
      <c r="AH184">
        <v>2</v>
      </c>
      <c r="AI184">
        <v>16856496</v>
      </c>
      <c r="AJ184">
        <v>180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ROW(Source!A72)</f>
        <v>72</v>
      </c>
      <c r="B185">
        <v>16856501</v>
      </c>
      <c r="C185">
        <v>16856494</v>
      </c>
      <c r="D185">
        <v>15202504</v>
      </c>
      <c r="E185">
        <v>1</v>
      </c>
      <c r="F185">
        <v>1</v>
      </c>
      <c r="G185">
        <v>1</v>
      </c>
      <c r="H185">
        <v>3</v>
      </c>
      <c r="I185" t="s">
        <v>421</v>
      </c>
      <c r="J185" t="s">
        <v>422</v>
      </c>
      <c r="K185" t="s">
        <v>423</v>
      </c>
      <c r="L185">
        <v>1346</v>
      </c>
      <c r="N185">
        <v>1009</v>
      </c>
      <c r="O185" t="s">
        <v>129</v>
      </c>
      <c r="P185" t="s">
        <v>129</v>
      </c>
      <c r="Q185">
        <v>1</v>
      </c>
      <c r="X185">
        <v>0.8</v>
      </c>
      <c r="Y185">
        <v>45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0.8</v>
      </c>
      <c r="AH185">
        <v>2</v>
      </c>
      <c r="AI185">
        <v>16856497</v>
      </c>
      <c r="AJ185">
        <v>182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ROW(Source!A73)</f>
        <v>73</v>
      </c>
      <c r="B186">
        <v>16856499</v>
      </c>
      <c r="C186">
        <v>16856494</v>
      </c>
      <c r="D186">
        <v>15430767</v>
      </c>
      <c r="E186">
        <v>1</v>
      </c>
      <c r="F186">
        <v>1</v>
      </c>
      <c r="G186">
        <v>1</v>
      </c>
      <c r="H186">
        <v>1</v>
      </c>
      <c r="I186" t="s">
        <v>399</v>
      </c>
      <c r="J186" t="s">
        <v>6</v>
      </c>
      <c r="K186" t="s">
        <v>400</v>
      </c>
      <c r="L186">
        <v>1191</v>
      </c>
      <c r="N186">
        <v>1013</v>
      </c>
      <c r="O186" t="s">
        <v>313</v>
      </c>
      <c r="P186" t="s">
        <v>313</v>
      </c>
      <c r="Q186">
        <v>1</v>
      </c>
      <c r="X186">
        <v>6.7</v>
      </c>
      <c r="Y186">
        <v>0</v>
      </c>
      <c r="Z186">
        <v>0</v>
      </c>
      <c r="AA186">
        <v>0</v>
      </c>
      <c r="AB186">
        <v>8.5299999999999994</v>
      </c>
      <c r="AC186">
        <v>0</v>
      </c>
      <c r="AD186">
        <v>1</v>
      </c>
      <c r="AE186">
        <v>1</v>
      </c>
      <c r="AF186" t="s">
        <v>57</v>
      </c>
      <c r="AG186">
        <v>7.7049999999999992</v>
      </c>
      <c r="AH186">
        <v>2</v>
      </c>
      <c r="AI186">
        <v>16856495</v>
      </c>
      <c r="AJ186">
        <v>183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ROW(Source!A73)</f>
        <v>73</v>
      </c>
      <c r="B187">
        <v>16856500</v>
      </c>
      <c r="C187">
        <v>16856494</v>
      </c>
      <c r="D187">
        <v>15162472</v>
      </c>
      <c r="E187">
        <v>17</v>
      </c>
      <c r="F187">
        <v>1</v>
      </c>
      <c r="G187">
        <v>1</v>
      </c>
      <c r="H187">
        <v>3</v>
      </c>
      <c r="I187" t="s">
        <v>146</v>
      </c>
      <c r="J187" t="s">
        <v>6</v>
      </c>
      <c r="K187" t="s">
        <v>147</v>
      </c>
      <c r="L187">
        <v>2233</v>
      </c>
      <c r="N187">
        <v>1013</v>
      </c>
      <c r="O187" t="s">
        <v>148</v>
      </c>
      <c r="P187" t="s">
        <v>148</v>
      </c>
      <c r="Q187">
        <v>1</v>
      </c>
      <c r="X187">
        <v>100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 t="s">
        <v>6</v>
      </c>
      <c r="AG187">
        <v>100</v>
      </c>
      <c r="AH187">
        <v>2</v>
      </c>
      <c r="AI187">
        <v>16856496</v>
      </c>
      <c r="AJ187">
        <v>184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ROW(Source!A73)</f>
        <v>73</v>
      </c>
      <c r="B188">
        <v>16856501</v>
      </c>
      <c r="C188">
        <v>16856494</v>
      </c>
      <c r="D188">
        <v>15202504</v>
      </c>
      <c r="E188">
        <v>1</v>
      </c>
      <c r="F188">
        <v>1</v>
      </c>
      <c r="G188">
        <v>1</v>
      </c>
      <c r="H188">
        <v>3</v>
      </c>
      <c r="I188" t="s">
        <v>421</v>
      </c>
      <c r="J188" t="s">
        <v>422</v>
      </c>
      <c r="K188" t="s">
        <v>423</v>
      </c>
      <c r="L188">
        <v>1346</v>
      </c>
      <c r="N188">
        <v>1009</v>
      </c>
      <c r="O188" t="s">
        <v>129</v>
      </c>
      <c r="P188" t="s">
        <v>129</v>
      </c>
      <c r="Q188">
        <v>1</v>
      </c>
      <c r="X188">
        <v>0.8</v>
      </c>
      <c r="Y188">
        <v>45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6</v>
      </c>
      <c r="AG188">
        <v>0.8</v>
      </c>
      <c r="AH188">
        <v>2</v>
      </c>
      <c r="AI188">
        <v>16856497</v>
      </c>
      <c r="AJ188">
        <v>186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ROW(Source!A78)</f>
        <v>78</v>
      </c>
      <c r="B189">
        <v>16856523</v>
      </c>
      <c r="C189">
        <v>16856504</v>
      </c>
      <c r="D189">
        <v>15430767</v>
      </c>
      <c r="E189">
        <v>1</v>
      </c>
      <c r="F189">
        <v>1</v>
      </c>
      <c r="G189">
        <v>1</v>
      </c>
      <c r="H189">
        <v>1</v>
      </c>
      <c r="I189" t="s">
        <v>399</v>
      </c>
      <c r="J189" t="s">
        <v>6</v>
      </c>
      <c r="K189" t="s">
        <v>400</v>
      </c>
      <c r="L189">
        <v>1191</v>
      </c>
      <c r="N189">
        <v>1013</v>
      </c>
      <c r="O189" t="s">
        <v>313</v>
      </c>
      <c r="P189" t="s">
        <v>313</v>
      </c>
      <c r="Q189">
        <v>1</v>
      </c>
      <c r="X189">
        <v>50.79</v>
      </c>
      <c r="Y189">
        <v>0</v>
      </c>
      <c r="Z189">
        <v>0</v>
      </c>
      <c r="AA189">
        <v>0</v>
      </c>
      <c r="AB189">
        <v>8.5299999999999994</v>
      </c>
      <c r="AC189">
        <v>0</v>
      </c>
      <c r="AD189">
        <v>1</v>
      </c>
      <c r="AE189">
        <v>1</v>
      </c>
      <c r="AF189" t="s">
        <v>40</v>
      </c>
      <c r="AG189">
        <v>35.552999999999997</v>
      </c>
      <c r="AH189">
        <v>2</v>
      </c>
      <c r="AI189">
        <v>16856505</v>
      </c>
      <c r="AJ189">
        <v>187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ROW(Source!A78)</f>
        <v>78</v>
      </c>
      <c r="B190">
        <v>16856524</v>
      </c>
      <c r="C190">
        <v>16856504</v>
      </c>
      <c r="D190">
        <v>15430395</v>
      </c>
      <c r="E190">
        <v>1</v>
      </c>
      <c r="F190">
        <v>1</v>
      </c>
      <c r="G190">
        <v>1</v>
      </c>
      <c r="H190">
        <v>1</v>
      </c>
      <c r="I190" t="s">
        <v>316</v>
      </c>
      <c r="J190" t="s">
        <v>6</v>
      </c>
      <c r="K190" t="s">
        <v>317</v>
      </c>
      <c r="L190">
        <v>1191</v>
      </c>
      <c r="N190">
        <v>1013</v>
      </c>
      <c r="O190" t="s">
        <v>313</v>
      </c>
      <c r="P190" t="s">
        <v>313</v>
      </c>
      <c r="Q190">
        <v>1</v>
      </c>
      <c r="X190">
        <v>0.31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2</v>
      </c>
      <c r="AF190" t="s">
        <v>40</v>
      </c>
      <c r="AG190">
        <v>0.217</v>
      </c>
      <c r="AH190">
        <v>2</v>
      </c>
      <c r="AI190">
        <v>16856506</v>
      </c>
      <c r="AJ190">
        <v>188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ROW(Source!A78)</f>
        <v>78</v>
      </c>
      <c r="B191">
        <v>16856525</v>
      </c>
      <c r="C191">
        <v>16856504</v>
      </c>
      <c r="D191">
        <v>15247680</v>
      </c>
      <c r="E191">
        <v>1</v>
      </c>
      <c r="F191">
        <v>1</v>
      </c>
      <c r="G191">
        <v>1</v>
      </c>
      <c r="H191">
        <v>2</v>
      </c>
      <c r="I191" t="s">
        <v>324</v>
      </c>
      <c r="J191" t="s">
        <v>325</v>
      </c>
      <c r="K191" t="s">
        <v>326</v>
      </c>
      <c r="L191">
        <v>1368</v>
      </c>
      <c r="N191">
        <v>1011</v>
      </c>
      <c r="O191" t="s">
        <v>321</v>
      </c>
      <c r="P191" t="s">
        <v>321</v>
      </c>
      <c r="Q191">
        <v>1</v>
      </c>
      <c r="X191">
        <v>0.12</v>
      </c>
      <c r="Y191">
        <v>0</v>
      </c>
      <c r="Z191">
        <v>111.99</v>
      </c>
      <c r="AA191">
        <v>13.5</v>
      </c>
      <c r="AB191">
        <v>0</v>
      </c>
      <c r="AC191">
        <v>0</v>
      </c>
      <c r="AD191">
        <v>1</v>
      </c>
      <c r="AE191">
        <v>0</v>
      </c>
      <c r="AF191" t="s">
        <v>40</v>
      </c>
      <c r="AG191">
        <v>8.3999999999999991E-2</v>
      </c>
      <c r="AH191">
        <v>2</v>
      </c>
      <c r="AI191">
        <v>16856507</v>
      </c>
      <c r="AJ191">
        <v>189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ROW(Source!A78)</f>
        <v>78</v>
      </c>
      <c r="B192">
        <v>16856526</v>
      </c>
      <c r="C192">
        <v>16856504</v>
      </c>
      <c r="D192">
        <v>15247880</v>
      </c>
      <c r="E192">
        <v>1</v>
      </c>
      <c r="F192">
        <v>1</v>
      </c>
      <c r="G192">
        <v>1</v>
      </c>
      <c r="H192">
        <v>2</v>
      </c>
      <c r="I192" t="s">
        <v>424</v>
      </c>
      <c r="J192" t="s">
        <v>425</v>
      </c>
      <c r="K192" t="s">
        <v>426</v>
      </c>
      <c r="L192">
        <v>1368</v>
      </c>
      <c r="N192">
        <v>1011</v>
      </c>
      <c r="O192" t="s">
        <v>321</v>
      </c>
      <c r="P192" t="s">
        <v>321</v>
      </c>
      <c r="Q192">
        <v>1</v>
      </c>
      <c r="X192">
        <v>10.53</v>
      </c>
      <c r="Y192">
        <v>0</v>
      </c>
      <c r="Z192">
        <v>6.9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40</v>
      </c>
      <c r="AG192">
        <v>7.3709999999999987</v>
      </c>
      <c r="AH192">
        <v>2</v>
      </c>
      <c r="AI192">
        <v>16856508</v>
      </c>
      <c r="AJ192">
        <v>190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ROW(Source!A78)</f>
        <v>78</v>
      </c>
      <c r="B193">
        <v>16856527</v>
      </c>
      <c r="C193">
        <v>16856504</v>
      </c>
      <c r="D193">
        <v>15249073</v>
      </c>
      <c r="E193">
        <v>1</v>
      </c>
      <c r="F193">
        <v>1</v>
      </c>
      <c r="G193">
        <v>1</v>
      </c>
      <c r="H193">
        <v>2</v>
      </c>
      <c r="I193" t="s">
        <v>330</v>
      </c>
      <c r="J193" t="s">
        <v>331</v>
      </c>
      <c r="K193" t="s">
        <v>332</v>
      </c>
      <c r="L193">
        <v>1368</v>
      </c>
      <c r="N193">
        <v>1011</v>
      </c>
      <c r="O193" t="s">
        <v>321</v>
      </c>
      <c r="P193" t="s">
        <v>321</v>
      </c>
      <c r="Q193">
        <v>1</v>
      </c>
      <c r="X193">
        <v>0.19</v>
      </c>
      <c r="Y193">
        <v>0</v>
      </c>
      <c r="Z193">
        <v>65.709999999999994</v>
      </c>
      <c r="AA193">
        <v>11.6</v>
      </c>
      <c r="AB193">
        <v>0</v>
      </c>
      <c r="AC193">
        <v>0</v>
      </c>
      <c r="AD193">
        <v>1</v>
      </c>
      <c r="AE193">
        <v>0</v>
      </c>
      <c r="AF193" t="s">
        <v>40</v>
      </c>
      <c r="AG193">
        <v>0.13299999999999998</v>
      </c>
      <c r="AH193">
        <v>2</v>
      </c>
      <c r="AI193">
        <v>16856509</v>
      </c>
      <c r="AJ193">
        <v>191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ROW(Source!A78)</f>
        <v>78</v>
      </c>
      <c r="B194">
        <v>16856528</v>
      </c>
      <c r="C194">
        <v>16856504</v>
      </c>
      <c r="D194">
        <v>15249308</v>
      </c>
      <c r="E194">
        <v>1</v>
      </c>
      <c r="F194">
        <v>1</v>
      </c>
      <c r="G194">
        <v>1</v>
      </c>
      <c r="H194">
        <v>2</v>
      </c>
      <c r="I194" t="s">
        <v>333</v>
      </c>
      <c r="J194" t="s">
        <v>334</v>
      </c>
      <c r="K194" t="s">
        <v>335</v>
      </c>
      <c r="L194">
        <v>1368</v>
      </c>
      <c r="N194">
        <v>1011</v>
      </c>
      <c r="O194" t="s">
        <v>321</v>
      </c>
      <c r="P194" t="s">
        <v>321</v>
      </c>
      <c r="Q194">
        <v>1</v>
      </c>
      <c r="X194">
        <v>1.86</v>
      </c>
      <c r="Y194">
        <v>0</v>
      </c>
      <c r="Z194">
        <v>1.2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40</v>
      </c>
      <c r="AG194">
        <v>1.302</v>
      </c>
      <c r="AH194">
        <v>2</v>
      </c>
      <c r="AI194">
        <v>16856510</v>
      </c>
      <c r="AJ194">
        <v>192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ROW(Source!A78)</f>
        <v>78</v>
      </c>
      <c r="B195">
        <v>16856529</v>
      </c>
      <c r="C195">
        <v>16856504</v>
      </c>
      <c r="D195">
        <v>15249355</v>
      </c>
      <c r="E195">
        <v>1</v>
      </c>
      <c r="F195">
        <v>1</v>
      </c>
      <c r="G195">
        <v>1</v>
      </c>
      <c r="H195">
        <v>2</v>
      </c>
      <c r="I195" t="s">
        <v>336</v>
      </c>
      <c r="J195" t="s">
        <v>337</v>
      </c>
      <c r="K195" t="s">
        <v>338</v>
      </c>
      <c r="L195">
        <v>1368</v>
      </c>
      <c r="N195">
        <v>1011</v>
      </c>
      <c r="O195" t="s">
        <v>321</v>
      </c>
      <c r="P195" t="s">
        <v>321</v>
      </c>
      <c r="Q195">
        <v>1</v>
      </c>
      <c r="X195">
        <v>2.0299999999999998</v>
      </c>
      <c r="Y195">
        <v>0</v>
      </c>
      <c r="Z195">
        <v>12.31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40</v>
      </c>
      <c r="AG195">
        <v>1.4209999999999998</v>
      </c>
      <c r="AH195">
        <v>2</v>
      </c>
      <c r="AI195">
        <v>16856511</v>
      </c>
      <c r="AJ195">
        <v>193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ROW(Source!A78)</f>
        <v>78</v>
      </c>
      <c r="B196">
        <v>16856530</v>
      </c>
      <c r="C196">
        <v>16856504</v>
      </c>
      <c r="D196">
        <v>15165653</v>
      </c>
      <c r="E196">
        <v>1</v>
      </c>
      <c r="F196">
        <v>1</v>
      </c>
      <c r="G196">
        <v>1</v>
      </c>
      <c r="H196">
        <v>3</v>
      </c>
      <c r="I196" t="s">
        <v>339</v>
      </c>
      <c r="J196" t="s">
        <v>340</v>
      </c>
      <c r="K196" t="s">
        <v>341</v>
      </c>
      <c r="L196">
        <v>1339</v>
      </c>
      <c r="N196">
        <v>1007</v>
      </c>
      <c r="O196" t="s">
        <v>107</v>
      </c>
      <c r="P196" t="s">
        <v>107</v>
      </c>
      <c r="Q196">
        <v>1</v>
      </c>
      <c r="X196">
        <v>1.5</v>
      </c>
      <c r="Y196">
        <v>6.22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19</v>
      </c>
      <c r="AG196">
        <v>0</v>
      </c>
      <c r="AH196">
        <v>2</v>
      </c>
      <c r="AI196">
        <v>16856512</v>
      </c>
      <c r="AJ196">
        <v>194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ROW(Source!A78)</f>
        <v>78</v>
      </c>
      <c r="B197">
        <v>16856531</v>
      </c>
      <c r="C197">
        <v>16856504</v>
      </c>
      <c r="D197">
        <v>15165660</v>
      </c>
      <c r="E197">
        <v>1</v>
      </c>
      <c r="F197">
        <v>1</v>
      </c>
      <c r="G197">
        <v>1</v>
      </c>
      <c r="H197">
        <v>3</v>
      </c>
      <c r="I197" t="s">
        <v>342</v>
      </c>
      <c r="J197" t="s">
        <v>343</v>
      </c>
      <c r="K197" t="s">
        <v>344</v>
      </c>
      <c r="L197">
        <v>1346</v>
      </c>
      <c r="N197">
        <v>1009</v>
      </c>
      <c r="O197" t="s">
        <v>129</v>
      </c>
      <c r="P197" t="s">
        <v>129</v>
      </c>
      <c r="Q197">
        <v>1</v>
      </c>
      <c r="X197">
        <v>0.45</v>
      </c>
      <c r="Y197">
        <v>6.09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19</v>
      </c>
      <c r="AG197">
        <v>0</v>
      </c>
      <c r="AH197">
        <v>2</v>
      </c>
      <c r="AI197">
        <v>16856513</v>
      </c>
      <c r="AJ197">
        <v>195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ROW(Source!A78)</f>
        <v>78</v>
      </c>
      <c r="B198">
        <v>16856532</v>
      </c>
      <c r="C198">
        <v>16856504</v>
      </c>
      <c r="D198">
        <v>15168753</v>
      </c>
      <c r="E198">
        <v>1</v>
      </c>
      <c r="F198">
        <v>1</v>
      </c>
      <c r="G198">
        <v>1</v>
      </c>
      <c r="H198">
        <v>3</v>
      </c>
      <c r="I198" t="s">
        <v>345</v>
      </c>
      <c r="J198" t="s">
        <v>346</v>
      </c>
      <c r="K198" t="s">
        <v>347</v>
      </c>
      <c r="L198">
        <v>1348</v>
      </c>
      <c r="N198">
        <v>1009</v>
      </c>
      <c r="O198" t="s">
        <v>37</v>
      </c>
      <c r="P198" t="s">
        <v>37</v>
      </c>
      <c r="Q198">
        <v>1000</v>
      </c>
      <c r="X198">
        <v>1.4E-3</v>
      </c>
      <c r="Y198">
        <v>10749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19</v>
      </c>
      <c r="AG198">
        <v>0</v>
      </c>
      <c r="AH198">
        <v>2</v>
      </c>
      <c r="AI198">
        <v>16856514</v>
      </c>
      <c r="AJ198">
        <v>196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ROW(Source!A78)</f>
        <v>78</v>
      </c>
      <c r="B199">
        <v>16856533</v>
      </c>
      <c r="C199">
        <v>16856504</v>
      </c>
      <c r="D199">
        <v>15169941</v>
      </c>
      <c r="E199">
        <v>1</v>
      </c>
      <c r="F199">
        <v>1</v>
      </c>
      <c r="G199">
        <v>1</v>
      </c>
      <c r="H199">
        <v>3</v>
      </c>
      <c r="I199" t="s">
        <v>348</v>
      </c>
      <c r="J199" t="s">
        <v>349</v>
      </c>
      <c r="K199" t="s">
        <v>350</v>
      </c>
      <c r="L199">
        <v>1348</v>
      </c>
      <c r="N199">
        <v>1009</v>
      </c>
      <c r="O199" t="s">
        <v>37</v>
      </c>
      <c r="P199" t="s">
        <v>37</v>
      </c>
      <c r="Q199">
        <v>1000</v>
      </c>
      <c r="X199">
        <v>3.3E-3</v>
      </c>
      <c r="Y199">
        <v>9040.01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19</v>
      </c>
      <c r="AG199">
        <v>0</v>
      </c>
      <c r="AH199">
        <v>2</v>
      </c>
      <c r="AI199">
        <v>16856515</v>
      </c>
      <c r="AJ199">
        <v>197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ROW(Source!A78)</f>
        <v>78</v>
      </c>
      <c r="B200">
        <v>16856534</v>
      </c>
      <c r="C200">
        <v>16856504</v>
      </c>
      <c r="D200">
        <v>15170039</v>
      </c>
      <c r="E200">
        <v>1</v>
      </c>
      <c r="F200">
        <v>1</v>
      </c>
      <c r="G200">
        <v>1</v>
      </c>
      <c r="H200">
        <v>3</v>
      </c>
      <c r="I200" t="s">
        <v>351</v>
      </c>
      <c r="J200" t="s">
        <v>352</v>
      </c>
      <c r="K200" t="s">
        <v>353</v>
      </c>
      <c r="L200">
        <v>1348</v>
      </c>
      <c r="N200">
        <v>1009</v>
      </c>
      <c r="O200" t="s">
        <v>37</v>
      </c>
      <c r="P200" t="s">
        <v>37</v>
      </c>
      <c r="Q200">
        <v>1000</v>
      </c>
      <c r="X200">
        <v>1.0000000000000001E-5</v>
      </c>
      <c r="Y200">
        <v>11978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19</v>
      </c>
      <c r="AG200">
        <v>0</v>
      </c>
      <c r="AH200">
        <v>2</v>
      </c>
      <c r="AI200">
        <v>16856516</v>
      </c>
      <c r="AJ200">
        <v>198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ROW(Source!A78)</f>
        <v>78</v>
      </c>
      <c r="B201">
        <v>16856535</v>
      </c>
      <c r="C201">
        <v>16856504</v>
      </c>
      <c r="D201">
        <v>15171021</v>
      </c>
      <c r="E201">
        <v>1</v>
      </c>
      <c r="F201">
        <v>1</v>
      </c>
      <c r="G201">
        <v>1</v>
      </c>
      <c r="H201">
        <v>3</v>
      </c>
      <c r="I201" t="s">
        <v>354</v>
      </c>
      <c r="J201" t="s">
        <v>355</v>
      </c>
      <c r="K201" t="s">
        <v>356</v>
      </c>
      <c r="L201">
        <v>1348</v>
      </c>
      <c r="N201">
        <v>1009</v>
      </c>
      <c r="O201" t="s">
        <v>37</v>
      </c>
      <c r="P201" t="s">
        <v>37</v>
      </c>
      <c r="Q201">
        <v>1000</v>
      </c>
      <c r="X201">
        <v>1E-4</v>
      </c>
      <c r="Y201">
        <v>37900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19</v>
      </c>
      <c r="AG201">
        <v>0</v>
      </c>
      <c r="AH201">
        <v>2</v>
      </c>
      <c r="AI201">
        <v>16856517</v>
      </c>
      <c r="AJ201">
        <v>199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ROW(Source!A78)</f>
        <v>78</v>
      </c>
      <c r="B202">
        <v>16856536</v>
      </c>
      <c r="C202">
        <v>16856504</v>
      </c>
      <c r="D202">
        <v>15161825</v>
      </c>
      <c r="E202">
        <v>17</v>
      </c>
      <c r="F202">
        <v>1</v>
      </c>
      <c r="G202">
        <v>1</v>
      </c>
      <c r="H202">
        <v>3</v>
      </c>
      <c r="I202" t="s">
        <v>161</v>
      </c>
      <c r="J202" t="s">
        <v>6</v>
      </c>
      <c r="K202" t="s">
        <v>162</v>
      </c>
      <c r="L202">
        <v>1348</v>
      </c>
      <c r="N202">
        <v>1009</v>
      </c>
      <c r="O202" t="s">
        <v>37</v>
      </c>
      <c r="P202" t="s">
        <v>37</v>
      </c>
      <c r="Q202">
        <v>1000</v>
      </c>
      <c r="X202">
        <v>1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 t="s">
        <v>19</v>
      </c>
      <c r="AG202">
        <v>0</v>
      </c>
      <c r="AH202">
        <v>3</v>
      </c>
      <c r="AI202">
        <v>-1</v>
      </c>
      <c r="AJ202" t="s">
        <v>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ROW(Source!A78)</f>
        <v>78</v>
      </c>
      <c r="B203">
        <v>16856537</v>
      </c>
      <c r="C203">
        <v>16856504</v>
      </c>
      <c r="D203">
        <v>15190794</v>
      </c>
      <c r="E203">
        <v>1</v>
      </c>
      <c r="F203">
        <v>1</v>
      </c>
      <c r="G203">
        <v>1</v>
      </c>
      <c r="H203">
        <v>3</v>
      </c>
      <c r="I203" t="s">
        <v>357</v>
      </c>
      <c r="J203" t="s">
        <v>358</v>
      </c>
      <c r="K203" t="s">
        <v>359</v>
      </c>
      <c r="L203">
        <v>1302</v>
      </c>
      <c r="N203">
        <v>1003</v>
      </c>
      <c r="O203" t="s">
        <v>152</v>
      </c>
      <c r="P203" t="s">
        <v>152</v>
      </c>
      <c r="Q203">
        <v>10</v>
      </c>
      <c r="X203">
        <v>1.8700000000000001E-2</v>
      </c>
      <c r="Y203">
        <v>50.24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19</v>
      </c>
      <c r="AG203">
        <v>0</v>
      </c>
      <c r="AH203">
        <v>2</v>
      </c>
      <c r="AI203">
        <v>16856518</v>
      </c>
      <c r="AJ203">
        <v>200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ROW(Source!A78)</f>
        <v>78</v>
      </c>
      <c r="B204">
        <v>16856538</v>
      </c>
      <c r="C204">
        <v>16856504</v>
      </c>
      <c r="D204">
        <v>15191153</v>
      </c>
      <c r="E204">
        <v>1</v>
      </c>
      <c r="F204">
        <v>1</v>
      </c>
      <c r="G204">
        <v>1</v>
      </c>
      <c r="H204">
        <v>3</v>
      </c>
      <c r="I204" t="s">
        <v>360</v>
      </c>
      <c r="J204" t="s">
        <v>361</v>
      </c>
      <c r="K204" t="s">
        <v>362</v>
      </c>
      <c r="L204">
        <v>1348</v>
      </c>
      <c r="N204">
        <v>1009</v>
      </c>
      <c r="O204" t="s">
        <v>37</v>
      </c>
      <c r="P204" t="s">
        <v>37</v>
      </c>
      <c r="Q204">
        <v>1000</v>
      </c>
      <c r="X204">
        <v>3.0000000000000001E-5</v>
      </c>
      <c r="Y204">
        <v>4455.2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19</v>
      </c>
      <c r="AG204">
        <v>0</v>
      </c>
      <c r="AH204">
        <v>2</v>
      </c>
      <c r="AI204">
        <v>16856519</v>
      </c>
      <c r="AJ204">
        <v>201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ROW(Source!A78)</f>
        <v>78</v>
      </c>
      <c r="B205">
        <v>16856539</v>
      </c>
      <c r="C205">
        <v>16856504</v>
      </c>
      <c r="D205">
        <v>15191913</v>
      </c>
      <c r="E205">
        <v>1</v>
      </c>
      <c r="F205">
        <v>1</v>
      </c>
      <c r="G205">
        <v>1</v>
      </c>
      <c r="H205">
        <v>3</v>
      </c>
      <c r="I205" t="s">
        <v>363</v>
      </c>
      <c r="J205" t="s">
        <v>364</v>
      </c>
      <c r="K205" t="s">
        <v>365</v>
      </c>
      <c r="L205">
        <v>1348</v>
      </c>
      <c r="N205">
        <v>1009</v>
      </c>
      <c r="O205" t="s">
        <v>37</v>
      </c>
      <c r="P205" t="s">
        <v>37</v>
      </c>
      <c r="Q205">
        <v>1000</v>
      </c>
      <c r="X205">
        <v>1.9400000000000001E-3</v>
      </c>
      <c r="Y205">
        <v>4920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19</v>
      </c>
      <c r="AG205">
        <v>0</v>
      </c>
      <c r="AH205">
        <v>2</v>
      </c>
      <c r="AI205">
        <v>16856520</v>
      </c>
      <c r="AJ205">
        <v>202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ROW(Source!A78)</f>
        <v>78</v>
      </c>
      <c r="B206">
        <v>16856540</v>
      </c>
      <c r="C206">
        <v>16856504</v>
      </c>
      <c r="D206">
        <v>15203461</v>
      </c>
      <c r="E206">
        <v>1</v>
      </c>
      <c r="F206">
        <v>1</v>
      </c>
      <c r="G206">
        <v>1</v>
      </c>
      <c r="H206">
        <v>3</v>
      </c>
      <c r="I206" t="s">
        <v>366</v>
      </c>
      <c r="J206" t="s">
        <v>367</v>
      </c>
      <c r="K206" t="s">
        <v>368</v>
      </c>
      <c r="L206">
        <v>1348</v>
      </c>
      <c r="N206">
        <v>1009</v>
      </c>
      <c r="O206" t="s">
        <v>37</v>
      </c>
      <c r="P206" t="s">
        <v>37</v>
      </c>
      <c r="Q206">
        <v>1000</v>
      </c>
      <c r="X206">
        <v>3.1E-4</v>
      </c>
      <c r="Y206">
        <v>15620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19</v>
      </c>
      <c r="AG206">
        <v>0</v>
      </c>
      <c r="AH206">
        <v>2</v>
      </c>
      <c r="AI206">
        <v>16856521</v>
      </c>
      <c r="AJ206">
        <v>203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ROW(Source!A78)</f>
        <v>78</v>
      </c>
      <c r="B207">
        <v>16856541</v>
      </c>
      <c r="C207">
        <v>16856504</v>
      </c>
      <c r="D207">
        <v>15204663</v>
      </c>
      <c r="E207">
        <v>1</v>
      </c>
      <c r="F207">
        <v>1</v>
      </c>
      <c r="G207">
        <v>1</v>
      </c>
      <c r="H207">
        <v>3</v>
      </c>
      <c r="I207" t="s">
        <v>369</v>
      </c>
      <c r="J207" t="s">
        <v>370</v>
      </c>
      <c r="K207" t="s">
        <v>371</v>
      </c>
      <c r="L207">
        <v>1348</v>
      </c>
      <c r="N207">
        <v>1009</v>
      </c>
      <c r="O207" t="s">
        <v>37</v>
      </c>
      <c r="P207" t="s">
        <v>37</v>
      </c>
      <c r="Q207">
        <v>1000</v>
      </c>
      <c r="X207">
        <v>5.9999999999999995E-4</v>
      </c>
      <c r="Y207">
        <v>9420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19</v>
      </c>
      <c r="AG207">
        <v>0</v>
      </c>
      <c r="AH207">
        <v>2</v>
      </c>
      <c r="AI207">
        <v>16856522</v>
      </c>
      <c r="AJ207">
        <v>204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ROW(Source!A79)</f>
        <v>79</v>
      </c>
      <c r="B208">
        <v>16856523</v>
      </c>
      <c r="C208">
        <v>16856504</v>
      </c>
      <c r="D208">
        <v>15430767</v>
      </c>
      <c r="E208">
        <v>1</v>
      </c>
      <c r="F208">
        <v>1</v>
      </c>
      <c r="G208">
        <v>1</v>
      </c>
      <c r="H208">
        <v>1</v>
      </c>
      <c r="I208" t="s">
        <v>399</v>
      </c>
      <c r="J208" t="s">
        <v>6</v>
      </c>
      <c r="K208" t="s">
        <v>400</v>
      </c>
      <c r="L208">
        <v>1191</v>
      </c>
      <c r="N208">
        <v>1013</v>
      </c>
      <c r="O208" t="s">
        <v>313</v>
      </c>
      <c r="P208" t="s">
        <v>313</v>
      </c>
      <c r="Q208">
        <v>1</v>
      </c>
      <c r="X208">
        <v>50.79</v>
      </c>
      <c r="Y208">
        <v>0</v>
      </c>
      <c r="Z208">
        <v>0</v>
      </c>
      <c r="AA208">
        <v>0</v>
      </c>
      <c r="AB208">
        <v>8.5299999999999994</v>
      </c>
      <c r="AC208">
        <v>0</v>
      </c>
      <c r="AD208">
        <v>1</v>
      </c>
      <c r="AE208">
        <v>1</v>
      </c>
      <c r="AF208" t="s">
        <v>40</v>
      </c>
      <c r="AG208">
        <v>35.552999999999997</v>
      </c>
      <c r="AH208">
        <v>2</v>
      </c>
      <c r="AI208">
        <v>16856505</v>
      </c>
      <c r="AJ208">
        <v>205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ROW(Source!A79)</f>
        <v>79</v>
      </c>
      <c r="B209">
        <v>16856524</v>
      </c>
      <c r="C209">
        <v>16856504</v>
      </c>
      <c r="D209">
        <v>15430395</v>
      </c>
      <c r="E209">
        <v>1</v>
      </c>
      <c r="F209">
        <v>1</v>
      </c>
      <c r="G209">
        <v>1</v>
      </c>
      <c r="H209">
        <v>1</v>
      </c>
      <c r="I209" t="s">
        <v>316</v>
      </c>
      <c r="J209" t="s">
        <v>6</v>
      </c>
      <c r="K209" t="s">
        <v>317</v>
      </c>
      <c r="L209">
        <v>1191</v>
      </c>
      <c r="N209">
        <v>1013</v>
      </c>
      <c r="O209" t="s">
        <v>313</v>
      </c>
      <c r="P209" t="s">
        <v>313</v>
      </c>
      <c r="Q209">
        <v>1</v>
      </c>
      <c r="X209">
        <v>0.31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40</v>
      </c>
      <c r="AG209">
        <v>0.217</v>
      </c>
      <c r="AH209">
        <v>2</v>
      </c>
      <c r="AI209">
        <v>16856506</v>
      </c>
      <c r="AJ209">
        <v>206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ROW(Source!A79)</f>
        <v>79</v>
      </c>
      <c r="B210">
        <v>16856525</v>
      </c>
      <c r="C210">
        <v>16856504</v>
      </c>
      <c r="D210">
        <v>15247680</v>
      </c>
      <c r="E210">
        <v>1</v>
      </c>
      <c r="F210">
        <v>1</v>
      </c>
      <c r="G210">
        <v>1</v>
      </c>
      <c r="H210">
        <v>2</v>
      </c>
      <c r="I210" t="s">
        <v>324</v>
      </c>
      <c r="J210" t="s">
        <v>325</v>
      </c>
      <c r="K210" t="s">
        <v>326</v>
      </c>
      <c r="L210">
        <v>1368</v>
      </c>
      <c r="N210">
        <v>1011</v>
      </c>
      <c r="O210" t="s">
        <v>321</v>
      </c>
      <c r="P210" t="s">
        <v>321</v>
      </c>
      <c r="Q210">
        <v>1</v>
      </c>
      <c r="X210">
        <v>0.12</v>
      </c>
      <c r="Y210">
        <v>0</v>
      </c>
      <c r="Z210">
        <v>111.99</v>
      </c>
      <c r="AA210">
        <v>13.5</v>
      </c>
      <c r="AB210">
        <v>0</v>
      </c>
      <c r="AC210">
        <v>0</v>
      </c>
      <c r="AD210">
        <v>1</v>
      </c>
      <c r="AE210">
        <v>0</v>
      </c>
      <c r="AF210" t="s">
        <v>40</v>
      </c>
      <c r="AG210">
        <v>8.3999999999999991E-2</v>
      </c>
      <c r="AH210">
        <v>2</v>
      </c>
      <c r="AI210">
        <v>16856507</v>
      </c>
      <c r="AJ210">
        <v>207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ROW(Source!A79)</f>
        <v>79</v>
      </c>
      <c r="B211">
        <v>16856526</v>
      </c>
      <c r="C211">
        <v>16856504</v>
      </c>
      <c r="D211">
        <v>15247880</v>
      </c>
      <c r="E211">
        <v>1</v>
      </c>
      <c r="F211">
        <v>1</v>
      </c>
      <c r="G211">
        <v>1</v>
      </c>
      <c r="H211">
        <v>2</v>
      </c>
      <c r="I211" t="s">
        <v>424</v>
      </c>
      <c r="J211" t="s">
        <v>425</v>
      </c>
      <c r="K211" t="s">
        <v>426</v>
      </c>
      <c r="L211">
        <v>1368</v>
      </c>
      <c r="N211">
        <v>1011</v>
      </c>
      <c r="O211" t="s">
        <v>321</v>
      </c>
      <c r="P211" t="s">
        <v>321</v>
      </c>
      <c r="Q211">
        <v>1</v>
      </c>
      <c r="X211">
        <v>10.53</v>
      </c>
      <c r="Y211">
        <v>0</v>
      </c>
      <c r="Z211">
        <v>6.9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40</v>
      </c>
      <c r="AG211">
        <v>7.3709999999999987</v>
      </c>
      <c r="AH211">
        <v>2</v>
      </c>
      <c r="AI211">
        <v>16856508</v>
      </c>
      <c r="AJ211">
        <v>208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ROW(Source!A79)</f>
        <v>79</v>
      </c>
      <c r="B212">
        <v>16856527</v>
      </c>
      <c r="C212">
        <v>16856504</v>
      </c>
      <c r="D212">
        <v>15249073</v>
      </c>
      <c r="E212">
        <v>1</v>
      </c>
      <c r="F212">
        <v>1</v>
      </c>
      <c r="G212">
        <v>1</v>
      </c>
      <c r="H212">
        <v>2</v>
      </c>
      <c r="I212" t="s">
        <v>330</v>
      </c>
      <c r="J212" t="s">
        <v>331</v>
      </c>
      <c r="K212" t="s">
        <v>332</v>
      </c>
      <c r="L212">
        <v>1368</v>
      </c>
      <c r="N212">
        <v>1011</v>
      </c>
      <c r="O212" t="s">
        <v>321</v>
      </c>
      <c r="P212" t="s">
        <v>321</v>
      </c>
      <c r="Q212">
        <v>1</v>
      </c>
      <c r="X212">
        <v>0.19</v>
      </c>
      <c r="Y212">
        <v>0</v>
      </c>
      <c r="Z212">
        <v>65.709999999999994</v>
      </c>
      <c r="AA212">
        <v>11.6</v>
      </c>
      <c r="AB212">
        <v>0</v>
      </c>
      <c r="AC212">
        <v>0</v>
      </c>
      <c r="AD212">
        <v>1</v>
      </c>
      <c r="AE212">
        <v>0</v>
      </c>
      <c r="AF212" t="s">
        <v>40</v>
      </c>
      <c r="AG212">
        <v>0.13299999999999998</v>
      </c>
      <c r="AH212">
        <v>2</v>
      </c>
      <c r="AI212">
        <v>16856509</v>
      </c>
      <c r="AJ212">
        <v>209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ROW(Source!A79)</f>
        <v>79</v>
      </c>
      <c r="B213">
        <v>16856528</v>
      </c>
      <c r="C213">
        <v>16856504</v>
      </c>
      <c r="D213">
        <v>15249308</v>
      </c>
      <c r="E213">
        <v>1</v>
      </c>
      <c r="F213">
        <v>1</v>
      </c>
      <c r="G213">
        <v>1</v>
      </c>
      <c r="H213">
        <v>2</v>
      </c>
      <c r="I213" t="s">
        <v>333</v>
      </c>
      <c r="J213" t="s">
        <v>334</v>
      </c>
      <c r="K213" t="s">
        <v>335</v>
      </c>
      <c r="L213">
        <v>1368</v>
      </c>
      <c r="N213">
        <v>1011</v>
      </c>
      <c r="O213" t="s">
        <v>321</v>
      </c>
      <c r="P213" t="s">
        <v>321</v>
      </c>
      <c r="Q213">
        <v>1</v>
      </c>
      <c r="X213">
        <v>1.86</v>
      </c>
      <c r="Y213">
        <v>0</v>
      </c>
      <c r="Z213">
        <v>1.2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40</v>
      </c>
      <c r="AG213">
        <v>1.302</v>
      </c>
      <c r="AH213">
        <v>2</v>
      </c>
      <c r="AI213">
        <v>16856510</v>
      </c>
      <c r="AJ213">
        <v>210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ROW(Source!A79)</f>
        <v>79</v>
      </c>
      <c r="B214">
        <v>16856529</v>
      </c>
      <c r="C214">
        <v>16856504</v>
      </c>
      <c r="D214">
        <v>15249355</v>
      </c>
      <c r="E214">
        <v>1</v>
      </c>
      <c r="F214">
        <v>1</v>
      </c>
      <c r="G214">
        <v>1</v>
      </c>
      <c r="H214">
        <v>2</v>
      </c>
      <c r="I214" t="s">
        <v>336</v>
      </c>
      <c r="J214" t="s">
        <v>337</v>
      </c>
      <c r="K214" t="s">
        <v>338</v>
      </c>
      <c r="L214">
        <v>1368</v>
      </c>
      <c r="N214">
        <v>1011</v>
      </c>
      <c r="O214" t="s">
        <v>321</v>
      </c>
      <c r="P214" t="s">
        <v>321</v>
      </c>
      <c r="Q214">
        <v>1</v>
      </c>
      <c r="X214">
        <v>2.0299999999999998</v>
      </c>
      <c r="Y214">
        <v>0</v>
      </c>
      <c r="Z214">
        <v>12.31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40</v>
      </c>
      <c r="AG214">
        <v>1.4209999999999998</v>
      </c>
      <c r="AH214">
        <v>2</v>
      </c>
      <c r="AI214">
        <v>16856511</v>
      </c>
      <c r="AJ214">
        <v>211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ROW(Source!A79)</f>
        <v>79</v>
      </c>
      <c r="B215">
        <v>16856530</v>
      </c>
      <c r="C215">
        <v>16856504</v>
      </c>
      <c r="D215">
        <v>15165653</v>
      </c>
      <c r="E215">
        <v>1</v>
      </c>
      <c r="F215">
        <v>1</v>
      </c>
      <c r="G215">
        <v>1</v>
      </c>
      <c r="H215">
        <v>3</v>
      </c>
      <c r="I215" t="s">
        <v>339</v>
      </c>
      <c r="J215" t="s">
        <v>340</v>
      </c>
      <c r="K215" t="s">
        <v>341</v>
      </c>
      <c r="L215">
        <v>1339</v>
      </c>
      <c r="N215">
        <v>1007</v>
      </c>
      <c r="O215" t="s">
        <v>107</v>
      </c>
      <c r="P215" t="s">
        <v>107</v>
      </c>
      <c r="Q215">
        <v>1</v>
      </c>
      <c r="X215">
        <v>1.5</v>
      </c>
      <c r="Y215">
        <v>6.22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19</v>
      </c>
      <c r="AG215">
        <v>0</v>
      </c>
      <c r="AH215">
        <v>2</v>
      </c>
      <c r="AI215">
        <v>16856512</v>
      </c>
      <c r="AJ215">
        <v>212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ROW(Source!A79)</f>
        <v>79</v>
      </c>
      <c r="B216">
        <v>16856531</v>
      </c>
      <c r="C216">
        <v>16856504</v>
      </c>
      <c r="D216">
        <v>15165660</v>
      </c>
      <c r="E216">
        <v>1</v>
      </c>
      <c r="F216">
        <v>1</v>
      </c>
      <c r="G216">
        <v>1</v>
      </c>
      <c r="H216">
        <v>3</v>
      </c>
      <c r="I216" t="s">
        <v>342</v>
      </c>
      <c r="J216" t="s">
        <v>343</v>
      </c>
      <c r="K216" t="s">
        <v>344</v>
      </c>
      <c r="L216">
        <v>1346</v>
      </c>
      <c r="N216">
        <v>1009</v>
      </c>
      <c r="O216" t="s">
        <v>129</v>
      </c>
      <c r="P216" t="s">
        <v>129</v>
      </c>
      <c r="Q216">
        <v>1</v>
      </c>
      <c r="X216">
        <v>0.45</v>
      </c>
      <c r="Y216">
        <v>6.09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19</v>
      </c>
      <c r="AG216">
        <v>0</v>
      </c>
      <c r="AH216">
        <v>2</v>
      </c>
      <c r="AI216">
        <v>16856513</v>
      </c>
      <c r="AJ216">
        <v>213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ROW(Source!A79)</f>
        <v>79</v>
      </c>
      <c r="B217">
        <v>16856532</v>
      </c>
      <c r="C217">
        <v>16856504</v>
      </c>
      <c r="D217">
        <v>15168753</v>
      </c>
      <c r="E217">
        <v>1</v>
      </c>
      <c r="F217">
        <v>1</v>
      </c>
      <c r="G217">
        <v>1</v>
      </c>
      <c r="H217">
        <v>3</v>
      </c>
      <c r="I217" t="s">
        <v>345</v>
      </c>
      <c r="J217" t="s">
        <v>346</v>
      </c>
      <c r="K217" t="s">
        <v>347</v>
      </c>
      <c r="L217">
        <v>1348</v>
      </c>
      <c r="N217">
        <v>1009</v>
      </c>
      <c r="O217" t="s">
        <v>37</v>
      </c>
      <c r="P217" t="s">
        <v>37</v>
      </c>
      <c r="Q217">
        <v>1000</v>
      </c>
      <c r="X217">
        <v>1.4E-3</v>
      </c>
      <c r="Y217">
        <v>10749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19</v>
      </c>
      <c r="AG217">
        <v>0</v>
      </c>
      <c r="AH217">
        <v>2</v>
      </c>
      <c r="AI217">
        <v>16856514</v>
      </c>
      <c r="AJ217">
        <v>214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ROW(Source!A79)</f>
        <v>79</v>
      </c>
      <c r="B218">
        <v>16856533</v>
      </c>
      <c r="C218">
        <v>16856504</v>
      </c>
      <c r="D218">
        <v>15169941</v>
      </c>
      <c r="E218">
        <v>1</v>
      </c>
      <c r="F218">
        <v>1</v>
      </c>
      <c r="G218">
        <v>1</v>
      </c>
      <c r="H218">
        <v>3</v>
      </c>
      <c r="I218" t="s">
        <v>348</v>
      </c>
      <c r="J218" t="s">
        <v>349</v>
      </c>
      <c r="K218" t="s">
        <v>350</v>
      </c>
      <c r="L218">
        <v>1348</v>
      </c>
      <c r="N218">
        <v>1009</v>
      </c>
      <c r="O218" t="s">
        <v>37</v>
      </c>
      <c r="P218" t="s">
        <v>37</v>
      </c>
      <c r="Q218">
        <v>1000</v>
      </c>
      <c r="X218">
        <v>3.3E-3</v>
      </c>
      <c r="Y218">
        <v>9040.01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19</v>
      </c>
      <c r="AG218">
        <v>0</v>
      </c>
      <c r="AH218">
        <v>2</v>
      </c>
      <c r="AI218">
        <v>16856515</v>
      </c>
      <c r="AJ218">
        <v>215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ROW(Source!A79)</f>
        <v>79</v>
      </c>
      <c r="B219">
        <v>16856534</v>
      </c>
      <c r="C219">
        <v>16856504</v>
      </c>
      <c r="D219">
        <v>15170039</v>
      </c>
      <c r="E219">
        <v>1</v>
      </c>
      <c r="F219">
        <v>1</v>
      </c>
      <c r="G219">
        <v>1</v>
      </c>
      <c r="H219">
        <v>3</v>
      </c>
      <c r="I219" t="s">
        <v>351</v>
      </c>
      <c r="J219" t="s">
        <v>352</v>
      </c>
      <c r="K219" t="s">
        <v>353</v>
      </c>
      <c r="L219">
        <v>1348</v>
      </c>
      <c r="N219">
        <v>1009</v>
      </c>
      <c r="O219" t="s">
        <v>37</v>
      </c>
      <c r="P219" t="s">
        <v>37</v>
      </c>
      <c r="Q219">
        <v>1000</v>
      </c>
      <c r="X219">
        <v>1.0000000000000001E-5</v>
      </c>
      <c r="Y219">
        <v>11978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19</v>
      </c>
      <c r="AG219">
        <v>0</v>
      </c>
      <c r="AH219">
        <v>2</v>
      </c>
      <c r="AI219">
        <v>16856516</v>
      </c>
      <c r="AJ219">
        <v>216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ROW(Source!A79)</f>
        <v>79</v>
      </c>
      <c r="B220">
        <v>16856535</v>
      </c>
      <c r="C220">
        <v>16856504</v>
      </c>
      <c r="D220">
        <v>15171021</v>
      </c>
      <c r="E220">
        <v>1</v>
      </c>
      <c r="F220">
        <v>1</v>
      </c>
      <c r="G220">
        <v>1</v>
      </c>
      <c r="H220">
        <v>3</v>
      </c>
      <c r="I220" t="s">
        <v>354</v>
      </c>
      <c r="J220" t="s">
        <v>355</v>
      </c>
      <c r="K220" t="s">
        <v>356</v>
      </c>
      <c r="L220">
        <v>1348</v>
      </c>
      <c r="N220">
        <v>1009</v>
      </c>
      <c r="O220" t="s">
        <v>37</v>
      </c>
      <c r="P220" t="s">
        <v>37</v>
      </c>
      <c r="Q220">
        <v>1000</v>
      </c>
      <c r="X220">
        <v>1E-4</v>
      </c>
      <c r="Y220">
        <v>37900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19</v>
      </c>
      <c r="AG220">
        <v>0</v>
      </c>
      <c r="AH220">
        <v>2</v>
      </c>
      <c r="AI220">
        <v>16856517</v>
      </c>
      <c r="AJ220">
        <v>217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ROW(Source!A79)</f>
        <v>79</v>
      </c>
      <c r="B221">
        <v>16856536</v>
      </c>
      <c r="C221">
        <v>16856504</v>
      </c>
      <c r="D221">
        <v>15161825</v>
      </c>
      <c r="E221">
        <v>17</v>
      </c>
      <c r="F221">
        <v>1</v>
      </c>
      <c r="G221">
        <v>1</v>
      </c>
      <c r="H221">
        <v>3</v>
      </c>
      <c r="I221" t="s">
        <v>161</v>
      </c>
      <c r="J221" t="s">
        <v>6</v>
      </c>
      <c r="K221" t="s">
        <v>162</v>
      </c>
      <c r="L221">
        <v>1348</v>
      </c>
      <c r="N221">
        <v>1009</v>
      </c>
      <c r="O221" t="s">
        <v>37</v>
      </c>
      <c r="P221" t="s">
        <v>37</v>
      </c>
      <c r="Q221">
        <v>1000</v>
      </c>
      <c r="X221">
        <v>1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 t="s">
        <v>19</v>
      </c>
      <c r="AG221">
        <v>0</v>
      </c>
      <c r="AH221">
        <v>3</v>
      </c>
      <c r="AI221">
        <v>-1</v>
      </c>
      <c r="AJ221" t="s">
        <v>6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ROW(Source!A79)</f>
        <v>79</v>
      </c>
      <c r="B222">
        <v>16856537</v>
      </c>
      <c r="C222">
        <v>16856504</v>
      </c>
      <c r="D222">
        <v>15190794</v>
      </c>
      <c r="E222">
        <v>1</v>
      </c>
      <c r="F222">
        <v>1</v>
      </c>
      <c r="G222">
        <v>1</v>
      </c>
      <c r="H222">
        <v>3</v>
      </c>
      <c r="I222" t="s">
        <v>357</v>
      </c>
      <c r="J222" t="s">
        <v>358</v>
      </c>
      <c r="K222" t="s">
        <v>359</v>
      </c>
      <c r="L222">
        <v>1302</v>
      </c>
      <c r="N222">
        <v>1003</v>
      </c>
      <c r="O222" t="s">
        <v>152</v>
      </c>
      <c r="P222" t="s">
        <v>152</v>
      </c>
      <c r="Q222">
        <v>10</v>
      </c>
      <c r="X222">
        <v>1.8700000000000001E-2</v>
      </c>
      <c r="Y222">
        <v>50.24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19</v>
      </c>
      <c r="AG222">
        <v>0</v>
      </c>
      <c r="AH222">
        <v>2</v>
      </c>
      <c r="AI222">
        <v>16856518</v>
      </c>
      <c r="AJ222">
        <v>218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ROW(Source!A79)</f>
        <v>79</v>
      </c>
      <c r="B223">
        <v>16856538</v>
      </c>
      <c r="C223">
        <v>16856504</v>
      </c>
      <c r="D223">
        <v>15191153</v>
      </c>
      <c r="E223">
        <v>1</v>
      </c>
      <c r="F223">
        <v>1</v>
      </c>
      <c r="G223">
        <v>1</v>
      </c>
      <c r="H223">
        <v>3</v>
      </c>
      <c r="I223" t="s">
        <v>360</v>
      </c>
      <c r="J223" t="s">
        <v>361</v>
      </c>
      <c r="K223" t="s">
        <v>362</v>
      </c>
      <c r="L223">
        <v>1348</v>
      </c>
      <c r="N223">
        <v>1009</v>
      </c>
      <c r="O223" t="s">
        <v>37</v>
      </c>
      <c r="P223" t="s">
        <v>37</v>
      </c>
      <c r="Q223">
        <v>1000</v>
      </c>
      <c r="X223">
        <v>3.0000000000000001E-5</v>
      </c>
      <c r="Y223">
        <v>4455.2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19</v>
      </c>
      <c r="AG223">
        <v>0</v>
      </c>
      <c r="AH223">
        <v>2</v>
      </c>
      <c r="AI223">
        <v>16856519</v>
      </c>
      <c r="AJ223">
        <v>219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ROW(Source!A79)</f>
        <v>79</v>
      </c>
      <c r="B224">
        <v>16856539</v>
      </c>
      <c r="C224">
        <v>16856504</v>
      </c>
      <c r="D224">
        <v>15191913</v>
      </c>
      <c r="E224">
        <v>1</v>
      </c>
      <c r="F224">
        <v>1</v>
      </c>
      <c r="G224">
        <v>1</v>
      </c>
      <c r="H224">
        <v>3</v>
      </c>
      <c r="I224" t="s">
        <v>363</v>
      </c>
      <c r="J224" t="s">
        <v>364</v>
      </c>
      <c r="K224" t="s">
        <v>365</v>
      </c>
      <c r="L224">
        <v>1348</v>
      </c>
      <c r="N224">
        <v>1009</v>
      </c>
      <c r="O224" t="s">
        <v>37</v>
      </c>
      <c r="P224" t="s">
        <v>37</v>
      </c>
      <c r="Q224">
        <v>1000</v>
      </c>
      <c r="X224">
        <v>1.9400000000000001E-3</v>
      </c>
      <c r="Y224">
        <v>4920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19</v>
      </c>
      <c r="AG224">
        <v>0</v>
      </c>
      <c r="AH224">
        <v>2</v>
      </c>
      <c r="AI224">
        <v>16856520</v>
      </c>
      <c r="AJ224">
        <v>220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ROW(Source!A79)</f>
        <v>79</v>
      </c>
      <c r="B225">
        <v>16856540</v>
      </c>
      <c r="C225">
        <v>16856504</v>
      </c>
      <c r="D225">
        <v>15203461</v>
      </c>
      <c r="E225">
        <v>1</v>
      </c>
      <c r="F225">
        <v>1</v>
      </c>
      <c r="G225">
        <v>1</v>
      </c>
      <c r="H225">
        <v>3</v>
      </c>
      <c r="I225" t="s">
        <v>366</v>
      </c>
      <c r="J225" t="s">
        <v>367</v>
      </c>
      <c r="K225" t="s">
        <v>368</v>
      </c>
      <c r="L225">
        <v>1348</v>
      </c>
      <c r="N225">
        <v>1009</v>
      </c>
      <c r="O225" t="s">
        <v>37</v>
      </c>
      <c r="P225" t="s">
        <v>37</v>
      </c>
      <c r="Q225">
        <v>1000</v>
      </c>
      <c r="X225">
        <v>3.1E-4</v>
      </c>
      <c r="Y225">
        <v>15620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19</v>
      </c>
      <c r="AG225">
        <v>0</v>
      </c>
      <c r="AH225">
        <v>2</v>
      </c>
      <c r="AI225">
        <v>16856521</v>
      </c>
      <c r="AJ225">
        <v>221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ROW(Source!A79)</f>
        <v>79</v>
      </c>
      <c r="B226">
        <v>16856541</v>
      </c>
      <c r="C226">
        <v>16856504</v>
      </c>
      <c r="D226">
        <v>15204663</v>
      </c>
      <c r="E226">
        <v>1</v>
      </c>
      <c r="F226">
        <v>1</v>
      </c>
      <c r="G226">
        <v>1</v>
      </c>
      <c r="H226">
        <v>3</v>
      </c>
      <c r="I226" t="s">
        <v>369</v>
      </c>
      <c r="J226" t="s">
        <v>370</v>
      </c>
      <c r="K226" t="s">
        <v>371</v>
      </c>
      <c r="L226">
        <v>1348</v>
      </c>
      <c r="N226">
        <v>1009</v>
      </c>
      <c r="O226" t="s">
        <v>37</v>
      </c>
      <c r="P226" t="s">
        <v>37</v>
      </c>
      <c r="Q226">
        <v>1000</v>
      </c>
      <c r="X226">
        <v>5.9999999999999995E-4</v>
      </c>
      <c r="Y226">
        <v>9420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19</v>
      </c>
      <c r="AG226">
        <v>0</v>
      </c>
      <c r="AH226">
        <v>2</v>
      </c>
      <c r="AI226">
        <v>16856522</v>
      </c>
      <c r="AJ226">
        <v>222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ROW(Source!A80)</f>
        <v>80</v>
      </c>
      <c r="B227">
        <v>16856563</v>
      </c>
      <c r="C227">
        <v>16856542</v>
      </c>
      <c r="D227">
        <v>15430767</v>
      </c>
      <c r="E227">
        <v>1</v>
      </c>
      <c r="F227">
        <v>1</v>
      </c>
      <c r="G227">
        <v>1</v>
      </c>
      <c r="H227">
        <v>1</v>
      </c>
      <c r="I227" t="s">
        <v>399</v>
      </c>
      <c r="J227" t="s">
        <v>6</v>
      </c>
      <c r="K227" t="s">
        <v>400</v>
      </c>
      <c r="L227">
        <v>1191</v>
      </c>
      <c r="N227">
        <v>1013</v>
      </c>
      <c r="O227" t="s">
        <v>313</v>
      </c>
      <c r="P227" t="s">
        <v>313</v>
      </c>
      <c r="Q227">
        <v>1</v>
      </c>
      <c r="X227">
        <v>50.79</v>
      </c>
      <c r="Y227">
        <v>0</v>
      </c>
      <c r="Z227">
        <v>0</v>
      </c>
      <c r="AA227">
        <v>0</v>
      </c>
      <c r="AB227">
        <v>8.5299999999999994</v>
      </c>
      <c r="AC227">
        <v>0</v>
      </c>
      <c r="AD227">
        <v>1</v>
      </c>
      <c r="AE227">
        <v>1</v>
      </c>
      <c r="AF227" t="s">
        <v>57</v>
      </c>
      <c r="AG227">
        <v>58.408499999999997</v>
      </c>
      <c r="AH227">
        <v>2</v>
      </c>
      <c r="AI227">
        <v>16856544</v>
      </c>
      <c r="AJ227">
        <v>223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ROW(Source!A80)</f>
        <v>80</v>
      </c>
      <c r="B228">
        <v>16856564</v>
      </c>
      <c r="C228">
        <v>16856542</v>
      </c>
      <c r="D228">
        <v>15430395</v>
      </c>
      <c r="E228">
        <v>1</v>
      </c>
      <c r="F228">
        <v>1</v>
      </c>
      <c r="G228">
        <v>1</v>
      </c>
      <c r="H228">
        <v>1</v>
      </c>
      <c r="I228" t="s">
        <v>316</v>
      </c>
      <c r="J228" t="s">
        <v>6</v>
      </c>
      <c r="K228" t="s">
        <v>317</v>
      </c>
      <c r="L228">
        <v>1191</v>
      </c>
      <c r="N228">
        <v>1013</v>
      </c>
      <c r="O228" t="s">
        <v>313</v>
      </c>
      <c r="P228" t="s">
        <v>313</v>
      </c>
      <c r="Q228">
        <v>1</v>
      </c>
      <c r="X228">
        <v>0.31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2</v>
      </c>
      <c r="AF228" t="s">
        <v>56</v>
      </c>
      <c r="AG228">
        <v>0.38750000000000001</v>
      </c>
      <c r="AH228">
        <v>2</v>
      </c>
      <c r="AI228">
        <v>16856545</v>
      </c>
      <c r="AJ228">
        <v>224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ROW(Source!A80)</f>
        <v>80</v>
      </c>
      <c r="B229">
        <v>16856565</v>
      </c>
      <c r="C229">
        <v>16856542</v>
      </c>
      <c r="D229">
        <v>15247680</v>
      </c>
      <c r="E229">
        <v>1</v>
      </c>
      <c r="F229">
        <v>1</v>
      </c>
      <c r="G229">
        <v>1</v>
      </c>
      <c r="H229">
        <v>2</v>
      </c>
      <c r="I229" t="s">
        <v>324</v>
      </c>
      <c r="J229" t="s">
        <v>325</v>
      </c>
      <c r="K229" t="s">
        <v>326</v>
      </c>
      <c r="L229">
        <v>1368</v>
      </c>
      <c r="N229">
        <v>1011</v>
      </c>
      <c r="O229" t="s">
        <v>321</v>
      </c>
      <c r="P229" t="s">
        <v>321</v>
      </c>
      <c r="Q229">
        <v>1</v>
      </c>
      <c r="X229">
        <v>0.12</v>
      </c>
      <c r="Y229">
        <v>0</v>
      </c>
      <c r="Z229">
        <v>111.99</v>
      </c>
      <c r="AA229">
        <v>13.5</v>
      </c>
      <c r="AB229">
        <v>0</v>
      </c>
      <c r="AC229">
        <v>0</v>
      </c>
      <c r="AD229">
        <v>1</v>
      </c>
      <c r="AE229">
        <v>0</v>
      </c>
      <c r="AF229" t="s">
        <v>56</v>
      </c>
      <c r="AG229">
        <v>0.15</v>
      </c>
      <c r="AH229">
        <v>2</v>
      </c>
      <c r="AI229">
        <v>16856546</v>
      </c>
      <c r="AJ229">
        <v>225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ROW(Source!A80)</f>
        <v>80</v>
      </c>
      <c r="B230">
        <v>16856566</v>
      </c>
      <c r="C230">
        <v>16856542</v>
      </c>
      <c r="D230">
        <v>15247880</v>
      </c>
      <c r="E230">
        <v>1</v>
      </c>
      <c r="F230">
        <v>1</v>
      </c>
      <c r="G230">
        <v>1</v>
      </c>
      <c r="H230">
        <v>2</v>
      </c>
      <c r="I230" t="s">
        <v>424</v>
      </c>
      <c r="J230" t="s">
        <v>425</v>
      </c>
      <c r="K230" t="s">
        <v>426</v>
      </c>
      <c r="L230">
        <v>1368</v>
      </c>
      <c r="N230">
        <v>1011</v>
      </c>
      <c r="O230" t="s">
        <v>321</v>
      </c>
      <c r="P230" t="s">
        <v>321</v>
      </c>
      <c r="Q230">
        <v>1</v>
      </c>
      <c r="X230">
        <v>10.53</v>
      </c>
      <c r="Y230">
        <v>0</v>
      </c>
      <c r="Z230">
        <v>6.9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56</v>
      </c>
      <c r="AG230">
        <v>13.1625</v>
      </c>
      <c r="AH230">
        <v>2</v>
      </c>
      <c r="AI230">
        <v>16856547</v>
      </c>
      <c r="AJ230">
        <v>226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ROW(Source!A80)</f>
        <v>80</v>
      </c>
      <c r="B231">
        <v>16856567</v>
      </c>
      <c r="C231">
        <v>16856542</v>
      </c>
      <c r="D231">
        <v>15249073</v>
      </c>
      <c r="E231">
        <v>1</v>
      </c>
      <c r="F231">
        <v>1</v>
      </c>
      <c r="G231">
        <v>1</v>
      </c>
      <c r="H231">
        <v>2</v>
      </c>
      <c r="I231" t="s">
        <v>330</v>
      </c>
      <c r="J231" t="s">
        <v>331</v>
      </c>
      <c r="K231" t="s">
        <v>332</v>
      </c>
      <c r="L231">
        <v>1368</v>
      </c>
      <c r="N231">
        <v>1011</v>
      </c>
      <c r="O231" t="s">
        <v>321</v>
      </c>
      <c r="P231" t="s">
        <v>321</v>
      </c>
      <c r="Q231">
        <v>1</v>
      </c>
      <c r="X231">
        <v>0.19</v>
      </c>
      <c r="Y231">
        <v>0</v>
      </c>
      <c r="Z231">
        <v>65.709999999999994</v>
      </c>
      <c r="AA231">
        <v>11.6</v>
      </c>
      <c r="AB231">
        <v>0</v>
      </c>
      <c r="AC231">
        <v>0</v>
      </c>
      <c r="AD231">
        <v>1</v>
      </c>
      <c r="AE231">
        <v>0</v>
      </c>
      <c r="AF231" t="s">
        <v>56</v>
      </c>
      <c r="AG231">
        <v>0.23749999999999999</v>
      </c>
      <c r="AH231">
        <v>2</v>
      </c>
      <c r="AI231">
        <v>16856548</v>
      </c>
      <c r="AJ231">
        <v>227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ROW(Source!A80)</f>
        <v>80</v>
      </c>
      <c r="B232">
        <v>16856568</v>
      </c>
      <c r="C232">
        <v>16856542</v>
      </c>
      <c r="D232">
        <v>15249308</v>
      </c>
      <c r="E232">
        <v>1</v>
      </c>
      <c r="F232">
        <v>1</v>
      </c>
      <c r="G232">
        <v>1</v>
      </c>
      <c r="H232">
        <v>2</v>
      </c>
      <c r="I232" t="s">
        <v>333</v>
      </c>
      <c r="J232" t="s">
        <v>334</v>
      </c>
      <c r="K232" t="s">
        <v>335</v>
      </c>
      <c r="L232">
        <v>1368</v>
      </c>
      <c r="N232">
        <v>1011</v>
      </c>
      <c r="O232" t="s">
        <v>321</v>
      </c>
      <c r="P232" t="s">
        <v>321</v>
      </c>
      <c r="Q232">
        <v>1</v>
      </c>
      <c r="X232">
        <v>1.86</v>
      </c>
      <c r="Y232">
        <v>0</v>
      </c>
      <c r="Z232">
        <v>1.2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56</v>
      </c>
      <c r="AG232">
        <v>2.3250000000000002</v>
      </c>
      <c r="AH232">
        <v>2</v>
      </c>
      <c r="AI232">
        <v>16856549</v>
      </c>
      <c r="AJ232">
        <v>228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ROW(Source!A80)</f>
        <v>80</v>
      </c>
      <c r="B233">
        <v>16856569</v>
      </c>
      <c r="C233">
        <v>16856542</v>
      </c>
      <c r="D233">
        <v>15249355</v>
      </c>
      <c r="E233">
        <v>1</v>
      </c>
      <c r="F233">
        <v>1</v>
      </c>
      <c r="G233">
        <v>1</v>
      </c>
      <c r="H233">
        <v>2</v>
      </c>
      <c r="I233" t="s">
        <v>336</v>
      </c>
      <c r="J233" t="s">
        <v>337</v>
      </c>
      <c r="K233" t="s">
        <v>338</v>
      </c>
      <c r="L233">
        <v>1368</v>
      </c>
      <c r="N233">
        <v>1011</v>
      </c>
      <c r="O233" t="s">
        <v>321</v>
      </c>
      <c r="P233" t="s">
        <v>321</v>
      </c>
      <c r="Q233">
        <v>1</v>
      </c>
      <c r="X233">
        <v>2.0299999999999998</v>
      </c>
      <c r="Y233">
        <v>0</v>
      </c>
      <c r="Z233">
        <v>12.31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56</v>
      </c>
      <c r="AG233">
        <v>2.5374999999999996</v>
      </c>
      <c r="AH233">
        <v>2</v>
      </c>
      <c r="AI233">
        <v>16856550</v>
      </c>
      <c r="AJ233">
        <v>229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ROW(Source!A80)</f>
        <v>80</v>
      </c>
      <c r="B234">
        <v>16856570</v>
      </c>
      <c r="C234">
        <v>16856542</v>
      </c>
      <c r="D234">
        <v>15165653</v>
      </c>
      <c r="E234">
        <v>1</v>
      </c>
      <c r="F234">
        <v>1</v>
      </c>
      <c r="G234">
        <v>1</v>
      </c>
      <c r="H234">
        <v>3</v>
      </c>
      <c r="I234" t="s">
        <v>339</v>
      </c>
      <c r="J234" t="s">
        <v>340</v>
      </c>
      <c r="K234" t="s">
        <v>341</v>
      </c>
      <c r="L234">
        <v>1339</v>
      </c>
      <c r="N234">
        <v>1007</v>
      </c>
      <c r="O234" t="s">
        <v>107</v>
      </c>
      <c r="P234" t="s">
        <v>107</v>
      </c>
      <c r="Q234">
        <v>1</v>
      </c>
      <c r="X234">
        <v>1.5</v>
      </c>
      <c r="Y234">
        <v>6.22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1.5</v>
      </c>
      <c r="AH234">
        <v>2</v>
      </c>
      <c r="AI234">
        <v>16856551</v>
      </c>
      <c r="AJ234">
        <v>230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ROW(Source!A80)</f>
        <v>80</v>
      </c>
      <c r="B235">
        <v>16856571</v>
      </c>
      <c r="C235">
        <v>16856542</v>
      </c>
      <c r="D235">
        <v>15165660</v>
      </c>
      <c r="E235">
        <v>1</v>
      </c>
      <c r="F235">
        <v>1</v>
      </c>
      <c r="G235">
        <v>1</v>
      </c>
      <c r="H235">
        <v>3</v>
      </c>
      <c r="I235" t="s">
        <v>342</v>
      </c>
      <c r="J235" t="s">
        <v>343</v>
      </c>
      <c r="K235" t="s">
        <v>344</v>
      </c>
      <c r="L235">
        <v>1346</v>
      </c>
      <c r="N235">
        <v>1009</v>
      </c>
      <c r="O235" t="s">
        <v>129</v>
      </c>
      <c r="P235" t="s">
        <v>129</v>
      </c>
      <c r="Q235">
        <v>1</v>
      </c>
      <c r="X235">
        <v>0.45</v>
      </c>
      <c r="Y235">
        <v>6.09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6</v>
      </c>
      <c r="AG235">
        <v>0.45</v>
      </c>
      <c r="AH235">
        <v>2</v>
      </c>
      <c r="AI235">
        <v>16856552</v>
      </c>
      <c r="AJ235">
        <v>231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ROW(Source!A80)</f>
        <v>80</v>
      </c>
      <c r="B236">
        <v>16856572</v>
      </c>
      <c r="C236">
        <v>16856542</v>
      </c>
      <c r="D236">
        <v>15168753</v>
      </c>
      <c r="E236">
        <v>1</v>
      </c>
      <c r="F236">
        <v>1</v>
      </c>
      <c r="G236">
        <v>1</v>
      </c>
      <c r="H236">
        <v>3</v>
      </c>
      <c r="I236" t="s">
        <v>345</v>
      </c>
      <c r="J236" t="s">
        <v>346</v>
      </c>
      <c r="K236" t="s">
        <v>347</v>
      </c>
      <c r="L236">
        <v>1348</v>
      </c>
      <c r="N236">
        <v>1009</v>
      </c>
      <c r="O236" t="s">
        <v>37</v>
      </c>
      <c r="P236" t="s">
        <v>37</v>
      </c>
      <c r="Q236">
        <v>1000</v>
      </c>
      <c r="X236">
        <v>1.4E-3</v>
      </c>
      <c r="Y236">
        <v>10749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1.4E-3</v>
      </c>
      <c r="AH236">
        <v>2</v>
      </c>
      <c r="AI236">
        <v>16856553</v>
      </c>
      <c r="AJ236">
        <v>232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ROW(Source!A80)</f>
        <v>80</v>
      </c>
      <c r="B237">
        <v>16856573</v>
      </c>
      <c r="C237">
        <v>16856542</v>
      </c>
      <c r="D237">
        <v>15169941</v>
      </c>
      <c r="E237">
        <v>1</v>
      </c>
      <c r="F237">
        <v>1</v>
      </c>
      <c r="G237">
        <v>1</v>
      </c>
      <c r="H237">
        <v>3</v>
      </c>
      <c r="I237" t="s">
        <v>348</v>
      </c>
      <c r="J237" t="s">
        <v>349</v>
      </c>
      <c r="K237" t="s">
        <v>350</v>
      </c>
      <c r="L237">
        <v>1348</v>
      </c>
      <c r="N237">
        <v>1009</v>
      </c>
      <c r="O237" t="s">
        <v>37</v>
      </c>
      <c r="P237" t="s">
        <v>37</v>
      </c>
      <c r="Q237">
        <v>1000</v>
      </c>
      <c r="X237">
        <v>3.3E-3</v>
      </c>
      <c r="Y237">
        <v>9040.01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3.3E-3</v>
      </c>
      <c r="AH237">
        <v>2</v>
      </c>
      <c r="AI237">
        <v>16856554</v>
      </c>
      <c r="AJ237">
        <v>233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ROW(Source!A80)</f>
        <v>80</v>
      </c>
      <c r="B238">
        <v>16856574</v>
      </c>
      <c r="C238">
        <v>16856542</v>
      </c>
      <c r="D238">
        <v>15170039</v>
      </c>
      <c r="E238">
        <v>1</v>
      </c>
      <c r="F238">
        <v>1</v>
      </c>
      <c r="G238">
        <v>1</v>
      </c>
      <c r="H238">
        <v>3</v>
      </c>
      <c r="I238" t="s">
        <v>351</v>
      </c>
      <c r="J238" t="s">
        <v>352</v>
      </c>
      <c r="K238" t="s">
        <v>353</v>
      </c>
      <c r="L238">
        <v>1348</v>
      </c>
      <c r="N238">
        <v>1009</v>
      </c>
      <c r="O238" t="s">
        <v>37</v>
      </c>
      <c r="P238" t="s">
        <v>37</v>
      </c>
      <c r="Q238">
        <v>1000</v>
      </c>
      <c r="X238">
        <v>1.0000000000000001E-5</v>
      </c>
      <c r="Y238">
        <v>11978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1.0000000000000001E-5</v>
      </c>
      <c r="AH238">
        <v>2</v>
      </c>
      <c r="AI238">
        <v>16856555</v>
      </c>
      <c r="AJ238">
        <v>234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ROW(Source!A80)</f>
        <v>80</v>
      </c>
      <c r="B239">
        <v>16856575</v>
      </c>
      <c r="C239">
        <v>16856542</v>
      </c>
      <c r="D239">
        <v>15171021</v>
      </c>
      <c r="E239">
        <v>1</v>
      </c>
      <c r="F239">
        <v>1</v>
      </c>
      <c r="G239">
        <v>1</v>
      </c>
      <c r="H239">
        <v>3</v>
      </c>
      <c r="I239" t="s">
        <v>354</v>
      </c>
      <c r="J239" t="s">
        <v>355</v>
      </c>
      <c r="K239" t="s">
        <v>356</v>
      </c>
      <c r="L239">
        <v>1348</v>
      </c>
      <c r="N239">
        <v>1009</v>
      </c>
      <c r="O239" t="s">
        <v>37</v>
      </c>
      <c r="P239" t="s">
        <v>37</v>
      </c>
      <c r="Q239">
        <v>1000</v>
      </c>
      <c r="X239">
        <v>1E-4</v>
      </c>
      <c r="Y239">
        <v>37900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1E-4</v>
      </c>
      <c r="AH239">
        <v>2</v>
      </c>
      <c r="AI239">
        <v>16856556</v>
      </c>
      <c r="AJ239">
        <v>235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ROW(Source!A80)</f>
        <v>80</v>
      </c>
      <c r="B240">
        <v>16856576</v>
      </c>
      <c r="C240">
        <v>16856542</v>
      </c>
      <c r="D240">
        <v>15161825</v>
      </c>
      <c r="E240">
        <v>17</v>
      </c>
      <c r="F240">
        <v>1</v>
      </c>
      <c r="G240">
        <v>1</v>
      </c>
      <c r="H240">
        <v>3</v>
      </c>
      <c r="I240" t="s">
        <v>161</v>
      </c>
      <c r="J240" t="s">
        <v>6</v>
      </c>
      <c r="K240" t="s">
        <v>162</v>
      </c>
      <c r="L240">
        <v>1348</v>
      </c>
      <c r="N240">
        <v>1009</v>
      </c>
      <c r="O240" t="s">
        <v>37</v>
      </c>
      <c r="P240" t="s">
        <v>37</v>
      </c>
      <c r="Q240">
        <v>1000</v>
      </c>
      <c r="X240">
        <v>1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 t="s">
        <v>6</v>
      </c>
      <c r="AG240">
        <v>1</v>
      </c>
      <c r="AH240">
        <v>2</v>
      </c>
      <c r="AI240">
        <v>16856557</v>
      </c>
      <c r="AJ240">
        <v>236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ROW(Source!A80)</f>
        <v>80</v>
      </c>
      <c r="B241">
        <v>16856577</v>
      </c>
      <c r="C241">
        <v>16856542</v>
      </c>
      <c r="D241">
        <v>15190794</v>
      </c>
      <c r="E241">
        <v>1</v>
      </c>
      <c r="F241">
        <v>1</v>
      </c>
      <c r="G241">
        <v>1</v>
      </c>
      <c r="H241">
        <v>3</v>
      </c>
      <c r="I241" t="s">
        <v>357</v>
      </c>
      <c r="J241" t="s">
        <v>358</v>
      </c>
      <c r="K241" t="s">
        <v>359</v>
      </c>
      <c r="L241">
        <v>1302</v>
      </c>
      <c r="N241">
        <v>1003</v>
      </c>
      <c r="O241" t="s">
        <v>152</v>
      </c>
      <c r="P241" t="s">
        <v>152</v>
      </c>
      <c r="Q241">
        <v>10</v>
      </c>
      <c r="X241">
        <v>1.8700000000000001E-2</v>
      </c>
      <c r="Y241">
        <v>50.24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1.8700000000000001E-2</v>
      </c>
      <c r="AH241">
        <v>2</v>
      </c>
      <c r="AI241">
        <v>16856558</v>
      </c>
      <c r="AJ241">
        <v>237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ROW(Source!A80)</f>
        <v>80</v>
      </c>
      <c r="B242">
        <v>16856578</v>
      </c>
      <c r="C242">
        <v>16856542</v>
      </c>
      <c r="D242">
        <v>15191153</v>
      </c>
      <c r="E242">
        <v>1</v>
      </c>
      <c r="F242">
        <v>1</v>
      </c>
      <c r="G242">
        <v>1</v>
      </c>
      <c r="H242">
        <v>3</v>
      </c>
      <c r="I242" t="s">
        <v>360</v>
      </c>
      <c r="J242" t="s">
        <v>361</v>
      </c>
      <c r="K242" t="s">
        <v>362</v>
      </c>
      <c r="L242">
        <v>1348</v>
      </c>
      <c r="N242">
        <v>1009</v>
      </c>
      <c r="O242" t="s">
        <v>37</v>
      </c>
      <c r="P242" t="s">
        <v>37</v>
      </c>
      <c r="Q242">
        <v>1000</v>
      </c>
      <c r="X242">
        <v>3.0000000000000001E-5</v>
      </c>
      <c r="Y242">
        <v>4455.2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</v>
      </c>
      <c r="AG242">
        <v>3.0000000000000001E-5</v>
      </c>
      <c r="AH242">
        <v>2</v>
      </c>
      <c r="AI242">
        <v>16856559</v>
      </c>
      <c r="AJ242">
        <v>238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ROW(Source!A80)</f>
        <v>80</v>
      </c>
      <c r="B243">
        <v>16856579</v>
      </c>
      <c r="C243">
        <v>16856542</v>
      </c>
      <c r="D243">
        <v>15191913</v>
      </c>
      <c r="E243">
        <v>1</v>
      </c>
      <c r="F243">
        <v>1</v>
      </c>
      <c r="G243">
        <v>1</v>
      </c>
      <c r="H243">
        <v>3</v>
      </c>
      <c r="I243" t="s">
        <v>363</v>
      </c>
      <c r="J243" t="s">
        <v>364</v>
      </c>
      <c r="K243" t="s">
        <v>365</v>
      </c>
      <c r="L243">
        <v>1348</v>
      </c>
      <c r="N243">
        <v>1009</v>
      </c>
      <c r="O243" t="s">
        <v>37</v>
      </c>
      <c r="P243" t="s">
        <v>37</v>
      </c>
      <c r="Q243">
        <v>1000</v>
      </c>
      <c r="X243">
        <v>1.9400000000000001E-3</v>
      </c>
      <c r="Y243">
        <v>4920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6</v>
      </c>
      <c r="AG243">
        <v>1.9400000000000001E-3</v>
      </c>
      <c r="AH243">
        <v>2</v>
      </c>
      <c r="AI243">
        <v>16856560</v>
      </c>
      <c r="AJ243">
        <v>239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ROW(Source!A80)</f>
        <v>80</v>
      </c>
      <c r="B244">
        <v>16856580</v>
      </c>
      <c r="C244">
        <v>16856542</v>
      </c>
      <c r="D244">
        <v>15203461</v>
      </c>
      <c r="E244">
        <v>1</v>
      </c>
      <c r="F244">
        <v>1</v>
      </c>
      <c r="G244">
        <v>1</v>
      </c>
      <c r="H244">
        <v>3</v>
      </c>
      <c r="I244" t="s">
        <v>366</v>
      </c>
      <c r="J244" t="s">
        <v>367</v>
      </c>
      <c r="K244" t="s">
        <v>368</v>
      </c>
      <c r="L244">
        <v>1348</v>
      </c>
      <c r="N244">
        <v>1009</v>
      </c>
      <c r="O244" t="s">
        <v>37</v>
      </c>
      <c r="P244" t="s">
        <v>37</v>
      </c>
      <c r="Q244">
        <v>1000</v>
      </c>
      <c r="X244">
        <v>3.1E-4</v>
      </c>
      <c r="Y244">
        <v>15620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3.1E-4</v>
      </c>
      <c r="AH244">
        <v>2</v>
      </c>
      <c r="AI244">
        <v>16856561</v>
      </c>
      <c r="AJ244">
        <v>241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ROW(Source!A80)</f>
        <v>80</v>
      </c>
      <c r="B245">
        <v>16856581</v>
      </c>
      <c r="C245">
        <v>16856542</v>
      </c>
      <c r="D245">
        <v>15204663</v>
      </c>
      <c r="E245">
        <v>1</v>
      </c>
      <c r="F245">
        <v>1</v>
      </c>
      <c r="G245">
        <v>1</v>
      </c>
      <c r="H245">
        <v>3</v>
      </c>
      <c r="I245" t="s">
        <v>369</v>
      </c>
      <c r="J245" t="s">
        <v>370</v>
      </c>
      <c r="K245" t="s">
        <v>371</v>
      </c>
      <c r="L245">
        <v>1348</v>
      </c>
      <c r="N245">
        <v>1009</v>
      </c>
      <c r="O245" t="s">
        <v>37</v>
      </c>
      <c r="P245" t="s">
        <v>37</v>
      </c>
      <c r="Q245">
        <v>1000</v>
      </c>
      <c r="X245">
        <v>5.9999999999999995E-4</v>
      </c>
      <c r="Y245">
        <v>9420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6</v>
      </c>
      <c r="AG245">
        <v>5.9999999999999995E-4</v>
      </c>
      <c r="AH245">
        <v>2</v>
      </c>
      <c r="AI245">
        <v>16856562</v>
      </c>
      <c r="AJ245">
        <v>242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ROW(Source!A81)</f>
        <v>81</v>
      </c>
      <c r="B246">
        <v>16856563</v>
      </c>
      <c r="C246">
        <v>16856542</v>
      </c>
      <c r="D246">
        <v>15430767</v>
      </c>
      <c r="E246">
        <v>1</v>
      </c>
      <c r="F246">
        <v>1</v>
      </c>
      <c r="G246">
        <v>1</v>
      </c>
      <c r="H246">
        <v>1</v>
      </c>
      <c r="I246" t="s">
        <v>399</v>
      </c>
      <c r="J246" t="s">
        <v>6</v>
      </c>
      <c r="K246" t="s">
        <v>400</v>
      </c>
      <c r="L246">
        <v>1191</v>
      </c>
      <c r="N246">
        <v>1013</v>
      </c>
      <c r="O246" t="s">
        <v>313</v>
      </c>
      <c r="P246" t="s">
        <v>313</v>
      </c>
      <c r="Q246">
        <v>1</v>
      </c>
      <c r="X246">
        <v>50.79</v>
      </c>
      <c r="Y246">
        <v>0</v>
      </c>
      <c r="Z246">
        <v>0</v>
      </c>
      <c r="AA246">
        <v>0</v>
      </c>
      <c r="AB246">
        <v>8.5299999999999994</v>
      </c>
      <c r="AC246">
        <v>0</v>
      </c>
      <c r="AD246">
        <v>1</v>
      </c>
      <c r="AE246">
        <v>1</v>
      </c>
      <c r="AF246" t="s">
        <v>57</v>
      </c>
      <c r="AG246">
        <v>58.408499999999997</v>
      </c>
      <c r="AH246">
        <v>2</v>
      </c>
      <c r="AI246">
        <v>16856544</v>
      </c>
      <c r="AJ246">
        <v>243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ROW(Source!A81)</f>
        <v>81</v>
      </c>
      <c r="B247">
        <v>16856564</v>
      </c>
      <c r="C247">
        <v>16856542</v>
      </c>
      <c r="D247">
        <v>15430395</v>
      </c>
      <c r="E247">
        <v>1</v>
      </c>
      <c r="F247">
        <v>1</v>
      </c>
      <c r="G247">
        <v>1</v>
      </c>
      <c r="H247">
        <v>1</v>
      </c>
      <c r="I247" t="s">
        <v>316</v>
      </c>
      <c r="J247" t="s">
        <v>6</v>
      </c>
      <c r="K247" t="s">
        <v>317</v>
      </c>
      <c r="L247">
        <v>1191</v>
      </c>
      <c r="N247">
        <v>1013</v>
      </c>
      <c r="O247" t="s">
        <v>313</v>
      </c>
      <c r="P247" t="s">
        <v>313</v>
      </c>
      <c r="Q247">
        <v>1</v>
      </c>
      <c r="X247">
        <v>0.31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2</v>
      </c>
      <c r="AF247" t="s">
        <v>56</v>
      </c>
      <c r="AG247">
        <v>0.38750000000000001</v>
      </c>
      <c r="AH247">
        <v>2</v>
      </c>
      <c r="AI247">
        <v>16856545</v>
      </c>
      <c r="AJ247">
        <v>244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ROW(Source!A81)</f>
        <v>81</v>
      </c>
      <c r="B248">
        <v>16856565</v>
      </c>
      <c r="C248">
        <v>16856542</v>
      </c>
      <c r="D248">
        <v>15247680</v>
      </c>
      <c r="E248">
        <v>1</v>
      </c>
      <c r="F248">
        <v>1</v>
      </c>
      <c r="G248">
        <v>1</v>
      </c>
      <c r="H248">
        <v>2</v>
      </c>
      <c r="I248" t="s">
        <v>324</v>
      </c>
      <c r="J248" t="s">
        <v>325</v>
      </c>
      <c r="K248" t="s">
        <v>326</v>
      </c>
      <c r="L248">
        <v>1368</v>
      </c>
      <c r="N248">
        <v>1011</v>
      </c>
      <c r="O248" t="s">
        <v>321</v>
      </c>
      <c r="P248" t="s">
        <v>321</v>
      </c>
      <c r="Q248">
        <v>1</v>
      </c>
      <c r="X248">
        <v>0.12</v>
      </c>
      <c r="Y248">
        <v>0</v>
      </c>
      <c r="Z248">
        <v>111.99</v>
      </c>
      <c r="AA248">
        <v>13.5</v>
      </c>
      <c r="AB248">
        <v>0</v>
      </c>
      <c r="AC248">
        <v>0</v>
      </c>
      <c r="AD248">
        <v>1</v>
      </c>
      <c r="AE248">
        <v>0</v>
      </c>
      <c r="AF248" t="s">
        <v>56</v>
      </c>
      <c r="AG248">
        <v>0.15</v>
      </c>
      <c r="AH248">
        <v>2</v>
      </c>
      <c r="AI248">
        <v>16856546</v>
      </c>
      <c r="AJ248">
        <v>245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ROW(Source!A81)</f>
        <v>81</v>
      </c>
      <c r="B249">
        <v>16856566</v>
      </c>
      <c r="C249">
        <v>16856542</v>
      </c>
      <c r="D249">
        <v>15247880</v>
      </c>
      <c r="E249">
        <v>1</v>
      </c>
      <c r="F249">
        <v>1</v>
      </c>
      <c r="G249">
        <v>1</v>
      </c>
      <c r="H249">
        <v>2</v>
      </c>
      <c r="I249" t="s">
        <v>424</v>
      </c>
      <c r="J249" t="s">
        <v>425</v>
      </c>
      <c r="K249" t="s">
        <v>426</v>
      </c>
      <c r="L249">
        <v>1368</v>
      </c>
      <c r="N249">
        <v>1011</v>
      </c>
      <c r="O249" t="s">
        <v>321</v>
      </c>
      <c r="P249" t="s">
        <v>321</v>
      </c>
      <c r="Q249">
        <v>1</v>
      </c>
      <c r="X249">
        <v>10.53</v>
      </c>
      <c r="Y249">
        <v>0</v>
      </c>
      <c r="Z249">
        <v>6.9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56</v>
      </c>
      <c r="AG249">
        <v>13.1625</v>
      </c>
      <c r="AH249">
        <v>2</v>
      </c>
      <c r="AI249">
        <v>16856547</v>
      </c>
      <c r="AJ249">
        <v>246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ROW(Source!A81)</f>
        <v>81</v>
      </c>
      <c r="B250">
        <v>16856567</v>
      </c>
      <c r="C250">
        <v>16856542</v>
      </c>
      <c r="D250">
        <v>15249073</v>
      </c>
      <c r="E250">
        <v>1</v>
      </c>
      <c r="F250">
        <v>1</v>
      </c>
      <c r="G250">
        <v>1</v>
      </c>
      <c r="H250">
        <v>2</v>
      </c>
      <c r="I250" t="s">
        <v>330</v>
      </c>
      <c r="J250" t="s">
        <v>331</v>
      </c>
      <c r="K250" t="s">
        <v>332</v>
      </c>
      <c r="L250">
        <v>1368</v>
      </c>
      <c r="N250">
        <v>1011</v>
      </c>
      <c r="O250" t="s">
        <v>321</v>
      </c>
      <c r="P250" t="s">
        <v>321</v>
      </c>
      <c r="Q250">
        <v>1</v>
      </c>
      <c r="X250">
        <v>0.19</v>
      </c>
      <c r="Y250">
        <v>0</v>
      </c>
      <c r="Z250">
        <v>65.709999999999994</v>
      </c>
      <c r="AA250">
        <v>11.6</v>
      </c>
      <c r="AB250">
        <v>0</v>
      </c>
      <c r="AC250">
        <v>0</v>
      </c>
      <c r="AD250">
        <v>1</v>
      </c>
      <c r="AE250">
        <v>0</v>
      </c>
      <c r="AF250" t="s">
        <v>56</v>
      </c>
      <c r="AG250">
        <v>0.23749999999999999</v>
      </c>
      <c r="AH250">
        <v>2</v>
      </c>
      <c r="AI250">
        <v>16856548</v>
      </c>
      <c r="AJ250">
        <v>247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ROW(Source!A81)</f>
        <v>81</v>
      </c>
      <c r="B251">
        <v>16856568</v>
      </c>
      <c r="C251">
        <v>16856542</v>
      </c>
      <c r="D251">
        <v>15249308</v>
      </c>
      <c r="E251">
        <v>1</v>
      </c>
      <c r="F251">
        <v>1</v>
      </c>
      <c r="G251">
        <v>1</v>
      </c>
      <c r="H251">
        <v>2</v>
      </c>
      <c r="I251" t="s">
        <v>333</v>
      </c>
      <c r="J251" t="s">
        <v>334</v>
      </c>
      <c r="K251" t="s">
        <v>335</v>
      </c>
      <c r="L251">
        <v>1368</v>
      </c>
      <c r="N251">
        <v>1011</v>
      </c>
      <c r="O251" t="s">
        <v>321</v>
      </c>
      <c r="P251" t="s">
        <v>321</v>
      </c>
      <c r="Q251">
        <v>1</v>
      </c>
      <c r="X251">
        <v>1.86</v>
      </c>
      <c r="Y251">
        <v>0</v>
      </c>
      <c r="Z251">
        <v>1.2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56</v>
      </c>
      <c r="AG251">
        <v>2.3250000000000002</v>
      </c>
      <c r="AH251">
        <v>2</v>
      </c>
      <c r="AI251">
        <v>16856549</v>
      </c>
      <c r="AJ251">
        <v>248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ROW(Source!A81)</f>
        <v>81</v>
      </c>
      <c r="B252">
        <v>16856569</v>
      </c>
      <c r="C252">
        <v>16856542</v>
      </c>
      <c r="D252">
        <v>15249355</v>
      </c>
      <c r="E252">
        <v>1</v>
      </c>
      <c r="F252">
        <v>1</v>
      </c>
      <c r="G252">
        <v>1</v>
      </c>
      <c r="H252">
        <v>2</v>
      </c>
      <c r="I252" t="s">
        <v>336</v>
      </c>
      <c r="J252" t="s">
        <v>337</v>
      </c>
      <c r="K252" t="s">
        <v>338</v>
      </c>
      <c r="L252">
        <v>1368</v>
      </c>
      <c r="N252">
        <v>1011</v>
      </c>
      <c r="O252" t="s">
        <v>321</v>
      </c>
      <c r="P252" t="s">
        <v>321</v>
      </c>
      <c r="Q252">
        <v>1</v>
      </c>
      <c r="X252">
        <v>2.0299999999999998</v>
      </c>
      <c r="Y252">
        <v>0</v>
      </c>
      <c r="Z252">
        <v>12.31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56</v>
      </c>
      <c r="AG252">
        <v>2.5374999999999996</v>
      </c>
      <c r="AH252">
        <v>2</v>
      </c>
      <c r="AI252">
        <v>16856550</v>
      </c>
      <c r="AJ252">
        <v>249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ROW(Source!A81)</f>
        <v>81</v>
      </c>
      <c r="B253">
        <v>16856570</v>
      </c>
      <c r="C253">
        <v>16856542</v>
      </c>
      <c r="D253">
        <v>15165653</v>
      </c>
      <c r="E253">
        <v>1</v>
      </c>
      <c r="F253">
        <v>1</v>
      </c>
      <c r="G253">
        <v>1</v>
      </c>
      <c r="H253">
        <v>3</v>
      </c>
      <c r="I253" t="s">
        <v>339</v>
      </c>
      <c r="J253" t="s">
        <v>340</v>
      </c>
      <c r="K253" t="s">
        <v>341</v>
      </c>
      <c r="L253">
        <v>1339</v>
      </c>
      <c r="N253">
        <v>1007</v>
      </c>
      <c r="O253" t="s">
        <v>107</v>
      </c>
      <c r="P253" t="s">
        <v>107</v>
      </c>
      <c r="Q253">
        <v>1</v>
      </c>
      <c r="X253">
        <v>1.5</v>
      </c>
      <c r="Y253">
        <v>6.22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1.5</v>
      </c>
      <c r="AH253">
        <v>2</v>
      </c>
      <c r="AI253">
        <v>16856551</v>
      </c>
      <c r="AJ253">
        <v>250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ROW(Source!A81)</f>
        <v>81</v>
      </c>
      <c r="B254">
        <v>16856571</v>
      </c>
      <c r="C254">
        <v>16856542</v>
      </c>
      <c r="D254">
        <v>15165660</v>
      </c>
      <c r="E254">
        <v>1</v>
      </c>
      <c r="F254">
        <v>1</v>
      </c>
      <c r="G254">
        <v>1</v>
      </c>
      <c r="H254">
        <v>3</v>
      </c>
      <c r="I254" t="s">
        <v>342</v>
      </c>
      <c r="J254" t="s">
        <v>343</v>
      </c>
      <c r="K254" t="s">
        <v>344</v>
      </c>
      <c r="L254">
        <v>1346</v>
      </c>
      <c r="N254">
        <v>1009</v>
      </c>
      <c r="O254" t="s">
        <v>129</v>
      </c>
      <c r="P254" t="s">
        <v>129</v>
      </c>
      <c r="Q254">
        <v>1</v>
      </c>
      <c r="X254">
        <v>0.45</v>
      </c>
      <c r="Y254">
        <v>6.09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0.45</v>
      </c>
      <c r="AH254">
        <v>2</v>
      </c>
      <c r="AI254">
        <v>16856552</v>
      </c>
      <c r="AJ254">
        <v>251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ROW(Source!A81)</f>
        <v>81</v>
      </c>
      <c r="B255">
        <v>16856572</v>
      </c>
      <c r="C255">
        <v>16856542</v>
      </c>
      <c r="D255">
        <v>15168753</v>
      </c>
      <c r="E255">
        <v>1</v>
      </c>
      <c r="F255">
        <v>1</v>
      </c>
      <c r="G255">
        <v>1</v>
      </c>
      <c r="H255">
        <v>3</v>
      </c>
      <c r="I255" t="s">
        <v>345</v>
      </c>
      <c r="J255" t="s">
        <v>346</v>
      </c>
      <c r="K255" t="s">
        <v>347</v>
      </c>
      <c r="L255">
        <v>1348</v>
      </c>
      <c r="N255">
        <v>1009</v>
      </c>
      <c r="O255" t="s">
        <v>37</v>
      </c>
      <c r="P255" t="s">
        <v>37</v>
      </c>
      <c r="Q255">
        <v>1000</v>
      </c>
      <c r="X255">
        <v>1.4E-3</v>
      </c>
      <c r="Y255">
        <v>10749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6</v>
      </c>
      <c r="AG255">
        <v>1.4E-3</v>
      </c>
      <c r="AH255">
        <v>2</v>
      </c>
      <c r="AI255">
        <v>16856553</v>
      </c>
      <c r="AJ255">
        <v>252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ROW(Source!A81)</f>
        <v>81</v>
      </c>
      <c r="B256">
        <v>16856573</v>
      </c>
      <c r="C256">
        <v>16856542</v>
      </c>
      <c r="D256">
        <v>15169941</v>
      </c>
      <c r="E256">
        <v>1</v>
      </c>
      <c r="F256">
        <v>1</v>
      </c>
      <c r="G256">
        <v>1</v>
      </c>
      <c r="H256">
        <v>3</v>
      </c>
      <c r="I256" t="s">
        <v>348</v>
      </c>
      <c r="J256" t="s">
        <v>349</v>
      </c>
      <c r="K256" t="s">
        <v>350</v>
      </c>
      <c r="L256">
        <v>1348</v>
      </c>
      <c r="N256">
        <v>1009</v>
      </c>
      <c r="O256" t="s">
        <v>37</v>
      </c>
      <c r="P256" t="s">
        <v>37</v>
      </c>
      <c r="Q256">
        <v>1000</v>
      </c>
      <c r="X256">
        <v>3.3E-3</v>
      </c>
      <c r="Y256">
        <v>9040.01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3.3E-3</v>
      </c>
      <c r="AH256">
        <v>2</v>
      </c>
      <c r="AI256">
        <v>16856554</v>
      </c>
      <c r="AJ256">
        <v>253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ROW(Source!A81)</f>
        <v>81</v>
      </c>
      <c r="B257">
        <v>16856574</v>
      </c>
      <c r="C257">
        <v>16856542</v>
      </c>
      <c r="D257">
        <v>15170039</v>
      </c>
      <c r="E257">
        <v>1</v>
      </c>
      <c r="F257">
        <v>1</v>
      </c>
      <c r="G257">
        <v>1</v>
      </c>
      <c r="H257">
        <v>3</v>
      </c>
      <c r="I257" t="s">
        <v>351</v>
      </c>
      <c r="J257" t="s">
        <v>352</v>
      </c>
      <c r="K257" t="s">
        <v>353</v>
      </c>
      <c r="L257">
        <v>1348</v>
      </c>
      <c r="N257">
        <v>1009</v>
      </c>
      <c r="O257" t="s">
        <v>37</v>
      </c>
      <c r="P257" t="s">
        <v>37</v>
      </c>
      <c r="Q257">
        <v>1000</v>
      </c>
      <c r="X257">
        <v>1.0000000000000001E-5</v>
      </c>
      <c r="Y257">
        <v>11978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1.0000000000000001E-5</v>
      </c>
      <c r="AH257">
        <v>2</v>
      </c>
      <c r="AI257">
        <v>16856555</v>
      </c>
      <c r="AJ257">
        <v>254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ROW(Source!A81)</f>
        <v>81</v>
      </c>
      <c r="B258">
        <v>16856575</v>
      </c>
      <c r="C258">
        <v>16856542</v>
      </c>
      <c r="D258">
        <v>15171021</v>
      </c>
      <c r="E258">
        <v>1</v>
      </c>
      <c r="F258">
        <v>1</v>
      </c>
      <c r="G258">
        <v>1</v>
      </c>
      <c r="H258">
        <v>3</v>
      </c>
      <c r="I258" t="s">
        <v>354</v>
      </c>
      <c r="J258" t="s">
        <v>355</v>
      </c>
      <c r="K258" t="s">
        <v>356</v>
      </c>
      <c r="L258">
        <v>1348</v>
      </c>
      <c r="N258">
        <v>1009</v>
      </c>
      <c r="O258" t="s">
        <v>37</v>
      </c>
      <c r="P258" t="s">
        <v>37</v>
      </c>
      <c r="Q258">
        <v>1000</v>
      </c>
      <c r="X258">
        <v>1E-4</v>
      </c>
      <c r="Y258">
        <v>37900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1E-4</v>
      </c>
      <c r="AH258">
        <v>2</v>
      </c>
      <c r="AI258">
        <v>16856556</v>
      </c>
      <c r="AJ258">
        <v>255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ROW(Source!A81)</f>
        <v>81</v>
      </c>
      <c r="B259">
        <v>16856576</v>
      </c>
      <c r="C259">
        <v>16856542</v>
      </c>
      <c r="D259">
        <v>15161825</v>
      </c>
      <c r="E259">
        <v>17</v>
      </c>
      <c r="F259">
        <v>1</v>
      </c>
      <c r="G259">
        <v>1</v>
      </c>
      <c r="H259">
        <v>3</v>
      </c>
      <c r="I259" t="s">
        <v>161</v>
      </c>
      <c r="J259" t="s">
        <v>6</v>
      </c>
      <c r="K259" t="s">
        <v>162</v>
      </c>
      <c r="L259">
        <v>1348</v>
      </c>
      <c r="N259">
        <v>1009</v>
      </c>
      <c r="O259" t="s">
        <v>37</v>
      </c>
      <c r="P259" t="s">
        <v>37</v>
      </c>
      <c r="Q259">
        <v>1000</v>
      </c>
      <c r="X259">
        <v>1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6</v>
      </c>
      <c r="AG259">
        <v>1</v>
      </c>
      <c r="AH259">
        <v>2</v>
      </c>
      <c r="AI259">
        <v>16856557</v>
      </c>
      <c r="AJ259">
        <v>256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ROW(Source!A81)</f>
        <v>81</v>
      </c>
      <c r="B260">
        <v>16856577</v>
      </c>
      <c r="C260">
        <v>16856542</v>
      </c>
      <c r="D260">
        <v>15190794</v>
      </c>
      <c r="E260">
        <v>1</v>
      </c>
      <c r="F260">
        <v>1</v>
      </c>
      <c r="G260">
        <v>1</v>
      </c>
      <c r="H260">
        <v>3</v>
      </c>
      <c r="I260" t="s">
        <v>357</v>
      </c>
      <c r="J260" t="s">
        <v>358</v>
      </c>
      <c r="K260" t="s">
        <v>359</v>
      </c>
      <c r="L260">
        <v>1302</v>
      </c>
      <c r="N260">
        <v>1003</v>
      </c>
      <c r="O260" t="s">
        <v>152</v>
      </c>
      <c r="P260" t="s">
        <v>152</v>
      </c>
      <c r="Q260">
        <v>10</v>
      </c>
      <c r="X260">
        <v>1.8700000000000001E-2</v>
      </c>
      <c r="Y260">
        <v>50.24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1.8700000000000001E-2</v>
      </c>
      <c r="AH260">
        <v>2</v>
      </c>
      <c r="AI260">
        <v>16856558</v>
      </c>
      <c r="AJ260">
        <v>257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ROW(Source!A81)</f>
        <v>81</v>
      </c>
      <c r="B261">
        <v>16856578</v>
      </c>
      <c r="C261">
        <v>16856542</v>
      </c>
      <c r="D261">
        <v>15191153</v>
      </c>
      <c r="E261">
        <v>1</v>
      </c>
      <c r="F261">
        <v>1</v>
      </c>
      <c r="G261">
        <v>1</v>
      </c>
      <c r="H261">
        <v>3</v>
      </c>
      <c r="I261" t="s">
        <v>360</v>
      </c>
      <c r="J261" t="s">
        <v>361</v>
      </c>
      <c r="K261" t="s">
        <v>362</v>
      </c>
      <c r="L261">
        <v>1348</v>
      </c>
      <c r="N261">
        <v>1009</v>
      </c>
      <c r="O261" t="s">
        <v>37</v>
      </c>
      <c r="P261" t="s">
        <v>37</v>
      </c>
      <c r="Q261">
        <v>1000</v>
      </c>
      <c r="X261">
        <v>3.0000000000000001E-5</v>
      </c>
      <c r="Y261">
        <v>4455.2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3.0000000000000001E-5</v>
      </c>
      <c r="AH261">
        <v>2</v>
      </c>
      <c r="AI261">
        <v>16856559</v>
      </c>
      <c r="AJ261">
        <v>258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ROW(Source!A81)</f>
        <v>81</v>
      </c>
      <c r="B262">
        <v>16856579</v>
      </c>
      <c r="C262">
        <v>16856542</v>
      </c>
      <c r="D262">
        <v>15191913</v>
      </c>
      <c r="E262">
        <v>1</v>
      </c>
      <c r="F262">
        <v>1</v>
      </c>
      <c r="G262">
        <v>1</v>
      </c>
      <c r="H262">
        <v>3</v>
      </c>
      <c r="I262" t="s">
        <v>363</v>
      </c>
      <c r="J262" t="s">
        <v>364</v>
      </c>
      <c r="K262" t="s">
        <v>365</v>
      </c>
      <c r="L262">
        <v>1348</v>
      </c>
      <c r="N262">
        <v>1009</v>
      </c>
      <c r="O262" t="s">
        <v>37</v>
      </c>
      <c r="P262" t="s">
        <v>37</v>
      </c>
      <c r="Q262">
        <v>1000</v>
      </c>
      <c r="X262">
        <v>1.9400000000000001E-3</v>
      </c>
      <c r="Y262">
        <v>4920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1.9400000000000001E-3</v>
      </c>
      <c r="AH262">
        <v>2</v>
      </c>
      <c r="AI262">
        <v>16856560</v>
      </c>
      <c r="AJ262">
        <v>259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ROW(Source!A81)</f>
        <v>81</v>
      </c>
      <c r="B263">
        <v>16856580</v>
      </c>
      <c r="C263">
        <v>16856542</v>
      </c>
      <c r="D263">
        <v>15203461</v>
      </c>
      <c r="E263">
        <v>1</v>
      </c>
      <c r="F263">
        <v>1</v>
      </c>
      <c r="G263">
        <v>1</v>
      </c>
      <c r="H263">
        <v>3</v>
      </c>
      <c r="I263" t="s">
        <v>366</v>
      </c>
      <c r="J263" t="s">
        <v>367</v>
      </c>
      <c r="K263" t="s">
        <v>368</v>
      </c>
      <c r="L263">
        <v>1348</v>
      </c>
      <c r="N263">
        <v>1009</v>
      </c>
      <c r="O263" t="s">
        <v>37</v>
      </c>
      <c r="P263" t="s">
        <v>37</v>
      </c>
      <c r="Q263">
        <v>1000</v>
      </c>
      <c r="X263">
        <v>3.1E-4</v>
      </c>
      <c r="Y263">
        <v>15620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6</v>
      </c>
      <c r="AG263">
        <v>3.1E-4</v>
      </c>
      <c r="AH263">
        <v>2</v>
      </c>
      <c r="AI263">
        <v>16856561</v>
      </c>
      <c r="AJ263">
        <v>261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ROW(Source!A81)</f>
        <v>81</v>
      </c>
      <c r="B264">
        <v>16856581</v>
      </c>
      <c r="C264">
        <v>16856542</v>
      </c>
      <c r="D264">
        <v>15204663</v>
      </c>
      <c r="E264">
        <v>1</v>
      </c>
      <c r="F264">
        <v>1</v>
      </c>
      <c r="G264">
        <v>1</v>
      </c>
      <c r="H264">
        <v>3</v>
      </c>
      <c r="I264" t="s">
        <v>369</v>
      </c>
      <c r="J264" t="s">
        <v>370</v>
      </c>
      <c r="K264" t="s">
        <v>371</v>
      </c>
      <c r="L264">
        <v>1348</v>
      </c>
      <c r="N264">
        <v>1009</v>
      </c>
      <c r="O264" t="s">
        <v>37</v>
      </c>
      <c r="P264" t="s">
        <v>37</v>
      </c>
      <c r="Q264">
        <v>1000</v>
      </c>
      <c r="X264">
        <v>5.9999999999999995E-4</v>
      </c>
      <c r="Y264">
        <v>9420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5.9999999999999995E-4</v>
      </c>
      <c r="AH264">
        <v>2</v>
      </c>
      <c r="AI264">
        <v>16856562</v>
      </c>
      <c r="AJ264">
        <v>262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ROW(Source!A86)</f>
        <v>86</v>
      </c>
      <c r="B265">
        <v>16856587</v>
      </c>
      <c r="C265">
        <v>16856584</v>
      </c>
      <c r="D265">
        <v>15433629</v>
      </c>
      <c r="E265">
        <v>1</v>
      </c>
      <c r="F265">
        <v>1</v>
      </c>
      <c r="G265">
        <v>1</v>
      </c>
      <c r="H265">
        <v>1</v>
      </c>
      <c r="I265" t="s">
        <v>427</v>
      </c>
      <c r="J265" t="s">
        <v>6</v>
      </c>
      <c r="K265" t="s">
        <v>428</v>
      </c>
      <c r="L265">
        <v>1191</v>
      </c>
      <c r="N265">
        <v>1013</v>
      </c>
      <c r="O265" t="s">
        <v>313</v>
      </c>
      <c r="P265" t="s">
        <v>313</v>
      </c>
      <c r="Q265">
        <v>1</v>
      </c>
      <c r="X265">
        <v>1.03</v>
      </c>
      <c r="Y265">
        <v>0</v>
      </c>
      <c r="Z265">
        <v>0</v>
      </c>
      <c r="AA265">
        <v>0</v>
      </c>
      <c r="AB265">
        <v>7.19</v>
      </c>
      <c r="AC265">
        <v>0</v>
      </c>
      <c r="AD265">
        <v>1</v>
      </c>
      <c r="AE265">
        <v>1</v>
      </c>
      <c r="AF265" t="s">
        <v>6</v>
      </c>
      <c r="AG265">
        <v>1.03</v>
      </c>
      <c r="AH265">
        <v>2</v>
      </c>
      <c r="AI265">
        <v>16856585</v>
      </c>
      <c r="AJ265">
        <v>263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ROW(Source!A86)</f>
        <v>86</v>
      </c>
      <c r="B266">
        <v>16856588</v>
      </c>
      <c r="C266">
        <v>16856584</v>
      </c>
      <c r="D266">
        <v>15170984</v>
      </c>
      <c r="E266">
        <v>1</v>
      </c>
      <c r="F266">
        <v>1</v>
      </c>
      <c r="G266">
        <v>1</v>
      </c>
      <c r="H266">
        <v>3</v>
      </c>
      <c r="I266" t="s">
        <v>429</v>
      </c>
      <c r="J266" t="s">
        <v>430</v>
      </c>
      <c r="K266" t="s">
        <v>431</v>
      </c>
      <c r="L266">
        <v>1355</v>
      </c>
      <c r="N266">
        <v>1010</v>
      </c>
      <c r="O266" t="s">
        <v>395</v>
      </c>
      <c r="P266" t="s">
        <v>395</v>
      </c>
      <c r="Q266">
        <v>100</v>
      </c>
      <c r="X266">
        <v>0.2</v>
      </c>
      <c r="Y266">
        <v>82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0.2</v>
      </c>
      <c r="AH266">
        <v>2</v>
      </c>
      <c r="AI266">
        <v>16856586</v>
      </c>
      <c r="AJ266">
        <v>264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ROW(Source!A87)</f>
        <v>87</v>
      </c>
      <c r="B267">
        <v>16856587</v>
      </c>
      <c r="C267">
        <v>16856584</v>
      </c>
      <c r="D267">
        <v>15433629</v>
      </c>
      <c r="E267">
        <v>1</v>
      </c>
      <c r="F267">
        <v>1</v>
      </c>
      <c r="G267">
        <v>1</v>
      </c>
      <c r="H267">
        <v>1</v>
      </c>
      <c r="I267" t="s">
        <v>427</v>
      </c>
      <c r="J267" t="s">
        <v>6</v>
      </c>
      <c r="K267" t="s">
        <v>428</v>
      </c>
      <c r="L267">
        <v>1191</v>
      </c>
      <c r="N267">
        <v>1013</v>
      </c>
      <c r="O267" t="s">
        <v>313</v>
      </c>
      <c r="P267" t="s">
        <v>313</v>
      </c>
      <c r="Q267">
        <v>1</v>
      </c>
      <c r="X267">
        <v>1.03</v>
      </c>
      <c r="Y267">
        <v>0</v>
      </c>
      <c r="Z267">
        <v>0</v>
      </c>
      <c r="AA267">
        <v>0</v>
      </c>
      <c r="AB267">
        <v>7.19</v>
      </c>
      <c r="AC267">
        <v>0</v>
      </c>
      <c r="AD267">
        <v>1</v>
      </c>
      <c r="AE267">
        <v>1</v>
      </c>
      <c r="AF267" t="s">
        <v>6</v>
      </c>
      <c r="AG267">
        <v>1.03</v>
      </c>
      <c r="AH267">
        <v>2</v>
      </c>
      <c r="AI267">
        <v>16856585</v>
      </c>
      <c r="AJ267">
        <v>265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ROW(Source!A87)</f>
        <v>87</v>
      </c>
      <c r="B268">
        <v>16856588</v>
      </c>
      <c r="C268">
        <v>16856584</v>
      </c>
      <c r="D268">
        <v>15170984</v>
      </c>
      <c r="E268">
        <v>1</v>
      </c>
      <c r="F268">
        <v>1</v>
      </c>
      <c r="G268">
        <v>1</v>
      </c>
      <c r="H268">
        <v>3</v>
      </c>
      <c r="I268" t="s">
        <v>429</v>
      </c>
      <c r="J268" t="s">
        <v>430</v>
      </c>
      <c r="K268" t="s">
        <v>431</v>
      </c>
      <c r="L268">
        <v>1355</v>
      </c>
      <c r="N268">
        <v>1010</v>
      </c>
      <c r="O268" t="s">
        <v>395</v>
      </c>
      <c r="P268" t="s">
        <v>395</v>
      </c>
      <c r="Q268">
        <v>100</v>
      </c>
      <c r="X268">
        <v>0.2</v>
      </c>
      <c r="Y268">
        <v>82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0.2</v>
      </c>
      <c r="AH268">
        <v>2</v>
      </c>
      <c r="AI268">
        <v>16856586</v>
      </c>
      <c r="AJ268">
        <v>266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2018-11-30T09:14:04Z</cp:lastPrinted>
  <dcterms:created xsi:type="dcterms:W3CDTF">2018-11-30T08:41:22Z</dcterms:created>
  <dcterms:modified xsi:type="dcterms:W3CDTF">2018-12-11T12:02:06Z</dcterms:modified>
</cp:coreProperties>
</file>