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ФЕР'!$A$1:$L$563</definedName>
  </definedNames>
  <calcPr calcId="145621"/>
</workbook>
</file>

<file path=xl/calcChain.xml><?xml version="1.0" encoding="utf-8"?>
<calcChain xmlns="http://schemas.openxmlformats.org/spreadsheetml/2006/main">
  <c r="AD7" i="5" l="1"/>
  <c r="C562" i="5"/>
  <c r="C561" i="5"/>
  <c r="C560" i="5"/>
  <c r="Z557" i="5"/>
  <c r="Y557" i="5"/>
  <c r="W557" i="5"/>
  <c r="G556" i="5"/>
  <c r="E556" i="5"/>
  <c r="J555" i="5"/>
  <c r="E555" i="5"/>
  <c r="J554" i="5"/>
  <c r="E554" i="5"/>
  <c r="J553" i="5"/>
  <c r="G553" i="5"/>
  <c r="F553" i="5"/>
  <c r="J552" i="5"/>
  <c r="G552" i="5"/>
  <c r="F552" i="5"/>
  <c r="F551" i="5"/>
  <c r="E551" i="5"/>
  <c r="D551" i="5"/>
  <c r="I551" i="5"/>
  <c r="C551" i="5"/>
  <c r="B551" i="5"/>
  <c r="A551" i="5"/>
  <c r="Z550" i="5"/>
  <c r="Y550" i="5"/>
  <c r="W550" i="5"/>
  <c r="J549" i="5"/>
  <c r="Z549" i="5"/>
  <c r="Y549" i="5"/>
  <c r="W549" i="5"/>
  <c r="F549" i="5"/>
  <c r="D549" i="5"/>
  <c r="C549" i="5"/>
  <c r="B549" i="5"/>
  <c r="A549" i="5"/>
  <c r="G548" i="5"/>
  <c r="E548" i="5"/>
  <c r="J547" i="5"/>
  <c r="E547" i="5"/>
  <c r="J546" i="5"/>
  <c r="E546" i="5"/>
  <c r="J545" i="5"/>
  <c r="G545" i="5"/>
  <c r="F545" i="5"/>
  <c r="J544" i="5"/>
  <c r="G544" i="5"/>
  <c r="F544" i="5"/>
  <c r="J543" i="5"/>
  <c r="G543" i="5"/>
  <c r="F543" i="5"/>
  <c r="J542" i="5"/>
  <c r="G542" i="5"/>
  <c r="F542" i="5"/>
  <c r="F540" i="5"/>
  <c r="D540" i="5"/>
  <c r="I540" i="5"/>
  <c r="C540" i="5"/>
  <c r="B540" i="5"/>
  <c r="A540" i="5"/>
  <c r="Z539" i="5"/>
  <c r="Y539" i="5"/>
  <c r="W539" i="5"/>
  <c r="J538" i="5"/>
  <c r="Z538" i="5"/>
  <c r="Y538" i="5"/>
  <c r="W538" i="5"/>
  <c r="F538" i="5"/>
  <c r="D538" i="5"/>
  <c r="C538" i="5"/>
  <c r="B538" i="5"/>
  <c r="A538" i="5"/>
  <c r="G537" i="5"/>
  <c r="E537" i="5"/>
  <c r="J536" i="5"/>
  <c r="E536" i="5"/>
  <c r="J535" i="5"/>
  <c r="E535" i="5"/>
  <c r="J534" i="5"/>
  <c r="G534" i="5"/>
  <c r="F534" i="5"/>
  <c r="J533" i="5"/>
  <c r="G533" i="5"/>
  <c r="F533" i="5"/>
  <c r="F532" i="5"/>
  <c r="E532" i="5"/>
  <c r="D532" i="5"/>
  <c r="I532" i="5"/>
  <c r="C532" i="5"/>
  <c r="B532" i="5"/>
  <c r="A532" i="5"/>
  <c r="Z531" i="5"/>
  <c r="Y531" i="5"/>
  <c r="W531" i="5"/>
  <c r="J530" i="5"/>
  <c r="Z530" i="5"/>
  <c r="Y530" i="5"/>
  <c r="W530" i="5"/>
  <c r="F530" i="5"/>
  <c r="D530" i="5"/>
  <c r="C530" i="5"/>
  <c r="B530" i="5"/>
  <c r="A530" i="5"/>
  <c r="G529" i="5"/>
  <c r="E529" i="5"/>
  <c r="J528" i="5"/>
  <c r="E528" i="5"/>
  <c r="J527" i="5"/>
  <c r="E527" i="5"/>
  <c r="J526" i="5"/>
  <c r="G526" i="5"/>
  <c r="F526" i="5"/>
  <c r="J525" i="5"/>
  <c r="G525" i="5"/>
  <c r="F525" i="5"/>
  <c r="F523" i="5"/>
  <c r="D523" i="5"/>
  <c r="I523" i="5"/>
  <c r="C523" i="5"/>
  <c r="B523" i="5"/>
  <c r="A523" i="5"/>
  <c r="Z522" i="5"/>
  <c r="Y522" i="5"/>
  <c r="W522" i="5"/>
  <c r="J521" i="5"/>
  <c r="Z521" i="5"/>
  <c r="Y521" i="5"/>
  <c r="W521" i="5"/>
  <c r="F521" i="5"/>
  <c r="D521" i="5"/>
  <c r="C521" i="5"/>
  <c r="B521" i="5"/>
  <c r="A521" i="5"/>
  <c r="G520" i="5"/>
  <c r="E520" i="5"/>
  <c r="J519" i="5"/>
  <c r="E519" i="5"/>
  <c r="J518" i="5"/>
  <c r="E518" i="5"/>
  <c r="J517" i="5"/>
  <c r="G517" i="5"/>
  <c r="F517" i="5"/>
  <c r="J516" i="5"/>
  <c r="G516" i="5"/>
  <c r="F516" i="5"/>
  <c r="F515" i="5"/>
  <c r="E515" i="5"/>
  <c r="D515" i="5"/>
  <c r="I515" i="5"/>
  <c r="C515" i="5"/>
  <c r="B515" i="5"/>
  <c r="A515" i="5"/>
  <c r="Z514" i="5"/>
  <c r="Y514" i="5"/>
  <c r="W514" i="5"/>
  <c r="G513" i="5"/>
  <c r="E513" i="5"/>
  <c r="J512" i="5"/>
  <c r="E512" i="5"/>
  <c r="J511" i="5"/>
  <c r="E511" i="5"/>
  <c r="J510" i="5"/>
  <c r="G510" i="5"/>
  <c r="F510" i="5"/>
  <c r="F509" i="5"/>
  <c r="E509" i="5"/>
  <c r="D509" i="5"/>
  <c r="I509" i="5"/>
  <c r="C509" i="5"/>
  <c r="B509" i="5"/>
  <c r="A509" i="5"/>
  <c r="A508" i="5"/>
  <c r="Y506" i="5"/>
  <c r="X506" i="5"/>
  <c r="W506" i="5"/>
  <c r="G505" i="5"/>
  <c r="E505" i="5"/>
  <c r="J504" i="5"/>
  <c r="E504" i="5"/>
  <c r="J503" i="5"/>
  <c r="E503" i="5"/>
  <c r="J502" i="5"/>
  <c r="G502" i="5"/>
  <c r="F502" i="5"/>
  <c r="F501" i="5"/>
  <c r="E501" i="5"/>
  <c r="D501" i="5"/>
  <c r="I501" i="5"/>
  <c r="C501" i="5"/>
  <c r="B501" i="5"/>
  <c r="A501" i="5"/>
  <c r="Y500" i="5"/>
  <c r="X500" i="5"/>
  <c r="W500" i="5"/>
  <c r="G499" i="5"/>
  <c r="E499" i="5"/>
  <c r="J498" i="5"/>
  <c r="E498" i="5"/>
  <c r="J497" i="5"/>
  <c r="E497" i="5"/>
  <c r="J496" i="5"/>
  <c r="G496" i="5"/>
  <c r="F496" i="5"/>
  <c r="F495" i="5"/>
  <c r="E495" i="5"/>
  <c r="D495" i="5"/>
  <c r="I495" i="5"/>
  <c r="C495" i="5"/>
  <c r="B495" i="5"/>
  <c r="A495" i="5"/>
  <c r="Y494" i="5"/>
  <c r="X494" i="5"/>
  <c r="W494" i="5"/>
  <c r="G493" i="5"/>
  <c r="E493" i="5"/>
  <c r="J492" i="5"/>
  <c r="E492" i="5"/>
  <c r="J491" i="5"/>
  <c r="E491" i="5"/>
  <c r="J490" i="5"/>
  <c r="G490" i="5"/>
  <c r="F490" i="5"/>
  <c r="F489" i="5"/>
  <c r="E489" i="5"/>
  <c r="D489" i="5"/>
  <c r="I489" i="5"/>
  <c r="C489" i="5"/>
  <c r="B489" i="5"/>
  <c r="A489" i="5"/>
  <c r="Y488" i="5"/>
  <c r="X488" i="5"/>
  <c r="W488" i="5"/>
  <c r="G487" i="5"/>
  <c r="E487" i="5"/>
  <c r="J486" i="5"/>
  <c r="E486" i="5"/>
  <c r="J485" i="5"/>
  <c r="E485" i="5"/>
  <c r="J484" i="5"/>
  <c r="G484" i="5"/>
  <c r="F484" i="5"/>
  <c r="F483" i="5"/>
  <c r="E483" i="5"/>
  <c r="D483" i="5"/>
  <c r="I483" i="5"/>
  <c r="C483" i="5"/>
  <c r="B483" i="5"/>
  <c r="A483" i="5"/>
  <c r="Z482" i="5"/>
  <c r="Y482" i="5"/>
  <c r="W482" i="5"/>
  <c r="J481" i="5"/>
  <c r="Z481" i="5"/>
  <c r="Y481" i="5"/>
  <c r="W481" i="5"/>
  <c r="F481" i="5"/>
  <c r="D481" i="5"/>
  <c r="C481" i="5"/>
  <c r="B481" i="5"/>
  <c r="A481" i="5"/>
  <c r="G480" i="5"/>
  <c r="E480" i="5"/>
  <c r="J479" i="5"/>
  <c r="E479" i="5"/>
  <c r="J478" i="5"/>
  <c r="E478" i="5"/>
  <c r="J477" i="5"/>
  <c r="G477" i="5"/>
  <c r="F477" i="5"/>
  <c r="J476" i="5"/>
  <c r="G476" i="5"/>
  <c r="F476" i="5"/>
  <c r="J475" i="5"/>
  <c r="G475" i="5"/>
  <c r="F475" i="5"/>
  <c r="J474" i="5"/>
  <c r="G474" i="5"/>
  <c r="F474" i="5"/>
  <c r="F473" i="5"/>
  <c r="E473" i="5"/>
  <c r="D473" i="5"/>
  <c r="I473" i="5"/>
  <c r="C473" i="5"/>
  <c r="B473" i="5"/>
  <c r="A473" i="5"/>
  <c r="Z472" i="5"/>
  <c r="Y472" i="5"/>
  <c r="W472" i="5"/>
  <c r="J471" i="5"/>
  <c r="Z471" i="5"/>
  <c r="Y471" i="5"/>
  <c r="W471" i="5"/>
  <c r="F471" i="5"/>
  <c r="D471" i="5"/>
  <c r="C471" i="5"/>
  <c r="B471" i="5"/>
  <c r="A471" i="5"/>
  <c r="J470" i="5"/>
  <c r="Z470" i="5"/>
  <c r="Y470" i="5"/>
  <c r="W470" i="5"/>
  <c r="F470" i="5"/>
  <c r="D470" i="5"/>
  <c r="C470" i="5"/>
  <c r="B470" i="5"/>
  <c r="A470" i="5"/>
  <c r="J469" i="5"/>
  <c r="Z469" i="5"/>
  <c r="Y469" i="5"/>
  <c r="W469" i="5"/>
  <c r="F469" i="5"/>
  <c r="D469" i="5"/>
  <c r="C469" i="5"/>
  <c r="B469" i="5"/>
  <c r="A469" i="5"/>
  <c r="J468" i="5"/>
  <c r="Z468" i="5"/>
  <c r="Y468" i="5"/>
  <c r="W468" i="5"/>
  <c r="F468" i="5"/>
  <c r="D468" i="5"/>
  <c r="C468" i="5"/>
  <c r="B468" i="5"/>
  <c r="A468" i="5"/>
  <c r="J467" i="5"/>
  <c r="Z467" i="5"/>
  <c r="Y467" i="5"/>
  <c r="W467" i="5"/>
  <c r="F467" i="5"/>
  <c r="D467" i="5"/>
  <c r="C467" i="5"/>
  <c r="B467" i="5"/>
  <c r="A467" i="5"/>
  <c r="G466" i="5"/>
  <c r="E466" i="5"/>
  <c r="J465" i="5"/>
  <c r="E465" i="5"/>
  <c r="J464" i="5"/>
  <c r="E464" i="5"/>
  <c r="J463" i="5"/>
  <c r="G463" i="5"/>
  <c r="F463" i="5"/>
  <c r="J462" i="5"/>
  <c r="G462" i="5"/>
  <c r="F462" i="5"/>
  <c r="J461" i="5"/>
  <c r="G461" i="5"/>
  <c r="F461" i="5"/>
  <c r="F460" i="5"/>
  <c r="E460" i="5"/>
  <c r="D460" i="5"/>
  <c r="I460" i="5"/>
  <c r="C460" i="5"/>
  <c r="B460" i="5"/>
  <c r="A460" i="5"/>
  <c r="Z459" i="5"/>
  <c r="Y459" i="5"/>
  <c r="W459" i="5"/>
  <c r="J458" i="5"/>
  <c r="Z458" i="5"/>
  <c r="Y458" i="5"/>
  <c r="W458" i="5"/>
  <c r="F458" i="5"/>
  <c r="D458" i="5"/>
  <c r="C458" i="5"/>
  <c r="B458" i="5"/>
  <c r="A458" i="5"/>
  <c r="G457" i="5"/>
  <c r="E457" i="5"/>
  <c r="J456" i="5"/>
  <c r="E456" i="5"/>
  <c r="J455" i="5"/>
  <c r="E455" i="5"/>
  <c r="J454" i="5"/>
  <c r="G454" i="5"/>
  <c r="F454" i="5"/>
  <c r="J453" i="5"/>
  <c r="G453" i="5"/>
  <c r="F453" i="5"/>
  <c r="J452" i="5"/>
  <c r="G452" i="5"/>
  <c r="F452" i="5"/>
  <c r="J451" i="5"/>
  <c r="G451" i="5"/>
  <c r="F451" i="5"/>
  <c r="F450" i="5"/>
  <c r="E450" i="5"/>
  <c r="D450" i="5"/>
  <c r="I450" i="5"/>
  <c r="C450" i="5"/>
  <c r="B450" i="5"/>
  <c r="A450" i="5"/>
  <c r="Z449" i="5"/>
  <c r="Y449" i="5"/>
  <c r="W449" i="5"/>
  <c r="J448" i="5"/>
  <c r="Z448" i="5"/>
  <c r="Y448" i="5"/>
  <c r="W448" i="5"/>
  <c r="F448" i="5"/>
  <c r="D448" i="5"/>
  <c r="C448" i="5"/>
  <c r="B448" i="5"/>
  <c r="A448" i="5"/>
  <c r="J447" i="5"/>
  <c r="Z447" i="5"/>
  <c r="Y447" i="5"/>
  <c r="W447" i="5"/>
  <c r="F447" i="5"/>
  <c r="D447" i="5"/>
  <c r="C447" i="5"/>
  <c r="B447" i="5"/>
  <c r="A447" i="5"/>
  <c r="G446" i="5"/>
  <c r="E446" i="5"/>
  <c r="J445" i="5"/>
  <c r="E445" i="5"/>
  <c r="J444" i="5"/>
  <c r="E444" i="5"/>
  <c r="J443" i="5"/>
  <c r="G443" i="5"/>
  <c r="F443" i="5"/>
  <c r="J442" i="5"/>
  <c r="G442" i="5"/>
  <c r="F442" i="5"/>
  <c r="J441" i="5"/>
  <c r="G441" i="5"/>
  <c r="F441" i="5"/>
  <c r="J440" i="5"/>
  <c r="G440" i="5"/>
  <c r="F440" i="5"/>
  <c r="F438" i="5"/>
  <c r="D438" i="5"/>
  <c r="I438" i="5"/>
  <c r="C438" i="5"/>
  <c r="B438" i="5"/>
  <c r="A438" i="5"/>
  <c r="Z437" i="5"/>
  <c r="Y437" i="5"/>
  <c r="W437" i="5"/>
  <c r="J436" i="5"/>
  <c r="Z436" i="5"/>
  <c r="Y436" i="5"/>
  <c r="W436" i="5"/>
  <c r="F436" i="5"/>
  <c r="D436" i="5"/>
  <c r="C436" i="5"/>
  <c r="B436" i="5"/>
  <c r="A436" i="5"/>
  <c r="G435" i="5"/>
  <c r="E435" i="5"/>
  <c r="J434" i="5"/>
  <c r="E434" i="5"/>
  <c r="J433" i="5"/>
  <c r="E433" i="5"/>
  <c r="J432" i="5"/>
  <c r="G432" i="5"/>
  <c r="F432" i="5"/>
  <c r="J431" i="5"/>
  <c r="G431" i="5"/>
  <c r="F431" i="5"/>
  <c r="J430" i="5"/>
  <c r="G430" i="5"/>
  <c r="F430" i="5"/>
  <c r="J429" i="5"/>
  <c r="G429" i="5"/>
  <c r="F429" i="5"/>
  <c r="F427" i="5"/>
  <c r="D427" i="5"/>
  <c r="I427" i="5"/>
  <c r="C427" i="5"/>
  <c r="B427" i="5"/>
  <c r="A427" i="5"/>
  <c r="Z426" i="5"/>
  <c r="Y426" i="5"/>
  <c r="W426" i="5"/>
  <c r="J425" i="5"/>
  <c r="Z425" i="5"/>
  <c r="Y425" i="5"/>
  <c r="W425" i="5"/>
  <c r="F425" i="5"/>
  <c r="D425" i="5"/>
  <c r="C425" i="5"/>
  <c r="B425" i="5"/>
  <c r="A425" i="5"/>
  <c r="G424" i="5"/>
  <c r="E424" i="5"/>
  <c r="J423" i="5"/>
  <c r="E423" i="5"/>
  <c r="J422" i="5"/>
  <c r="E422" i="5"/>
  <c r="J421" i="5"/>
  <c r="G421" i="5"/>
  <c r="F421" i="5"/>
  <c r="J420" i="5"/>
  <c r="G420" i="5"/>
  <c r="F420" i="5"/>
  <c r="J419" i="5"/>
  <c r="G419" i="5"/>
  <c r="F419" i="5"/>
  <c r="J418" i="5"/>
  <c r="G418" i="5"/>
  <c r="F418" i="5"/>
  <c r="F417" i="5"/>
  <c r="E417" i="5"/>
  <c r="D417" i="5"/>
  <c r="I417" i="5"/>
  <c r="C417" i="5"/>
  <c r="B417" i="5"/>
  <c r="A417" i="5"/>
  <c r="Z416" i="5"/>
  <c r="Y416" i="5"/>
  <c r="W416" i="5"/>
  <c r="J415" i="5"/>
  <c r="Z415" i="5"/>
  <c r="Y415" i="5"/>
  <c r="W415" i="5"/>
  <c r="F415" i="5"/>
  <c r="D415" i="5"/>
  <c r="C415" i="5"/>
  <c r="B415" i="5"/>
  <c r="A415" i="5"/>
  <c r="G414" i="5"/>
  <c r="E414" i="5"/>
  <c r="J413" i="5"/>
  <c r="E413" i="5"/>
  <c r="J412" i="5"/>
  <c r="E412" i="5"/>
  <c r="J411" i="5"/>
  <c r="G411" i="5"/>
  <c r="F411" i="5"/>
  <c r="J410" i="5"/>
  <c r="G410" i="5"/>
  <c r="F410" i="5"/>
  <c r="J409" i="5"/>
  <c r="G409" i="5"/>
  <c r="F409" i="5"/>
  <c r="J408" i="5"/>
  <c r="G408" i="5"/>
  <c r="F408" i="5"/>
  <c r="F406" i="5"/>
  <c r="D406" i="5"/>
  <c r="I406" i="5"/>
  <c r="C406" i="5"/>
  <c r="B406" i="5"/>
  <c r="A406" i="5"/>
  <c r="Z405" i="5"/>
  <c r="Y405" i="5"/>
  <c r="W405" i="5"/>
  <c r="J404" i="5"/>
  <c r="Z404" i="5"/>
  <c r="Y404" i="5"/>
  <c r="W404" i="5"/>
  <c r="F404" i="5"/>
  <c r="D404" i="5"/>
  <c r="C404" i="5"/>
  <c r="B404" i="5"/>
  <c r="A404" i="5"/>
  <c r="G403" i="5"/>
  <c r="E403" i="5"/>
  <c r="J402" i="5"/>
  <c r="E402" i="5"/>
  <c r="J401" i="5"/>
  <c r="E401" i="5"/>
  <c r="J400" i="5"/>
  <c r="G400" i="5"/>
  <c r="F400" i="5"/>
  <c r="J399" i="5"/>
  <c r="G399" i="5"/>
  <c r="F399" i="5"/>
  <c r="F398" i="5"/>
  <c r="E398" i="5"/>
  <c r="D398" i="5"/>
  <c r="I398" i="5"/>
  <c r="C398" i="5"/>
  <c r="B398" i="5"/>
  <c r="A398" i="5"/>
  <c r="Z397" i="5"/>
  <c r="Y397" i="5"/>
  <c r="W397" i="5"/>
  <c r="J396" i="5"/>
  <c r="Z396" i="5"/>
  <c r="Y396" i="5"/>
  <c r="W396" i="5"/>
  <c r="F396" i="5"/>
  <c r="D396" i="5"/>
  <c r="C396" i="5"/>
  <c r="B396" i="5"/>
  <c r="A396" i="5"/>
  <c r="G395" i="5"/>
  <c r="E395" i="5"/>
  <c r="J394" i="5"/>
  <c r="E394" i="5"/>
  <c r="J393" i="5"/>
  <c r="E393" i="5"/>
  <c r="J392" i="5"/>
  <c r="G392" i="5"/>
  <c r="F392" i="5"/>
  <c r="J391" i="5"/>
  <c r="G391" i="5"/>
  <c r="F391" i="5"/>
  <c r="J390" i="5"/>
  <c r="G390" i="5"/>
  <c r="F390" i="5"/>
  <c r="J389" i="5"/>
  <c r="G389" i="5"/>
  <c r="F389" i="5"/>
  <c r="F387" i="5"/>
  <c r="D387" i="5"/>
  <c r="I387" i="5"/>
  <c r="C387" i="5"/>
  <c r="B387" i="5"/>
  <c r="A387" i="5"/>
  <c r="Z386" i="5"/>
  <c r="Y386" i="5"/>
  <c r="W386" i="5"/>
  <c r="J385" i="5"/>
  <c r="Z385" i="5"/>
  <c r="Y385" i="5"/>
  <c r="W385" i="5"/>
  <c r="F385" i="5"/>
  <c r="D385" i="5"/>
  <c r="C385" i="5"/>
  <c r="B385" i="5"/>
  <c r="A385" i="5"/>
  <c r="G384" i="5"/>
  <c r="E384" i="5"/>
  <c r="J383" i="5"/>
  <c r="E383" i="5"/>
  <c r="J382" i="5"/>
  <c r="E382" i="5"/>
  <c r="J381" i="5"/>
  <c r="G381" i="5"/>
  <c r="F381" i="5"/>
  <c r="J380" i="5"/>
  <c r="G380" i="5"/>
  <c r="F380" i="5"/>
  <c r="F379" i="5"/>
  <c r="E379" i="5"/>
  <c r="D379" i="5"/>
  <c r="I379" i="5"/>
  <c r="C379" i="5"/>
  <c r="B379" i="5"/>
  <c r="A379" i="5"/>
  <c r="Z378" i="5"/>
  <c r="Y378" i="5"/>
  <c r="W378" i="5"/>
  <c r="J377" i="5"/>
  <c r="Z377" i="5"/>
  <c r="Y377" i="5"/>
  <c r="W377" i="5"/>
  <c r="F377" i="5"/>
  <c r="D377" i="5"/>
  <c r="C377" i="5"/>
  <c r="B377" i="5"/>
  <c r="A377" i="5"/>
  <c r="G376" i="5"/>
  <c r="E376" i="5"/>
  <c r="J375" i="5"/>
  <c r="E375" i="5"/>
  <c r="J374" i="5"/>
  <c r="E374" i="5"/>
  <c r="J373" i="5"/>
  <c r="G373" i="5"/>
  <c r="F373" i="5"/>
  <c r="J372" i="5"/>
  <c r="G372" i="5"/>
  <c r="F372" i="5"/>
  <c r="J371" i="5"/>
  <c r="G371" i="5"/>
  <c r="F371" i="5"/>
  <c r="J370" i="5"/>
  <c r="G370" i="5"/>
  <c r="F370" i="5"/>
  <c r="F368" i="5"/>
  <c r="D368" i="5"/>
  <c r="I368" i="5"/>
  <c r="C368" i="5"/>
  <c r="B368" i="5"/>
  <c r="A368" i="5"/>
  <c r="Z367" i="5"/>
  <c r="Y367" i="5"/>
  <c r="X367" i="5"/>
  <c r="G366" i="5"/>
  <c r="E366" i="5"/>
  <c r="J365" i="5"/>
  <c r="E365" i="5"/>
  <c r="J364" i="5"/>
  <c r="E364" i="5"/>
  <c r="J363" i="5"/>
  <c r="G363" i="5"/>
  <c r="F363" i="5"/>
  <c r="F362" i="5"/>
  <c r="E362" i="5"/>
  <c r="D362" i="5"/>
  <c r="I362" i="5"/>
  <c r="C362" i="5"/>
  <c r="B362" i="5"/>
  <c r="A362" i="5"/>
  <c r="Z361" i="5"/>
  <c r="Y361" i="5"/>
  <c r="X361" i="5"/>
  <c r="G360" i="5"/>
  <c r="E360" i="5"/>
  <c r="J359" i="5"/>
  <c r="E359" i="5"/>
  <c r="J358" i="5"/>
  <c r="E358" i="5"/>
  <c r="J357" i="5"/>
  <c r="G357" i="5"/>
  <c r="F357" i="5"/>
  <c r="F356" i="5"/>
  <c r="E356" i="5"/>
  <c r="D356" i="5"/>
  <c r="I356" i="5"/>
  <c r="C356" i="5"/>
  <c r="B356" i="5"/>
  <c r="A356" i="5"/>
  <c r="Z355" i="5"/>
  <c r="Y355" i="5"/>
  <c r="W355" i="5"/>
  <c r="G354" i="5"/>
  <c r="E354" i="5"/>
  <c r="J353" i="5"/>
  <c r="E353" i="5"/>
  <c r="J352" i="5"/>
  <c r="E352" i="5"/>
  <c r="J351" i="5"/>
  <c r="G351" i="5"/>
  <c r="F351" i="5"/>
  <c r="J350" i="5"/>
  <c r="G350" i="5"/>
  <c r="F350" i="5"/>
  <c r="J349" i="5"/>
  <c r="G349" i="5"/>
  <c r="F349" i="5"/>
  <c r="F348" i="5"/>
  <c r="E348" i="5"/>
  <c r="D348" i="5"/>
  <c r="I348" i="5"/>
  <c r="C348" i="5"/>
  <c r="B348" i="5"/>
  <c r="A348" i="5"/>
  <c r="Z347" i="5"/>
  <c r="Y347" i="5"/>
  <c r="W347" i="5"/>
  <c r="G346" i="5"/>
  <c r="E346" i="5"/>
  <c r="J345" i="5"/>
  <c r="E345" i="5"/>
  <c r="J344" i="5"/>
  <c r="E344" i="5"/>
  <c r="J343" i="5"/>
  <c r="G343" i="5"/>
  <c r="F343" i="5"/>
  <c r="J342" i="5"/>
  <c r="G342" i="5"/>
  <c r="F342" i="5"/>
  <c r="F341" i="5"/>
  <c r="E341" i="5"/>
  <c r="D341" i="5"/>
  <c r="I341" i="5"/>
  <c r="C341" i="5"/>
  <c r="B341" i="5"/>
  <c r="A341" i="5"/>
  <c r="Z340" i="5"/>
  <c r="Y340" i="5"/>
  <c r="W340" i="5"/>
  <c r="G339" i="5"/>
  <c r="E339" i="5"/>
  <c r="J338" i="5"/>
  <c r="E338" i="5"/>
  <c r="J337" i="5"/>
  <c r="E337" i="5"/>
  <c r="J336" i="5"/>
  <c r="G336" i="5"/>
  <c r="F336" i="5"/>
  <c r="J335" i="5"/>
  <c r="G335" i="5"/>
  <c r="F335" i="5"/>
  <c r="J334" i="5"/>
  <c r="G334" i="5"/>
  <c r="F334" i="5"/>
  <c r="F332" i="5"/>
  <c r="D332" i="5"/>
  <c r="I332" i="5"/>
  <c r="C332" i="5"/>
  <c r="B332" i="5"/>
  <c r="A332" i="5"/>
  <c r="Z331" i="5"/>
  <c r="Y331" i="5"/>
  <c r="W331" i="5"/>
  <c r="G330" i="5"/>
  <c r="E330" i="5"/>
  <c r="J329" i="5"/>
  <c r="E329" i="5"/>
  <c r="J328" i="5"/>
  <c r="E328" i="5"/>
  <c r="J327" i="5"/>
  <c r="G327" i="5"/>
  <c r="F327" i="5"/>
  <c r="J326" i="5"/>
  <c r="G326" i="5"/>
  <c r="F326" i="5"/>
  <c r="J325" i="5"/>
  <c r="G325" i="5"/>
  <c r="F325" i="5"/>
  <c r="F323" i="5"/>
  <c r="D323" i="5"/>
  <c r="I323" i="5"/>
  <c r="C323" i="5"/>
  <c r="B323" i="5"/>
  <c r="A323" i="5"/>
  <c r="Z322" i="5"/>
  <c r="Y322" i="5"/>
  <c r="X322" i="5"/>
  <c r="G321" i="5"/>
  <c r="E321" i="5"/>
  <c r="J320" i="5"/>
  <c r="E320" i="5"/>
  <c r="J319" i="5"/>
  <c r="E319" i="5"/>
  <c r="J318" i="5"/>
  <c r="G318" i="5"/>
  <c r="F318" i="5"/>
  <c r="J317" i="5"/>
  <c r="G317" i="5"/>
  <c r="F317" i="5"/>
  <c r="J316" i="5"/>
  <c r="G316" i="5"/>
  <c r="F316" i="5"/>
  <c r="F315" i="5"/>
  <c r="E315" i="5"/>
  <c r="D315" i="5"/>
  <c r="I315" i="5"/>
  <c r="C315" i="5"/>
  <c r="B315" i="5"/>
  <c r="A315" i="5"/>
  <c r="A314" i="5"/>
  <c r="Z312" i="5"/>
  <c r="Y312" i="5"/>
  <c r="X312" i="5"/>
  <c r="G311" i="5"/>
  <c r="E311" i="5"/>
  <c r="J310" i="5"/>
  <c r="E310" i="5"/>
  <c r="J309" i="5"/>
  <c r="E309" i="5"/>
  <c r="J308" i="5"/>
  <c r="G308" i="5"/>
  <c r="F308" i="5"/>
  <c r="F307" i="5"/>
  <c r="E307" i="5"/>
  <c r="D307" i="5"/>
  <c r="I307" i="5"/>
  <c r="C307" i="5"/>
  <c r="B307" i="5"/>
  <c r="A307" i="5"/>
  <c r="Z306" i="5"/>
  <c r="Y306" i="5"/>
  <c r="X306" i="5"/>
  <c r="J305" i="5"/>
  <c r="Z305" i="5"/>
  <c r="Y305" i="5"/>
  <c r="X305" i="5"/>
  <c r="F305" i="5"/>
  <c r="D305" i="5"/>
  <c r="C305" i="5"/>
  <c r="B305" i="5"/>
  <c r="A305" i="5"/>
  <c r="J304" i="5"/>
  <c r="Z304" i="5"/>
  <c r="Y304" i="5"/>
  <c r="X304" i="5"/>
  <c r="F304" i="5"/>
  <c r="D304" i="5"/>
  <c r="C304" i="5"/>
  <c r="B304" i="5"/>
  <c r="A304" i="5"/>
  <c r="G303" i="5"/>
  <c r="E303" i="5"/>
  <c r="J302" i="5"/>
  <c r="F302" i="5"/>
  <c r="E302" i="5"/>
  <c r="J301" i="5"/>
  <c r="F301" i="5"/>
  <c r="E301" i="5"/>
  <c r="J300" i="5"/>
  <c r="G300" i="5"/>
  <c r="F300" i="5"/>
  <c r="J299" i="5"/>
  <c r="G299" i="5"/>
  <c r="F299" i="5"/>
  <c r="J298" i="5"/>
  <c r="G298" i="5"/>
  <c r="F298" i="5"/>
  <c r="J297" i="5"/>
  <c r="G297" i="5"/>
  <c r="F297" i="5"/>
  <c r="F296" i="5"/>
  <c r="E296" i="5"/>
  <c r="D296" i="5"/>
  <c r="I296" i="5"/>
  <c r="C296" i="5"/>
  <c r="B296" i="5"/>
  <c r="A296" i="5"/>
  <c r="Z295" i="5"/>
  <c r="Y295" i="5"/>
  <c r="X295" i="5"/>
  <c r="J294" i="5"/>
  <c r="Z294" i="5"/>
  <c r="Y294" i="5"/>
  <c r="X294" i="5"/>
  <c r="F294" i="5"/>
  <c r="D294" i="5"/>
  <c r="C294" i="5"/>
  <c r="B294" i="5"/>
  <c r="A294" i="5"/>
  <c r="G293" i="5"/>
  <c r="E293" i="5"/>
  <c r="J292" i="5"/>
  <c r="F292" i="5"/>
  <c r="E292" i="5"/>
  <c r="J291" i="5"/>
  <c r="F291" i="5"/>
  <c r="E291" i="5"/>
  <c r="J290" i="5"/>
  <c r="G290" i="5"/>
  <c r="F290" i="5"/>
  <c r="J289" i="5"/>
  <c r="G289" i="5"/>
  <c r="F289" i="5"/>
  <c r="J288" i="5"/>
  <c r="G288" i="5"/>
  <c r="F288" i="5"/>
  <c r="J287" i="5"/>
  <c r="G287" i="5"/>
  <c r="F287" i="5"/>
  <c r="F286" i="5"/>
  <c r="E286" i="5"/>
  <c r="D286" i="5"/>
  <c r="I286" i="5"/>
  <c r="C286" i="5"/>
  <c r="B286" i="5"/>
  <c r="A286" i="5"/>
  <c r="Z285" i="5"/>
  <c r="Y285" i="5"/>
  <c r="X285" i="5"/>
  <c r="J284" i="5"/>
  <c r="Z284" i="5"/>
  <c r="Y284" i="5"/>
  <c r="X284" i="5"/>
  <c r="F284" i="5"/>
  <c r="D284" i="5"/>
  <c r="C284" i="5"/>
  <c r="B284" i="5"/>
  <c r="A284" i="5"/>
  <c r="J283" i="5"/>
  <c r="Z283" i="5"/>
  <c r="Y283" i="5"/>
  <c r="X283" i="5"/>
  <c r="F283" i="5"/>
  <c r="D283" i="5"/>
  <c r="C283" i="5"/>
  <c r="B283" i="5"/>
  <c r="A283" i="5"/>
  <c r="G282" i="5"/>
  <c r="E282" i="5"/>
  <c r="J281" i="5"/>
  <c r="F281" i="5"/>
  <c r="E281" i="5"/>
  <c r="J280" i="5"/>
  <c r="F280" i="5"/>
  <c r="E280" i="5"/>
  <c r="J279" i="5"/>
  <c r="G279" i="5"/>
  <c r="F279" i="5"/>
  <c r="J278" i="5"/>
  <c r="G278" i="5"/>
  <c r="F278" i="5"/>
  <c r="J277" i="5"/>
  <c r="G277" i="5"/>
  <c r="F277" i="5"/>
  <c r="J276" i="5"/>
  <c r="G276" i="5"/>
  <c r="F276" i="5"/>
  <c r="F275" i="5"/>
  <c r="E275" i="5"/>
  <c r="D275" i="5"/>
  <c r="I275" i="5"/>
  <c r="C275" i="5"/>
  <c r="B275" i="5"/>
  <c r="A275" i="5"/>
  <c r="Z274" i="5"/>
  <c r="Y274" i="5"/>
  <c r="X274" i="5"/>
  <c r="G273" i="5"/>
  <c r="E273" i="5"/>
  <c r="J272" i="5"/>
  <c r="E272" i="5"/>
  <c r="J271" i="5"/>
  <c r="E271" i="5"/>
  <c r="J270" i="5"/>
  <c r="G270" i="5"/>
  <c r="F270" i="5"/>
  <c r="J269" i="5"/>
  <c r="G269" i="5"/>
  <c r="F269" i="5"/>
  <c r="J268" i="5"/>
  <c r="G268" i="5"/>
  <c r="F268" i="5"/>
  <c r="F267" i="5"/>
  <c r="E267" i="5"/>
  <c r="D267" i="5"/>
  <c r="I267" i="5"/>
  <c r="C267" i="5"/>
  <c r="B267" i="5"/>
  <c r="A267" i="5"/>
  <c r="A266" i="5"/>
  <c r="Z264" i="5"/>
  <c r="Y264" i="5"/>
  <c r="X264" i="5"/>
  <c r="J263" i="5"/>
  <c r="G263" i="5"/>
  <c r="F263" i="5"/>
  <c r="U263" i="5"/>
  <c r="S263" i="5"/>
  <c r="E263" i="5"/>
  <c r="D263" i="5"/>
  <c r="I263" i="5"/>
  <c r="C263" i="5"/>
  <c r="B263" i="5"/>
  <c r="A263" i="5"/>
  <c r="Z262" i="5"/>
  <c r="Y262" i="5"/>
  <c r="X262" i="5"/>
  <c r="J261" i="5"/>
  <c r="G261" i="5"/>
  <c r="F261" i="5"/>
  <c r="U261" i="5"/>
  <c r="S261" i="5"/>
  <c r="E261" i="5"/>
  <c r="D261" i="5"/>
  <c r="I261" i="5"/>
  <c r="C261" i="5"/>
  <c r="B261" i="5"/>
  <c r="A261" i="5"/>
  <c r="Z260" i="5"/>
  <c r="Y260" i="5"/>
  <c r="X260" i="5"/>
  <c r="G259" i="5"/>
  <c r="E259" i="5"/>
  <c r="J258" i="5"/>
  <c r="E258" i="5"/>
  <c r="J257" i="5"/>
  <c r="E257" i="5"/>
  <c r="J256" i="5"/>
  <c r="G256" i="5"/>
  <c r="F256" i="5"/>
  <c r="J255" i="5"/>
  <c r="G255" i="5"/>
  <c r="F255" i="5"/>
  <c r="F254" i="5"/>
  <c r="E254" i="5"/>
  <c r="D254" i="5"/>
  <c r="I254" i="5"/>
  <c r="C254" i="5"/>
  <c r="B254" i="5"/>
  <c r="A254" i="5"/>
  <c r="Z253" i="5"/>
  <c r="Y253" i="5"/>
  <c r="X253" i="5"/>
  <c r="J252" i="5"/>
  <c r="Z252" i="5"/>
  <c r="Y252" i="5"/>
  <c r="X252" i="5"/>
  <c r="F252" i="5"/>
  <c r="D252" i="5"/>
  <c r="C252" i="5"/>
  <c r="B252" i="5"/>
  <c r="A252" i="5"/>
  <c r="G251" i="5"/>
  <c r="E251" i="5"/>
  <c r="J250" i="5"/>
  <c r="E250" i="5"/>
  <c r="J249" i="5"/>
  <c r="E249" i="5"/>
  <c r="J248" i="5"/>
  <c r="G248" i="5"/>
  <c r="F248" i="5"/>
  <c r="J247" i="5"/>
  <c r="G247" i="5"/>
  <c r="F247" i="5"/>
  <c r="J246" i="5"/>
  <c r="G246" i="5"/>
  <c r="F246" i="5"/>
  <c r="J245" i="5"/>
  <c r="G245" i="5"/>
  <c r="F245" i="5"/>
  <c r="F243" i="5"/>
  <c r="D243" i="5"/>
  <c r="I243" i="5"/>
  <c r="C243" i="5"/>
  <c r="B243" i="5"/>
  <c r="A243" i="5"/>
  <c r="Z242" i="5"/>
  <c r="Y242" i="5"/>
  <c r="X242" i="5"/>
  <c r="G241" i="5"/>
  <c r="E241" i="5"/>
  <c r="J240" i="5"/>
  <c r="F240" i="5"/>
  <c r="E240" i="5"/>
  <c r="J239" i="5"/>
  <c r="F239" i="5"/>
  <c r="E239" i="5"/>
  <c r="J238" i="5"/>
  <c r="G238" i="5"/>
  <c r="F238" i="5"/>
  <c r="J237" i="5"/>
  <c r="G237" i="5"/>
  <c r="F237" i="5"/>
  <c r="J236" i="5"/>
  <c r="G236" i="5"/>
  <c r="F236" i="5"/>
  <c r="J235" i="5"/>
  <c r="G235" i="5"/>
  <c r="F235" i="5"/>
  <c r="F233" i="5"/>
  <c r="D233" i="5"/>
  <c r="I233" i="5"/>
  <c r="C233" i="5"/>
  <c r="B233" i="5"/>
  <c r="A233" i="5"/>
  <c r="Z232" i="5"/>
  <c r="Y232" i="5"/>
  <c r="X232" i="5"/>
  <c r="J231" i="5"/>
  <c r="Z231" i="5"/>
  <c r="Y231" i="5"/>
  <c r="X231" i="5"/>
  <c r="F231" i="5"/>
  <c r="D231" i="5"/>
  <c r="C231" i="5"/>
  <c r="B231" i="5"/>
  <c r="A231" i="5"/>
  <c r="J230" i="5"/>
  <c r="Z230" i="5"/>
  <c r="Y230" i="5"/>
  <c r="X230" i="5"/>
  <c r="F230" i="5"/>
  <c r="D230" i="5"/>
  <c r="C230" i="5"/>
  <c r="B230" i="5"/>
  <c r="A230" i="5"/>
  <c r="G229" i="5"/>
  <c r="E229" i="5"/>
  <c r="J228" i="5"/>
  <c r="F228" i="5"/>
  <c r="E228" i="5"/>
  <c r="J227" i="5"/>
  <c r="F227" i="5"/>
  <c r="E227" i="5"/>
  <c r="J226" i="5"/>
  <c r="G226" i="5"/>
  <c r="F226" i="5"/>
  <c r="J225" i="5"/>
  <c r="G225" i="5"/>
  <c r="F225" i="5"/>
  <c r="J224" i="5"/>
  <c r="G224" i="5"/>
  <c r="F224" i="5"/>
  <c r="J223" i="5"/>
  <c r="G223" i="5"/>
  <c r="F223" i="5"/>
  <c r="F222" i="5"/>
  <c r="E222" i="5"/>
  <c r="D222" i="5"/>
  <c r="I222" i="5"/>
  <c r="C222" i="5"/>
  <c r="B222" i="5"/>
  <c r="A222" i="5"/>
  <c r="Z221" i="5"/>
  <c r="Y221" i="5"/>
  <c r="X221" i="5"/>
  <c r="J220" i="5"/>
  <c r="Z220" i="5"/>
  <c r="Y220" i="5"/>
  <c r="X220" i="5"/>
  <c r="F220" i="5"/>
  <c r="D220" i="5"/>
  <c r="C220" i="5"/>
  <c r="B220" i="5"/>
  <c r="A220" i="5"/>
  <c r="J219" i="5"/>
  <c r="Z219" i="5"/>
  <c r="Y219" i="5"/>
  <c r="X219" i="5"/>
  <c r="F219" i="5"/>
  <c r="D219" i="5"/>
  <c r="C219" i="5"/>
  <c r="B219" i="5"/>
  <c r="A219" i="5"/>
  <c r="G218" i="5"/>
  <c r="E218" i="5"/>
  <c r="J217" i="5"/>
  <c r="F217" i="5"/>
  <c r="E217" i="5"/>
  <c r="J216" i="5"/>
  <c r="F216" i="5"/>
  <c r="E216" i="5"/>
  <c r="J215" i="5"/>
  <c r="G215" i="5"/>
  <c r="F215" i="5"/>
  <c r="J214" i="5"/>
  <c r="G214" i="5"/>
  <c r="F214" i="5"/>
  <c r="J213" i="5"/>
  <c r="G213" i="5"/>
  <c r="F213" i="5"/>
  <c r="J212" i="5"/>
  <c r="G212" i="5"/>
  <c r="F212" i="5"/>
  <c r="F211" i="5"/>
  <c r="E211" i="5"/>
  <c r="D211" i="5"/>
  <c r="I211" i="5"/>
  <c r="C211" i="5"/>
  <c r="B211" i="5"/>
  <c r="A211" i="5"/>
  <c r="Z210" i="5"/>
  <c r="Y210" i="5"/>
  <c r="X210" i="5"/>
  <c r="J209" i="5"/>
  <c r="Z209" i="5"/>
  <c r="Y209" i="5"/>
  <c r="X209" i="5"/>
  <c r="F209" i="5"/>
  <c r="D209" i="5"/>
  <c r="C209" i="5"/>
  <c r="B209" i="5"/>
  <c r="A209" i="5"/>
  <c r="J208" i="5"/>
  <c r="Z208" i="5"/>
  <c r="Y208" i="5"/>
  <c r="X208" i="5"/>
  <c r="F208" i="5"/>
  <c r="D208" i="5"/>
  <c r="C208" i="5"/>
  <c r="B208" i="5"/>
  <c r="A208" i="5"/>
  <c r="G207" i="5"/>
  <c r="E207" i="5"/>
  <c r="J206" i="5"/>
  <c r="E206" i="5"/>
  <c r="J205" i="5"/>
  <c r="E205" i="5"/>
  <c r="J204" i="5"/>
  <c r="G204" i="5"/>
  <c r="F204" i="5"/>
  <c r="J203" i="5"/>
  <c r="G203" i="5"/>
  <c r="F203" i="5"/>
  <c r="J202" i="5"/>
  <c r="G202" i="5"/>
  <c r="F202" i="5"/>
  <c r="J201" i="5"/>
  <c r="G201" i="5"/>
  <c r="F201" i="5"/>
  <c r="F200" i="5"/>
  <c r="E200" i="5"/>
  <c r="D200" i="5"/>
  <c r="I200" i="5"/>
  <c r="C200" i="5"/>
  <c r="B200" i="5"/>
  <c r="A200" i="5"/>
  <c r="Z199" i="5"/>
  <c r="Y199" i="5"/>
  <c r="X199" i="5"/>
  <c r="G198" i="5"/>
  <c r="E198" i="5"/>
  <c r="J197" i="5"/>
  <c r="F197" i="5"/>
  <c r="E197" i="5"/>
  <c r="J196" i="5"/>
  <c r="F196" i="5"/>
  <c r="E196" i="5"/>
  <c r="J195" i="5"/>
  <c r="G195" i="5"/>
  <c r="F195" i="5"/>
  <c r="J194" i="5"/>
  <c r="G194" i="5"/>
  <c r="F194" i="5"/>
  <c r="J193" i="5"/>
  <c r="G193" i="5"/>
  <c r="F193" i="5"/>
  <c r="J192" i="5"/>
  <c r="G192" i="5"/>
  <c r="F192" i="5"/>
  <c r="F191" i="5"/>
  <c r="E191" i="5"/>
  <c r="D191" i="5"/>
  <c r="I191" i="5"/>
  <c r="C191" i="5"/>
  <c r="B191" i="5"/>
  <c r="A191" i="5"/>
  <c r="Z190" i="5"/>
  <c r="Y190" i="5"/>
  <c r="X190" i="5"/>
  <c r="G189" i="5"/>
  <c r="E189" i="5"/>
  <c r="J188" i="5"/>
  <c r="F188" i="5"/>
  <c r="E188" i="5"/>
  <c r="J187" i="5"/>
  <c r="F187" i="5"/>
  <c r="E187" i="5"/>
  <c r="J186" i="5"/>
  <c r="G186" i="5"/>
  <c r="F186" i="5"/>
  <c r="J185" i="5"/>
  <c r="G185" i="5"/>
  <c r="F185" i="5"/>
  <c r="J184" i="5"/>
  <c r="G184" i="5"/>
  <c r="F184" i="5"/>
  <c r="J183" i="5"/>
  <c r="G183" i="5"/>
  <c r="F183" i="5"/>
  <c r="F182" i="5"/>
  <c r="E182" i="5"/>
  <c r="D182" i="5"/>
  <c r="I182" i="5"/>
  <c r="C182" i="5"/>
  <c r="B182" i="5"/>
  <c r="A182" i="5"/>
  <c r="Z181" i="5"/>
  <c r="Y181" i="5"/>
  <c r="X181" i="5"/>
  <c r="J180" i="5"/>
  <c r="Z180" i="5"/>
  <c r="Y180" i="5"/>
  <c r="X180" i="5"/>
  <c r="F180" i="5"/>
  <c r="D180" i="5"/>
  <c r="C180" i="5"/>
  <c r="B180" i="5"/>
  <c r="A180" i="5"/>
  <c r="J179" i="5"/>
  <c r="Z179" i="5"/>
  <c r="Y179" i="5"/>
  <c r="X179" i="5"/>
  <c r="F179" i="5"/>
  <c r="D179" i="5"/>
  <c r="C179" i="5"/>
  <c r="B179" i="5"/>
  <c r="A179" i="5"/>
  <c r="J178" i="5"/>
  <c r="Z178" i="5"/>
  <c r="Y178" i="5"/>
  <c r="X178" i="5"/>
  <c r="F178" i="5"/>
  <c r="D178" i="5"/>
  <c r="C178" i="5"/>
  <c r="B178" i="5"/>
  <c r="A178" i="5"/>
  <c r="G177" i="5"/>
  <c r="E177" i="5"/>
  <c r="J176" i="5"/>
  <c r="F176" i="5"/>
  <c r="E176" i="5"/>
  <c r="J175" i="5"/>
  <c r="F175" i="5"/>
  <c r="E175" i="5"/>
  <c r="J174" i="5"/>
  <c r="G174" i="5"/>
  <c r="F174" i="5"/>
  <c r="J173" i="5"/>
  <c r="G173" i="5"/>
  <c r="F173" i="5"/>
  <c r="F171" i="5"/>
  <c r="D171" i="5"/>
  <c r="I171" i="5"/>
  <c r="C171" i="5"/>
  <c r="B171" i="5"/>
  <c r="A171" i="5"/>
  <c r="Z170" i="5"/>
  <c r="Y170" i="5"/>
  <c r="X170" i="5"/>
  <c r="J169" i="5"/>
  <c r="Z169" i="5"/>
  <c r="Y169" i="5"/>
  <c r="X169" i="5"/>
  <c r="F169" i="5"/>
  <c r="D169" i="5"/>
  <c r="C169" i="5"/>
  <c r="B169" i="5"/>
  <c r="A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J166" i="5"/>
  <c r="Z166" i="5"/>
  <c r="Y166" i="5"/>
  <c r="X166" i="5"/>
  <c r="F166" i="5"/>
  <c r="D166" i="5"/>
  <c r="C166" i="5"/>
  <c r="B166" i="5"/>
  <c r="A166" i="5"/>
  <c r="J165" i="5"/>
  <c r="Z165" i="5"/>
  <c r="Y165" i="5"/>
  <c r="X165" i="5"/>
  <c r="F165" i="5"/>
  <c r="D165" i="5"/>
  <c r="C165" i="5"/>
  <c r="B165" i="5"/>
  <c r="A165" i="5"/>
  <c r="J164" i="5"/>
  <c r="Z164" i="5"/>
  <c r="Y164" i="5"/>
  <c r="X164" i="5"/>
  <c r="F164" i="5"/>
  <c r="D164" i="5"/>
  <c r="C164" i="5"/>
  <c r="B164" i="5"/>
  <c r="A164" i="5"/>
  <c r="J163" i="5"/>
  <c r="Z163" i="5"/>
  <c r="Y163" i="5"/>
  <c r="X163" i="5"/>
  <c r="F163" i="5"/>
  <c r="D163" i="5"/>
  <c r="C163" i="5"/>
  <c r="B163" i="5"/>
  <c r="A163" i="5"/>
  <c r="J162" i="5"/>
  <c r="Z162" i="5"/>
  <c r="Y162" i="5"/>
  <c r="X162" i="5"/>
  <c r="F162" i="5"/>
  <c r="D162" i="5"/>
  <c r="C162" i="5"/>
  <c r="B162" i="5"/>
  <c r="A162" i="5"/>
  <c r="J161" i="5"/>
  <c r="Z161" i="5"/>
  <c r="Y161" i="5"/>
  <c r="X161" i="5"/>
  <c r="F161" i="5"/>
  <c r="D161" i="5"/>
  <c r="C161" i="5"/>
  <c r="B161" i="5"/>
  <c r="A161" i="5"/>
  <c r="J160" i="5"/>
  <c r="Z160" i="5"/>
  <c r="Y160" i="5"/>
  <c r="X160" i="5"/>
  <c r="F160" i="5"/>
  <c r="D160" i="5"/>
  <c r="C160" i="5"/>
  <c r="B160" i="5"/>
  <c r="A160" i="5"/>
  <c r="J159" i="5"/>
  <c r="Z159" i="5"/>
  <c r="Y159" i="5"/>
  <c r="X159" i="5"/>
  <c r="F159" i="5"/>
  <c r="D159" i="5"/>
  <c r="C159" i="5"/>
  <c r="B159" i="5"/>
  <c r="A159" i="5"/>
  <c r="J158" i="5"/>
  <c r="Z158" i="5"/>
  <c r="Y158" i="5"/>
  <c r="X158" i="5"/>
  <c r="F158" i="5"/>
  <c r="D158" i="5"/>
  <c r="C158" i="5"/>
  <c r="B158" i="5"/>
  <c r="A158" i="5"/>
  <c r="G157" i="5"/>
  <c r="E157" i="5"/>
  <c r="J156" i="5"/>
  <c r="F156" i="5"/>
  <c r="E156" i="5"/>
  <c r="J155" i="5"/>
  <c r="F155" i="5"/>
  <c r="E155" i="5"/>
  <c r="J154" i="5"/>
  <c r="G154" i="5"/>
  <c r="F154" i="5"/>
  <c r="J153" i="5"/>
  <c r="G153" i="5"/>
  <c r="F153" i="5"/>
  <c r="J152" i="5"/>
  <c r="G152" i="5"/>
  <c r="F152" i="5"/>
  <c r="J151" i="5"/>
  <c r="G151" i="5"/>
  <c r="F151" i="5"/>
  <c r="F150" i="5"/>
  <c r="E150" i="5"/>
  <c r="D150" i="5"/>
  <c r="I150" i="5"/>
  <c r="C150" i="5"/>
  <c r="B150" i="5"/>
  <c r="A150" i="5"/>
  <c r="Z149" i="5"/>
  <c r="Y149" i="5"/>
  <c r="X149" i="5"/>
  <c r="J148" i="5"/>
  <c r="Z148" i="5"/>
  <c r="Y148" i="5"/>
  <c r="X148" i="5"/>
  <c r="F148" i="5"/>
  <c r="D148" i="5"/>
  <c r="C148" i="5"/>
  <c r="B148" i="5"/>
  <c r="A148" i="5"/>
  <c r="J147" i="5"/>
  <c r="Z147" i="5"/>
  <c r="Y147" i="5"/>
  <c r="X147" i="5"/>
  <c r="F147" i="5"/>
  <c r="D147" i="5"/>
  <c r="C147" i="5"/>
  <c r="B147" i="5"/>
  <c r="A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G144" i="5"/>
  <c r="E144" i="5"/>
  <c r="J143" i="5"/>
  <c r="F143" i="5"/>
  <c r="E143" i="5"/>
  <c r="J142" i="5"/>
  <c r="F142" i="5"/>
  <c r="E142" i="5"/>
  <c r="J141" i="5"/>
  <c r="G141" i="5"/>
  <c r="F141" i="5"/>
  <c r="J140" i="5"/>
  <c r="G140" i="5"/>
  <c r="F140" i="5"/>
  <c r="J139" i="5"/>
  <c r="G139" i="5"/>
  <c r="F139" i="5"/>
  <c r="J138" i="5"/>
  <c r="G138" i="5"/>
  <c r="F138" i="5"/>
  <c r="F137" i="5"/>
  <c r="E137" i="5"/>
  <c r="D137" i="5"/>
  <c r="I137" i="5"/>
  <c r="C137" i="5"/>
  <c r="B137" i="5"/>
  <c r="A137" i="5"/>
  <c r="Z136" i="5"/>
  <c r="Y136" i="5"/>
  <c r="X136" i="5"/>
  <c r="G135" i="5"/>
  <c r="E135" i="5"/>
  <c r="J134" i="5"/>
  <c r="F134" i="5"/>
  <c r="E134" i="5"/>
  <c r="J133" i="5"/>
  <c r="F133" i="5"/>
  <c r="E133" i="5"/>
  <c r="J132" i="5"/>
  <c r="G132" i="5"/>
  <c r="F132" i="5"/>
  <c r="J131" i="5"/>
  <c r="G131" i="5"/>
  <c r="F131" i="5"/>
  <c r="J130" i="5"/>
  <c r="G130" i="5"/>
  <c r="F130" i="5"/>
  <c r="J129" i="5"/>
  <c r="G129" i="5"/>
  <c r="F129" i="5"/>
  <c r="F128" i="5"/>
  <c r="E128" i="5"/>
  <c r="D128" i="5"/>
  <c r="I128" i="5"/>
  <c r="C128" i="5"/>
  <c r="B128" i="5"/>
  <c r="A128" i="5"/>
  <c r="Z127" i="5"/>
  <c r="Y127" i="5"/>
  <c r="X127" i="5"/>
  <c r="G126" i="5"/>
  <c r="E126" i="5"/>
  <c r="J125" i="5"/>
  <c r="F125" i="5"/>
  <c r="E125" i="5"/>
  <c r="J124" i="5"/>
  <c r="F124" i="5"/>
  <c r="E124" i="5"/>
  <c r="J123" i="5"/>
  <c r="G123" i="5"/>
  <c r="F123" i="5"/>
  <c r="J122" i="5"/>
  <c r="G122" i="5"/>
  <c r="F122" i="5"/>
  <c r="J121" i="5"/>
  <c r="G121" i="5"/>
  <c r="F121" i="5"/>
  <c r="J120" i="5"/>
  <c r="G120" i="5"/>
  <c r="F120" i="5"/>
  <c r="F119" i="5"/>
  <c r="E119" i="5"/>
  <c r="D119" i="5"/>
  <c r="I119" i="5"/>
  <c r="C119" i="5"/>
  <c r="B119" i="5"/>
  <c r="A119" i="5"/>
  <c r="Z118" i="5"/>
  <c r="Y118" i="5"/>
  <c r="X118" i="5"/>
  <c r="J117" i="5"/>
  <c r="Z117" i="5"/>
  <c r="Y117" i="5"/>
  <c r="X117" i="5"/>
  <c r="F117" i="5"/>
  <c r="D117" i="5"/>
  <c r="C117" i="5"/>
  <c r="B117" i="5"/>
  <c r="A117" i="5"/>
  <c r="J116" i="5"/>
  <c r="Z116" i="5"/>
  <c r="Y116" i="5"/>
  <c r="X116" i="5"/>
  <c r="F116" i="5"/>
  <c r="D116" i="5"/>
  <c r="C116" i="5"/>
  <c r="B116" i="5"/>
  <c r="A116" i="5"/>
  <c r="G115" i="5"/>
  <c r="E115" i="5"/>
  <c r="J114" i="5"/>
  <c r="E114" i="5"/>
  <c r="J113" i="5"/>
  <c r="E113" i="5"/>
  <c r="J112" i="5"/>
  <c r="G112" i="5"/>
  <c r="F112" i="5"/>
  <c r="J111" i="5"/>
  <c r="G111" i="5"/>
  <c r="F111" i="5"/>
  <c r="J110" i="5"/>
  <c r="G110" i="5"/>
  <c r="F110" i="5"/>
  <c r="F109" i="5"/>
  <c r="E109" i="5"/>
  <c r="D109" i="5"/>
  <c r="I109" i="5"/>
  <c r="C109" i="5"/>
  <c r="B109" i="5"/>
  <c r="A109" i="5"/>
  <c r="Z108" i="5"/>
  <c r="Y108" i="5"/>
  <c r="X108" i="5"/>
  <c r="J107" i="5"/>
  <c r="Z107" i="5"/>
  <c r="Y107" i="5"/>
  <c r="X107" i="5"/>
  <c r="F107" i="5"/>
  <c r="D107" i="5"/>
  <c r="C107" i="5"/>
  <c r="B107" i="5"/>
  <c r="A107" i="5"/>
  <c r="J106" i="5"/>
  <c r="Z106" i="5"/>
  <c r="Y106" i="5"/>
  <c r="X106" i="5"/>
  <c r="F106" i="5"/>
  <c r="D106" i="5"/>
  <c r="C106" i="5"/>
  <c r="B106" i="5"/>
  <c r="A106" i="5"/>
  <c r="G105" i="5"/>
  <c r="E105" i="5"/>
  <c r="J104" i="5"/>
  <c r="F104" i="5"/>
  <c r="E104" i="5"/>
  <c r="J103" i="5"/>
  <c r="F103" i="5"/>
  <c r="E103" i="5"/>
  <c r="J102" i="5"/>
  <c r="G102" i="5"/>
  <c r="F102" i="5"/>
  <c r="J101" i="5"/>
  <c r="G101" i="5"/>
  <c r="F101" i="5"/>
  <c r="J100" i="5"/>
  <c r="G100" i="5"/>
  <c r="F100" i="5"/>
  <c r="J99" i="5"/>
  <c r="G99" i="5"/>
  <c r="F99" i="5"/>
  <c r="F98" i="5"/>
  <c r="E98" i="5"/>
  <c r="D98" i="5"/>
  <c r="I98" i="5"/>
  <c r="C98" i="5"/>
  <c r="B98" i="5"/>
  <c r="A98" i="5"/>
  <c r="Z97" i="5"/>
  <c r="Y97" i="5"/>
  <c r="X97" i="5"/>
  <c r="J96" i="5"/>
  <c r="Z96" i="5"/>
  <c r="Y96" i="5"/>
  <c r="X96" i="5"/>
  <c r="F96" i="5"/>
  <c r="D96" i="5"/>
  <c r="C96" i="5"/>
  <c r="B96" i="5"/>
  <c r="A96" i="5"/>
  <c r="G95" i="5"/>
  <c r="E95" i="5"/>
  <c r="J94" i="5"/>
  <c r="F94" i="5"/>
  <c r="E94" i="5"/>
  <c r="J93" i="5"/>
  <c r="F93" i="5"/>
  <c r="E93" i="5"/>
  <c r="J92" i="5"/>
  <c r="G92" i="5"/>
  <c r="F92" i="5"/>
  <c r="J91" i="5"/>
  <c r="G91" i="5"/>
  <c r="F91" i="5"/>
  <c r="F89" i="5"/>
  <c r="D89" i="5"/>
  <c r="I89" i="5"/>
  <c r="C89" i="5"/>
  <c r="B89" i="5"/>
  <c r="A89" i="5"/>
  <c r="Z88" i="5"/>
  <c r="Y88" i="5"/>
  <c r="X88" i="5"/>
  <c r="G87" i="5"/>
  <c r="E87" i="5"/>
  <c r="J86" i="5"/>
  <c r="F86" i="5"/>
  <c r="E86" i="5"/>
  <c r="J85" i="5"/>
  <c r="F85" i="5"/>
  <c r="E85" i="5"/>
  <c r="J84" i="5"/>
  <c r="G84" i="5"/>
  <c r="F84" i="5"/>
  <c r="F82" i="5"/>
  <c r="D82" i="5"/>
  <c r="I82" i="5"/>
  <c r="C82" i="5"/>
  <c r="B82" i="5"/>
  <c r="A82" i="5"/>
  <c r="Z81" i="5"/>
  <c r="Y81" i="5"/>
  <c r="X81" i="5"/>
  <c r="G80" i="5"/>
  <c r="E80" i="5"/>
  <c r="J79" i="5"/>
  <c r="F79" i="5"/>
  <c r="E79" i="5"/>
  <c r="J78" i="5"/>
  <c r="F78" i="5"/>
  <c r="E78" i="5"/>
  <c r="J77" i="5"/>
  <c r="G77" i="5"/>
  <c r="F77" i="5"/>
  <c r="J76" i="5"/>
  <c r="G76" i="5"/>
  <c r="F76" i="5"/>
  <c r="J75" i="5"/>
  <c r="G75" i="5"/>
  <c r="F75" i="5"/>
  <c r="F73" i="5"/>
  <c r="D73" i="5"/>
  <c r="I73" i="5"/>
  <c r="C73" i="5"/>
  <c r="B73" i="5"/>
  <c r="A73" i="5"/>
  <c r="Z72" i="5"/>
  <c r="Y72" i="5"/>
  <c r="X72" i="5"/>
  <c r="G71" i="5"/>
  <c r="E71" i="5"/>
  <c r="J70" i="5"/>
  <c r="F70" i="5"/>
  <c r="E70" i="5"/>
  <c r="J69" i="5"/>
  <c r="F69" i="5"/>
  <c r="E69" i="5"/>
  <c r="J68" i="5"/>
  <c r="G68" i="5"/>
  <c r="F68" i="5"/>
  <c r="J67" i="5"/>
  <c r="G67" i="5"/>
  <c r="F67" i="5"/>
  <c r="J66" i="5"/>
  <c r="G66" i="5"/>
  <c r="F66" i="5"/>
  <c r="F64" i="5"/>
  <c r="D64" i="5"/>
  <c r="I64" i="5"/>
  <c r="C64" i="5"/>
  <c r="B64" i="5"/>
  <c r="A64" i="5"/>
  <c r="Z63" i="5"/>
  <c r="Y63" i="5"/>
  <c r="X63" i="5"/>
  <c r="G62" i="5"/>
  <c r="E62" i="5"/>
  <c r="J61" i="5"/>
  <c r="F61" i="5"/>
  <c r="E61" i="5"/>
  <c r="J60" i="5"/>
  <c r="F60" i="5"/>
  <c r="E60" i="5"/>
  <c r="J59" i="5"/>
  <c r="G59" i="5"/>
  <c r="F59" i="5"/>
  <c r="F57" i="5"/>
  <c r="D57" i="5"/>
  <c r="I57" i="5"/>
  <c r="C57" i="5"/>
  <c r="B57" i="5"/>
  <c r="A57" i="5"/>
  <c r="Z56" i="5"/>
  <c r="Y56" i="5"/>
  <c r="X56" i="5"/>
  <c r="J55" i="5"/>
  <c r="Z55" i="5"/>
  <c r="Y55" i="5"/>
  <c r="X55" i="5"/>
  <c r="F55" i="5"/>
  <c r="D55" i="5"/>
  <c r="C55" i="5"/>
  <c r="B55" i="5"/>
  <c r="A55" i="5"/>
  <c r="G54" i="5"/>
  <c r="E54" i="5"/>
  <c r="J53" i="5"/>
  <c r="E53" i="5"/>
  <c r="J52" i="5"/>
  <c r="E52" i="5"/>
  <c r="J51" i="5"/>
  <c r="G51" i="5"/>
  <c r="F51" i="5"/>
  <c r="J50" i="5"/>
  <c r="G50" i="5"/>
  <c r="F50" i="5"/>
  <c r="J49" i="5"/>
  <c r="G49" i="5"/>
  <c r="F49" i="5"/>
  <c r="J48" i="5"/>
  <c r="G48" i="5"/>
  <c r="F48" i="5"/>
  <c r="F47" i="5"/>
  <c r="E47" i="5"/>
  <c r="D47" i="5"/>
  <c r="I47" i="5"/>
  <c r="C47" i="5"/>
  <c r="B47" i="5"/>
  <c r="A47" i="5"/>
  <c r="Z46" i="5"/>
  <c r="Y46" i="5"/>
  <c r="X46" i="5"/>
  <c r="G45" i="5"/>
  <c r="E45" i="5"/>
  <c r="J44" i="5"/>
  <c r="E44" i="5"/>
  <c r="J43" i="5"/>
  <c r="E43" i="5"/>
  <c r="J42" i="5"/>
  <c r="G42" i="5"/>
  <c r="F42" i="5"/>
  <c r="J41" i="5"/>
  <c r="G41" i="5"/>
  <c r="F41" i="5"/>
  <c r="J40" i="5"/>
  <c r="G40" i="5"/>
  <c r="F40" i="5"/>
  <c r="F38" i="5"/>
  <c r="D38" i="5"/>
  <c r="I38" i="5"/>
  <c r="C38" i="5"/>
  <c r="B38" i="5"/>
  <c r="A38" i="5"/>
  <c r="Z37" i="5"/>
  <c r="Y37" i="5"/>
  <c r="X37" i="5"/>
  <c r="G36" i="5"/>
  <c r="E36" i="5"/>
  <c r="J35" i="5"/>
  <c r="E35" i="5"/>
  <c r="J34" i="5"/>
  <c r="E34" i="5"/>
  <c r="J33" i="5"/>
  <c r="G33" i="5"/>
  <c r="F33" i="5"/>
  <c r="F32" i="5"/>
  <c r="E32" i="5"/>
  <c r="D32" i="5"/>
  <c r="I32" i="5"/>
  <c r="C32" i="5"/>
  <c r="B32" i="5"/>
  <c r="A32" i="5"/>
  <c r="Z31" i="5"/>
  <c r="Y31" i="5"/>
  <c r="X31" i="5"/>
  <c r="G30" i="5"/>
  <c r="E30" i="5"/>
  <c r="J29" i="5"/>
  <c r="F29" i="5"/>
  <c r="E29" i="5"/>
  <c r="J28" i="5"/>
  <c r="F28" i="5"/>
  <c r="E28" i="5"/>
  <c r="J27" i="5"/>
  <c r="G27" i="5"/>
  <c r="F27" i="5"/>
  <c r="J26" i="5"/>
  <c r="G26" i="5"/>
  <c r="F26" i="5"/>
  <c r="J25" i="5"/>
  <c r="G25" i="5"/>
  <c r="F25" i="5"/>
  <c r="F23" i="5"/>
  <c r="D23" i="5"/>
  <c r="I23" i="5"/>
  <c r="C23" i="5"/>
  <c r="B23" i="5"/>
  <c r="A23" i="5"/>
  <c r="A22" i="5"/>
  <c r="B7" i="5"/>
  <c r="B5" i="5"/>
  <c r="A1" i="5"/>
  <c r="G14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X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D28" i="1"/>
  <c r="AE28" i="1"/>
  <c r="AF28" i="1"/>
  <c r="AG28" i="1"/>
  <c r="CU28" i="1" s="1"/>
  <c r="T28" i="1" s="1"/>
  <c r="AH28" i="1"/>
  <c r="AI28" i="1"/>
  <c r="CW28" i="1" s="1"/>
  <c r="V28" i="1" s="1"/>
  <c r="AJ28" i="1"/>
  <c r="CX28" i="1" s="1"/>
  <c r="W28" i="1" s="1"/>
  <c r="CQ28" i="1"/>
  <c r="P28" i="1" s="1"/>
  <c r="CV28" i="1"/>
  <c r="U28" i="1" s="1"/>
  <c r="FR28" i="1"/>
  <c r="GL28" i="1"/>
  <c r="GO28" i="1"/>
  <c r="GP28" i="1"/>
  <c r="GV28" i="1"/>
  <c r="GX28" i="1" s="1"/>
  <c r="C29" i="1"/>
  <c r="D29" i="1"/>
  <c r="AC29" i="1"/>
  <c r="CQ29" i="1" s="1"/>
  <c r="P29" i="1" s="1"/>
  <c r="AE29" i="1"/>
  <c r="AD29" i="1" s="1"/>
  <c r="CR29" i="1" s="1"/>
  <c r="Q29" i="1" s="1"/>
  <c r="AF29" i="1"/>
  <c r="AG29" i="1"/>
  <c r="CU29" i="1" s="1"/>
  <c r="T29" i="1" s="1"/>
  <c r="AH29" i="1"/>
  <c r="CV29" i="1" s="1"/>
  <c r="U29" i="1" s="1"/>
  <c r="AI29" i="1"/>
  <c r="CW29" i="1" s="1"/>
  <c r="V29" i="1" s="1"/>
  <c r="AJ29" i="1"/>
  <c r="CX29" i="1" s="1"/>
  <c r="W29" i="1" s="1"/>
  <c r="CS29" i="1"/>
  <c r="R29" i="1" s="1"/>
  <c r="GK29" i="1" s="1"/>
  <c r="FR29" i="1"/>
  <c r="GL29" i="1"/>
  <c r="GO29" i="1"/>
  <c r="GP29" i="1"/>
  <c r="GV29" i="1"/>
  <c r="GX29" i="1" s="1"/>
  <c r="C30" i="1"/>
  <c r="D30" i="1"/>
  <c r="I30" i="1"/>
  <c r="AC30" i="1"/>
  <c r="AD30" i="1"/>
  <c r="AE30" i="1"/>
  <c r="H42" i="5" s="1"/>
  <c r="R42" i="5" s="1"/>
  <c r="AF30" i="1"/>
  <c r="AG30" i="1"/>
  <c r="AH30" i="1"/>
  <c r="CV30" i="1" s="1"/>
  <c r="AI30" i="1"/>
  <c r="AJ30" i="1"/>
  <c r="CX30" i="1" s="1"/>
  <c r="W30" i="1" s="1"/>
  <c r="CQ30" i="1"/>
  <c r="P30" i="1" s="1"/>
  <c r="CS30" i="1"/>
  <c r="R30" i="1" s="1"/>
  <c r="CU30" i="1"/>
  <c r="CW30" i="1"/>
  <c r="V30" i="1" s="1"/>
  <c r="FR30" i="1"/>
  <c r="GL30" i="1"/>
  <c r="GO30" i="1"/>
  <c r="GP30" i="1"/>
  <c r="GV30" i="1"/>
  <c r="GX30" i="1" s="1"/>
  <c r="C31" i="1"/>
  <c r="D31" i="1"/>
  <c r="AC31" i="1"/>
  <c r="AE31" i="1"/>
  <c r="AF31" i="1"/>
  <c r="AG31" i="1"/>
  <c r="CU31" i="1" s="1"/>
  <c r="T31" i="1" s="1"/>
  <c r="AH31" i="1"/>
  <c r="CV31" i="1" s="1"/>
  <c r="U31" i="1" s="1"/>
  <c r="AI31" i="1"/>
  <c r="CW31" i="1" s="1"/>
  <c r="V31" i="1" s="1"/>
  <c r="AJ31" i="1"/>
  <c r="CX31" i="1"/>
  <c r="W31" i="1" s="1"/>
  <c r="FR31" i="1"/>
  <c r="GL31" i="1"/>
  <c r="GO31" i="1"/>
  <c r="GP31" i="1"/>
  <c r="GV31" i="1"/>
  <c r="GX31" i="1" s="1"/>
  <c r="I32" i="1"/>
  <c r="AC32" i="1"/>
  <c r="AE32" i="1"/>
  <c r="AD32" i="1" s="1"/>
  <c r="CR32" i="1" s="1"/>
  <c r="AF32" i="1"/>
  <c r="AG32" i="1"/>
  <c r="CU32" i="1" s="1"/>
  <c r="AH32" i="1"/>
  <c r="AI32" i="1"/>
  <c r="CW32" i="1" s="1"/>
  <c r="AJ32" i="1"/>
  <c r="CS32" i="1"/>
  <c r="CT32" i="1"/>
  <c r="CV32" i="1"/>
  <c r="CX32" i="1"/>
  <c r="FR32" i="1"/>
  <c r="GL32" i="1"/>
  <c r="GO32" i="1"/>
  <c r="GP32" i="1"/>
  <c r="GV32" i="1"/>
  <c r="C33" i="1"/>
  <c r="D33" i="1"/>
  <c r="I33" i="1"/>
  <c r="AC33" i="1"/>
  <c r="AD33" i="1"/>
  <c r="CR33" i="1" s="1"/>
  <c r="AE33" i="1"/>
  <c r="CS33" i="1" s="1"/>
  <c r="AF33" i="1"/>
  <c r="AG33" i="1"/>
  <c r="AH33" i="1"/>
  <c r="CV33" i="1" s="1"/>
  <c r="AI33" i="1"/>
  <c r="AJ33" i="1"/>
  <c r="CX33" i="1" s="1"/>
  <c r="CT33" i="1"/>
  <c r="CU33" i="1"/>
  <c r="CW33" i="1"/>
  <c r="FR33" i="1"/>
  <c r="GL33" i="1"/>
  <c r="GO33" i="1"/>
  <c r="GP33" i="1"/>
  <c r="GV33" i="1"/>
  <c r="C34" i="1"/>
  <c r="D34" i="1"/>
  <c r="I34" i="1"/>
  <c r="AC34" i="1"/>
  <c r="AD34" i="1"/>
  <c r="AE34" i="1"/>
  <c r="AF34" i="1"/>
  <c r="AG34" i="1"/>
  <c r="AH34" i="1"/>
  <c r="CV34" i="1" s="1"/>
  <c r="AI34" i="1"/>
  <c r="CW34" i="1" s="1"/>
  <c r="AJ34" i="1"/>
  <c r="CU34" i="1"/>
  <c r="CX34" i="1"/>
  <c r="FR34" i="1"/>
  <c r="GL34" i="1"/>
  <c r="GO34" i="1"/>
  <c r="GP34" i="1"/>
  <c r="GV34" i="1"/>
  <c r="GX34" i="1" s="1"/>
  <c r="C35" i="1"/>
  <c r="D35" i="1"/>
  <c r="I35" i="1"/>
  <c r="Q35" i="1"/>
  <c r="K76" i="5" s="1"/>
  <c r="AC35" i="1"/>
  <c r="AD35" i="1"/>
  <c r="AE35" i="1"/>
  <c r="H77" i="5" s="1"/>
  <c r="R77" i="5" s="1"/>
  <c r="AF35" i="1"/>
  <c r="AG35" i="1"/>
  <c r="AH35" i="1"/>
  <c r="CV35" i="1" s="1"/>
  <c r="U35" i="1" s="1"/>
  <c r="AI35" i="1"/>
  <c r="AJ35" i="1"/>
  <c r="CX35" i="1" s="1"/>
  <c r="W35" i="1" s="1"/>
  <c r="CQ35" i="1"/>
  <c r="P35" i="1" s="1"/>
  <c r="CR35" i="1"/>
  <c r="CS35" i="1"/>
  <c r="R35" i="1" s="1"/>
  <c r="CU35" i="1"/>
  <c r="T35" i="1" s="1"/>
  <c r="CW35" i="1"/>
  <c r="V35" i="1" s="1"/>
  <c r="FR35" i="1"/>
  <c r="GL35" i="1"/>
  <c r="GO35" i="1"/>
  <c r="GP35" i="1"/>
  <c r="GV35" i="1"/>
  <c r="GX35" i="1" s="1"/>
  <c r="C36" i="1"/>
  <c r="D36" i="1"/>
  <c r="I36" i="1"/>
  <c r="AC36" i="1"/>
  <c r="CQ36" i="1" s="1"/>
  <c r="AE36" i="1"/>
  <c r="AF36" i="1"/>
  <c r="AG36" i="1"/>
  <c r="CU36" i="1" s="1"/>
  <c r="T36" i="1" s="1"/>
  <c r="AH36" i="1"/>
  <c r="AI36" i="1"/>
  <c r="CW36" i="1" s="1"/>
  <c r="V36" i="1" s="1"/>
  <c r="AJ36" i="1"/>
  <c r="CX36" i="1" s="1"/>
  <c r="W36" i="1" s="1"/>
  <c r="CT36" i="1"/>
  <c r="S36" i="1" s="1"/>
  <c r="K84" i="5" s="1"/>
  <c r="CV36" i="1"/>
  <c r="U36" i="1" s="1"/>
  <c r="FR36" i="1"/>
  <c r="GL36" i="1"/>
  <c r="GO36" i="1"/>
  <c r="GP36" i="1"/>
  <c r="GV36" i="1"/>
  <c r="GX36" i="1" s="1"/>
  <c r="C37" i="1"/>
  <c r="D37" i="1"/>
  <c r="I37" i="1"/>
  <c r="AC37" i="1"/>
  <c r="AE37" i="1"/>
  <c r="AF37" i="1"/>
  <c r="AG37" i="1"/>
  <c r="AH37" i="1"/>
  <c r="CV37" i="1" s="1"/>
  <c r="AI37" i="1"/>
  <c r="CW37" i="1" s="1"/>
  <c r="V37" i="1" s="1"/>
  <c r="AJ37" i="1"/>
  <c r="CX37" i="1" s="1"/>
  <c r="CU37" i="1"/>
  <c r="T37" i="1" s="1"/>
  <c r="FR37" i="1"/>
  <c r="GL37" i="1"/>
  <c r="GO37" i="1"/>
  <c r="GP37" i="1"/>
  <c r="GV37" i="1"/>
  <c r="GX37" i="1"/>
  <c r="AC38" i="1"/>
  <c r="AE38" i="1"/>
  <c r="AD38" i="1" s="1"/>
  <c r="AF38" i="1"/>
  <c r="AG38" i="1"/>
  <c r="CU38" i="1" s="1"/>
  <c r="AH38" i="1"/>
  <c r="CV38" i="1" s="1"/>
  <c r="AI38" i="1"/>
  <c r="CW38" i="1" s="1"/>
  <c r="AJ38" i="1"/>
  <c r="CX38" i="1" s="1"/>
  <c r="CS38" i="1"/>
  <c r="FR38" i="1"/>
  <c r="GL38" i="1"/>
  <c r="GO38" i="1"/>
  <c r="GP38" i="1"/>
  <c r="GV38" i="1"/>
  <c r="C39" i="1"/>
  <c r="D39" i="1"/>
  <c r="AC39" i="1"/>
  <c r="AE39" i="1"/>
  <c r="AF39" i="1"/>
  <c r="AG39" i="1"/>
  <c r="AH39" i="1"/>
  <c r="CV39" i="1" s="1"/>
  <c r="U39" i="1" s="1"/>
  <c r="AI39" i="1"/>
  <c r="CW39" i="1" s="1"/>
  <c r="V39" i="1" s="1"/>
  <c r="AJ39" i="1"/>
  <c r="CU39" i="1"/>
  <c r="T39" i="1" s="1"/>
  <c r="CX39" i="1"/>
  <c r="W39" i="1" s="1"/>
  <c r="FR39" i="1"/>
  <c r="GL39" i="1"/>
  <c r="GO39" i="1"/>
  <c r="GP39" i="1"/>
  <c r="GV39" i="1"/>
  <c r="GX39" i="1" s="1"/>
  <c r="I40" i="1"/>
  <c r="AC40" i="1"/>
  <c r="AD40" i="1"/>
  <c r="CR40" i="1" s="1"/>
  <c r="Q40" i="1" s="1"/>
  <c r="AE40" i="1"/>
  <c r="AF40" i="1"/>
  <c r="AG40" i="1"/>
  <c r="AH40" i="1"/>
  <c r="CV40" i="1" s="1"/>
  <c r="U40" i="1" s="1"/>
  <c r="AI40" i="1"/>
  <c r="CW40" i="1" s="1"/>
  <c r="V40" i="1" s="1"/>
  <c r="AJ40" i="1"/>
  <c r="CQ40" i="1"/>
  <c r="CS40" i="1"/>
  <c r="R40" i="1" s="1"/>
  <c r="GK40" i="1" s="1"/>
  <c r="CT40" i="1"/>
  <c r="S40" i="1" s="1"/>
  <c r="CU40" i="1"/>
  <c r="T40" i="1" s="1"/>
  <c r="CX40" i="1"/>
  <c r="W40" i="1" s="1"/>
  <c r="FR40" i="1"/>
  <c r="GL40" i="1"/>
  <c r="GO40" i="1"/>
  <c r="GP40" i="1"/>
  <c r="GV40" i="1"/>
  <c r="I41" i="1"/>
  <c r="E107" i="5" s="1"/>
  <c r="AC41" i="1"/>
  <c r="AE41" i="1"/>
  <c r="AD41" i="1" s="1"/>
  <c r="CR41" i="1" s="1"/>
  <c r="Q41" i="1" s="1"/>
  <c r="AF41" i="1"/>
  <c r="AG41" i="1"/>
  <c r="CU41" i="1" s="1"/>
  <c r="AH41" i="1"/>
  <c r="CV41" i="1" s="1"/>
  <c r="U41" i="1" s="1"/>
  <c r="AI41" i="1"/>
  <c r="CW41" i="1" s="1"/>
  <c r="V41" i="1" s="1"/>
  <c r="AJ41" i="1"/>
  <c r="CX41" i="1" s="1"/>
  <c r="W41" i="1" s="1"/>
  <c r="CS41" i="1"/>
  <c r="R41" i="1" s="1"/>
  <c r="GK41" i="1" s="1"/>
  <c r="CT41" i="1"/>
  <c r="S41" i="1" s="1"/>
  <c r="FR41" i="1"/>
  <c r="GL41" i="1"/>
  <c r="GO41" i="1"/>
  <c r="GP41" i="1"/>
  <c r="GV41" i="1"/>
  <c r="GX41" i="1" s="1"/>
  <c r="C42" i="1"/>
  <c r="D42" i="1"/>
  <c r="AC42" i="1"/>
  <c r="AE42" i="1"/>
  <c r="AF42" i="1"/>
  <c r="CT42" i="1" s="1"/>
  <c r="S42" i="1" s="1"/>
  <c r="K110" i="5" s="1"/>
  <c r="AG42" i="1"/>
  <c r="CU42" i="1" s="1"/>
  <c r="T42" i="1" s="1"/>
  <c r="AH42" i="1"/>
  <c r="AI42" i="1"/>
  <c r="CW42" i="1" s="1"/>
  <c r="V42" i="1" s="1"/>
  <c r="AJ42" i="1"/>
  <c r="CV42" i="1"/>
  <c r="U42" i="1" s="1"/>
  <c r="CX42" i="1"/>
  <c r="W42" i="1" s="1"/>
  <c r="FR42" i="1"/>
  <c r="GL42" i="1"/>
  <c r="GO42" i="1"/>
  <c r="GP42" i="1"/>
  <c r="GV42" i="1"/>
  <c r="GX42" i="1" s="1"/>
  <c r="I43" i="1"/>
  <c r="AC43" i="1"/>
  <c r="AE43" i="1"/>
  <c r="AF43" i="1"/>
  <c r="AG43" i="1"/>
  <c r="AH43" i="1"/>
  <c r="CV43" i="1" s="1"/>
  <c r="AI43" i="1"/>
  <c r="CW43" i="1" s="1"/>
  <c r="V43" i="1" s="1"/>
  <c r="AJ43" i="1"/>
  <c r="CX43" i="1" s="1"/>
  <c r="W43" i="1" s="1"/>
  <c r="CQ43" i="1"/>
  <c r="CT43" i="1"/>
  <c r="S43" i="1" s="1"/>
  <c r="CU43" i="1"/>
  <c r="FR43" i="1"/>
  <c r="GL43" i="1"/>
  <c r="GO43" i="1"/>
  <c r="GP43" i="1"/>
  <c r="GV43" i="1"/>
  <c r="I44" i="1"/>
  <c r="E117" i="5" s="1"/>
  <c r="AC44" i="1"/>
  <c r="AE44" i="1"/>
  <c r="AD44" i="1" s="1"/>
  <c r="AF44" i="1"/>
  <c r="AG44" i="1"/>
  <c r="CU44" i="1" s="1"/>
  <c r="T44" i="1" s="1"/>
  <c r="AH44" i="1"/>
  <c r="AI44" i="1"/>
  <c r="AJ44" i="1"/>
  <c r="CX44" i="1" s="1"/>
  <c r="W44" i="1" s="1"/>
  <c r="CR44" i="1"/>
  <c r="Q44" i="1" s="1"/>
  <c r="CS44" i="1"/>
  <c r="R44" i="1" s="1"/>
  <c r="GK44" i="1" s="1"/>
  <c r="CV44" i="1"/>
  <c r="U44" i="1" s="1"/>
  <c r="CW44" i="1"/>
  <c r="V44" i="1" s="1"/>
  <c r="FR44" i="1"/>
  <c r="GL44" i="1"/>
  <c r="GO44" i="1"/>
  <c r="GP44" i="1"/>
  <c r="GV44" i="1"/>
  <c r="GX44" i="1"/>
  <c r="C45" i="1"/>
  <c r="D45" i="1"/>
  <c r="AC45" i="1"/>
  <c r="H123" i="5" s="1"/>
  <c r="AD45" i="1"/>
  <c r="AE45" i="1"/>
  <c r="AF45" i="1"/>
  <c r="AG45" i="1"/>
  <c r="CU45" i="1" s="1"/>
  <c r="T45" i="1" s="1"/>
  <c r="AH45" i="1"/>
  <c r="AI45" i="1"/>
  <c r="CW45" i="1" s="1"/>
  <c r="V45" i="1" s="1"/>
  <c r="AJ45" i="1"/>
  <c r="CX45" i="1" s="1"/>
  <c r="W45" i="1" s="1"/>
  <c r="CQ45" i="1"/>
  <c r="P45" i="1" s="1"/>
  <c r="K123" i="5" s="1"/>
  <c r="CV45" i="1"/>
  <c r="U45" i="1" s="1"/>
  <c r="FR45" i="1"/>
  <c r="GL45" i="1"/>
  <c r="GO45" i="1"/>
  <c r="GP45" i="1"/>
  <c r="GV45" i="1"/>
  <c r="GX45" i="1" s="1"/>
  <c r="C46" i="1"/>
  <c r="D46" i="1"/>
  <c r="AC46" i="1"/>
  <c r="AE46" i="1"/>
  <c r="AF46" i="1"/>
  <c r="AG46" i="1"/>
  <c r="CU46" i="1" s="1"/>
  <c r="T46" i="1" s="1"/>
  <c r="AH46" i="1"/>
  <c r="AI46" i="1"/>
  <c r="CW46" i="1" s="1"/>
  <c r="V46" i="1" s="1"/>
  <c r="AJ46" i="1"/>
  <c r="CX46" i="1" s="1"/>
  <c r="W46" i="1" s="1"/>
  <c r="CV46" i="1"/>
  <c r="U46" i="1" s="1"/>
  <c r="FR46" i="1"/>
  <c r="GL46" i="1"/>
  <c r="GO46" i="1"/>
  <c r="GP46" i="1"/>
  <c r="GV46" i="1"/>
  <c r="GX46" i="1" s="1"/>
  <c r="C47" i="1"/>
  <c r="D47" i="1"/>
  <c r="T47" i="1"/>
  <c r="U47" i="1"/>
  <c r="AC47" i="1"/>
  <c r="AE47" i="1"/>
  <c r="AF47" i="1"/>
  <c r="AG47" i="1"/>
  <c r="CU47" i="1" s="1"/>
  <c r="AH47" i="1"/>
  <c r="CV47" i="1" s="1"/>
  <c r="AI47" i="1"/>
  <c r="CW47" i="1" s="1"/>
  <c r="V47" i="1" s="1"/>
  <c r="AJ47" i="1"/>
  <c r="CX47" i="1" s="1"/>
  <c r="W47" i="1" s="1"/>
  <c r="FR47" i="1"/>
  <c r="GL47" i="1"/>
  <c r="GO47" i="1"/>
  <c r="GP47" i="1"/>
  <c r="GV47" i="1"/>
  <c r="GX47" i="1" s="1"/>
  <c r="I48" i="1"/>
  <c r="AC48" i="1"/>
  <c r="AE48" i="1"/>
  <c r="AF48" i="1"/>
  <c r="AG48" i="1"/>
  <c r="AH48" i="1"/>
  <c r="CV48" i="1" s="1"/>
  <c r="U48" i="1" s="1"/>
  <c r="AI48" i="1"/>
  <c r="CW48" i="1" s="1"/>
  <c r="V48" i="1" s="1"/>
  <c r="AJ48" i="1"/>
  <c r="CX48" i="1" s="1"/>
  <c r="W48" i="1" s="1"/>
  <c r="CQ48" i="1"/>
  <c r="P48" i="1" s="1"/>
  <c r="CT48" i="1"/>
  <c r="S48" i="1" s="1"/>
  <c r="CU48" i="1"/>
  <c r="T48" i="1" s="1"/>
  <c r="FR48" i="1"/>
  <c r="GL48" i="1"/>
  <c r="GO48" i="1"/>
  <c r="GP48" i="1"/>
  <c r="GV48" i="1"/>
  <c r="I49" i="1"/>
  <c r="E146" i="5" s="1"/>
  <c r="AC49" i="1"/>
  <c r="AE49" i="1"/>
  <c r="AF49" i="1"/>
  <c r="AG49" i="1"/>
  <c r="CU49" i="1" s="1"/>
  <c r="T49" i="1" s="1"/>
  <c r="AH49" i="1"/>
  <c r="CV49" i="1" s="1"/>
  <c r="U49" i="1" s="1"/>
  <c r="AI49" i="1"/>
  <c r="CW49" i="1" s="1"/>
  <c r="V49" i="1" s="1"/>
  <c r="AJ49" i="1"/>
  <c r="CX49" i="1" s="1"/>
  <c r="W49" i="1" s="1"/>
  <c r="CT49" i="1"/>
  <c r="S49" i="1" s="1"/>
  <c r="FR49" i="1"/>
  <c r="GL49" i="1"/>
  <c r="GO49" i="1"/>
  <c r="GP49" i="1"/>
  <c r="GV49" i="1"/>
  <c r="GX49" i="1"/>
  <c r="I50" i="1"/>
  <c r="E147" i="5" s="1"/>
  <c r="AC50" i="1"/>
  <c r="AE50" i="1"/>
  <c r="AF50" i="1"/>
  <c r="AG50" i="1"/>
  <c r="AH50" i="1"/>
  <c r="CV50" i="1" s="1"/>
  <c r="U50" i="1" s="1"/>
  <c r="AI50" i="1"/>
  <c r="CW50" i="1" s="1"/>
  <c r="V50" i="1" s="1"/>
  <c r="AJ50" i="1"/>
  <c r="CX50" i="1" s="1"/>
  <c r="CU50" i="1"/>
  <c r="T50" i="1" s="1"/>
  <c r="FR50" i="1"/>
  <c r="GL50" i="1"/>
  <c r="GO50" i="1"/>
  <c r="GP50" i="1"/>
  <c r="GV50" i="1"/>
  <c r="GX50" i="1" s="1"/>
  <c r="I51" i="1"/>
  <c r="E148" i="5" s="1"/>
  <c r="T51" i="1"/>
  <c r="U51" i="1"/>
  <c r="AC51" i="1"/>
  <c r="AE51" i="1"/>
  <c r="CS51" i="1" s="1"/>
  <c r="R51" i="1" s="1"/>
  <c r="GK51" i="1" s="1"/>
  <c r="AF51" i="1"/>
  <c r="AG51" i="1"/>
  <c r="CU51" i="1" s="1"/>
  <c r="AH51" i="1"/>
  <c r="AI51" i="1"/>
  <c r="CW51" i="1" s="1"/>
  <c r="V51" i="1" s="1"/>
  <c r="AJ51" i="1"/>
  <c r="CX51" i="1" s="1"/>
  <c r="W51" i="1" s="1"/>
  <c r="CV51" i="1"/>
  <c r="FR51" i="1"/>
  <c r="GL51" i="1"/>
  <c r="GO51" i="1"/>
  <c r="GP51" i="1"/>
  <c r="GV51" i="1"/>
  <c r="C52" i="1"/>
  <c r="D52" i="1"/>
  <c r="W52" i="1"/>
  <c r="AC52" i="1"/>
  <c r="H154" i="5" s="1"/>
  <c r="AE52" i="1"/>
  <c r="AF52" i="1"/>
  <c r="AG52" i="1"/>
  <c r="CU52" i="1" s="1"/>
  <c r="T52" i="1" s="1"/>
  <c r="AH52" i="1"/>
  <c r="AI52" i="1"/>
  <c r="AJ52" i="1"/>
  <c r="CT52" i="1"/>
  <c r="S52" i="1" s="1"/>
  <c r="CV52" i="1"/>
  <c r="U52" i="1" s="1"/>
  <c r="CW52" i="1"/>
  <c r="V52" i="1" s="1"/>
  <c r="CX52" i="1"/>
  <c r="FR52" i="1"/>
  <c r="GL52" i="1"/>
  <c r="GO52" i="1"/>
  <c r="GP52" i="1"/>
  <c r="GV52" i="1"/>
  <c r="GX52" i="1" s="1"/>
  <c r="I53" i="1"/>
  <c r="E158" i="5" s="1"/>
  <c r="AC53" i="1"/>
  <c r="AE53" i="1"/>
  <c r="CS53" i="1" s="1"/>
  <c r="R53" i="1" s="1"/>
  <c r="AF53" i="1"/>
  <c r="AG53" i="1"/>
  <c r="AH53" i="1"/>
  <c r="CV53" i="1" s="1"/>
  <c r="U53" i="1" s="1"/>
  <c r="AI53" i="1"/>
  <c r="CW53" i="1" s="1"/>
  <c r="V53" i="1" s="1"/>
  <c r="AJ53" i="1"/>
  <c r="CT53" i="1"/>
  <c r="S53" i="1" s="1"/>
  <c r="CZ53" i="1" s="1"/>
  <c r="Y53" i="1" s="1"/>
  <c r="V158" i="5" s="1"/>
  <c r="CU53" i="1"/>
  <c r="T53" i="1" s="1"/>
  <c r="CX53" i="1"/>
  <c r="W53" i="1" s="1"/>
  <c r="FR53" i="1"/>
  <c r="GK53" i="1"/>
  <c r="GL53" i="1"/>
  <c r="GO53" i="1"/>
  <c r="GP53" i="1"/>
  <c r="GV53" i="1"/>
  <c r="GX53" i="1" s="1"/>
  <c r="I54" i="1"/>
  <c r="E159" i="5" s="1"/>
  <c r="AC54" i="1"/>
  <c r="AD54" i="1"/>
  <c r="CR54" i="1" s="1"/>
  <c r="AE54" i="1"/>
  <c r="AF54" i="1"/>
  <c r="AG54" i="1"/>
  <c r="CU54" i="1" s="1"/>
  <c r="T54" i="1" s="1"/>
  <c r="AH54" i="1"/>
  <c r="CV54" i="1" s="1"/>
  <c r="AI54" i="1"/>
  <c r="AJ54" i="1"/>
  <c r="CX54" i="1" s="1"/>
  <c r="W54" i="1" s="1"/>
  <c r="CS54" i="1"/>
  <c r="R54" i="1" s="1"/>
  <c r="GK54" i="1" s="1"/>
  <c r="CT54" i="1"/>
  <c r="S54" i="1" s="1"/>
  <c r="CW54" i="1"/>
  <c r="V54" i="1" s="1"/>
  <c r="FR54" i="1"/>
  <c r="GL54" i="1"/>
  <c r="GO54" i="1"/>
  <c r="GP54" i="1"/>
  <c r="GV54" i="1"/>
  <c r="GX54" i="1"/>
  <c r="I55" i="1"/>
  <c r="E160" i="5" s="1"/>
  <c r="AC55" i="1"/>
  <c r="AE55" i="1"/>
  <c r="AF55" i="1"/>
  <c r="AG55" i="1"/>
  <c r="CU55" i="1" s="1"/>
  <c r="AH55" i="1"/>
  <c r="AI55" i="1"/>
  <c r="CW55" i="1" s="1"/>
  <c r="V55" i="1" s="1"/>
  <c r="AJ55" i="1"/>
  <c r="CX55" i="1" s="1"/>
  <c r="W55" i="1" s="1"/>
  <c r="CT55" i="1"/>
  <c r="S55" i="1" s="1"/>
  <c r="CV55" i="1"/>
  <c r="U55" i="1" s="1"/>
  <c r="FR55" i="1"/>
  <c r="GL55" i="1"/>
  <c r="GO55" i="1"/>
  <c r="GP55" i="1"/>
  <c r="GV55" i="1"/>
  <c r="GX55" i="1" s="1"/>
  <c r="I56" i="1"/>
  <c r="E161" i="5" s="1"/>
  <c r="AC56" i="1"/>
  <c r="AE56" i="1"/>
  <c r="AD56" i="1" s="1"/>
  <c r="AF56" i="1"/>
  <c r="AG56" i="1"/>
  <c r="CU56" i="1" s="1"/>
  <c r="T56" i="1" s="1"/>
  <c r="AH56" i="1"/>
  <c r="CV56" i="1" s="1"/>
  <c r="AI56" i="1"/>
  <c r="CW56" i="1" s="1"/>
  <c r="AJ56" i="1"/>
  <c r="CX56" i="1" s="1"/>
  <c r="CQ56" i="1"/>
  <c r="P56" i="1" s="1"/>
  <c r="CS56" i="1"/>
  <c r="FR56" i="1"/>
  <c r="GL56" i="1"/>
  <c r="GO56" i="1"/>
  <c r="GP56" i="1"/>
  <c r="GV56" i="1"/>
  <c r="GX56" i="1"/>
  <c r="I57" i="1"/>
  <c r="E162" i="5" s="1"/>
  <c r="AC57" i="1"/>
  <c r="AE57" i="1"/>
  <c r="AF57" i="1"/>
  <c r="AG57" i="1"/>
  <c r="AH57" i="1"/>
  <c r="CV57" i="1" s="1"/>
  <c r="AI57" i="1"/>
  <c r="CW57" i="1" s="1"/>
  <c r="V57" i="1" s="1"/>
  <c r="AJ57" i="1"/>
  <c r="CQ57" i="1"/>
  <c r="CT57" i="1"/>
  <c r="CU57" i="1"/>
  <c r="T57" i="1" s="1"/>
  <c r="CX57" i="1"/>
  <c r="W57" i="1" s="1"/>
  <c r="FR57" i="1"/>
  <c r="GL57" i="1"/>
  <c r="GO57" i="1"/>
  <c r="GP57" i="1"/>
  <c r="GV57" i="1"/>
  <c r="I58" i="1"/>
  <c r="E163" i="5" s="1"/>
  <c r="AC58" i="1"/>
  <c r="AD58" i="1"/>
  <c r="CR58" i="1" s="1"/>
  <c r="AE58" i="1"/>
  <c r="AF58" i="1"/>
  <c r="AG58" i="1"/>
  <c r="CU58" i="1" s="1"/>
  <c r="T58" i="1" s="1"/>
  <c r="AH58" i="1"/>
  <c r="CV58" i="1" s="1"/>
  <c r="AI58" i="1"/>
  <c r="AJ58" i="1"/>
  <c r="CX58" i="1" s="1"/>
  <c r="W58" i="1" s="1"/>
  <c r="CS58" i="1"/>
  <c r="R58" i="1" s="1"/>
  <c r="GK58" i="1" s="1"/>
  <c r="CW58" i="1"/>
  <c r="V58" i="1" s="1"/>
  <c r="FR58" i="1"/>
  <c r="GL58" i="1"/>
  <c r="GO58" i="1"/>
  <c r="GP58" i="1"/>
  <c r="GV58" i="1"/>
  <c r="GX58" i="1" s="1"/>
  <c r="I59" i="1"/>
  <c r="E164" i="5" s="1"/>
  <c r="AC59" i="1"/>
  <c r="AE59" i="1"/>
  <c r="AF59" i="1"/>
  <c r="AG59" i="1"/>
  <c r="CU59" i="1" s="1"/>
  <c r="AH59" i="1"/>
  <c r="AI59" i="1"/>
  <c r="CW59" i="1" s="1"/>
  <c r="V59" i="1" s="1"/>
  <c r="AJ59" i="1"/>
  <c r="CT59" i="1"/>
  <c r="S59" i="1" s="1"/>
  <c r="CV59" i="1"/>
  <c r="U59" i="1" s="1"/>
  <c r="CX59" i="1"/>
  <c r="W59" i="1" s="1"/>
  <c r="FR59" i="1"/>
  <c r="GL59" i="1"/>
  <c r="GO59" i="1"/>
  <c r="GP59" i="1"/>
  <c r="GV59" i="1"/>
  <c r="GX59" i="1" s="1"/>
  <c r="I60" i="1"/>
  <c r="E165" i="5" s="1"/>
  <c r="AC60" i="1"/>
  <c r="AE60" i="1"/>
  <c r="AD60" i="1" s="1"/>
  <c r="AF60" i="1"/>
  <c r="AG60" i="1"/>
  <c r="AH60" i="1"/>
  <c r="CV60" i="1" s="1"/>
  <c r="U60" i="1" s="1"/>
  <c r="AI60" i="1"/>
  <c r="CW60" i="1" s="1"/>
  <c r="V60" i="1" s="1"/>
  <c r="AJ60" i="1"/>
  <c r="CX60" i="1" s="1"/>
  <c r="CS60" i="1"/>
  <c r="R60" i="1" s="1"/>
  <c r="CU60" i="1"/>
  <c r="T60" i="1" s="1"/>
  <c r="FR60" i="1"/>
  <c r="GL60" i="1"/>
  <c r="GO60" i="1"/>
  <c r="GP60" i="1"/>
  <c r="GV60" i="1"/>
  <c r="GX60" i="1"/>
  <c r="I61" i="1"/>
  <c r="E166" i="5" s="1"/>
  <c r="AC61" i="1"/>
  <c r="AE61" i="1"/>
  <c r="CS61" i="1" s="1"/>
  <c r="AF61" i="1"/>
  <c r="AG61" i="1"/>
  <c r="CU61" i="1" s="1"/>
  <c r="T61" i="1" s="1"/>
  <c r="AH61" i="1"/>
  <c r="CV61" i="1" s="1"/>
  <c r="AI61" i="1"/>
  <c r="CW61" i="1" s="1"/>
  <c r="AJ61" i="1"/>
  <c r="CQ61" i="1"/>
  <c r="CT61" i="1"/>
  <c r="CX61" i="1"/>
  <c r="FR61" i="1"/>
  <c r="GL61" i="1"/>
  <c r="GO61" i="1"/>
  <c r="GP61" i="1"/>
  <c r="GV61" i="1"/>
  <c r="I62" i="1"/>
  <c r="E167" i="5" s="1"/>
  <c r="V62" i="1"/>
  <c r="AC62" i="1"/>
  <c r="AD62" i="1"/>
  <c r="CR62" i="1" s="1"/>
  <c r="AE62" i="1"/>
  <c r="AF62" i="1"/>
  <c r="AG62" i="1"/>
  <c r="CU62" i="1" s="1"/>
  <c r="T62" i="1" s="1"/>
  <c r="AH62" i="1"/>
  <c r="CV62" i="1" s="1"/>
  <c r="AI62" i="1"/>
  <c r="AJ62" i="1"/>
  <c r="CX62" i="1" s="1"/>
  <c r="W62" i="1" s="1"/>
  <c r="CS62" i="1"/>
  <c r="R62" i="1" s="1"/>
  <c r="GK62" i="1" s="1"/>
  <c r="CW62" i="1"/>
  <c r="FR62" i="1"/>
  <c r="GL62" i="1"/>
  <c r="GO62" i="1"/>
  <c r="GP62" i="1"/>
  <c r="GV62" i="1"/>
  <c r="GX62" i="1" s="1"/>
  <c r="I63" i="1"/>
  <c r="E168" i="5" s="1"/>
  <c r="AC63" i="1"/>
  <c r="AE63" i="1"/>
  <c r="AF63" i="1"/>
  <c r="AG63" i="1"/>
  <c r="CU63" i="1" s="1"/>
  <c r="AH63" i="1"/>
  <c r="AI63" i="1"/>
  <c r="CW63" i="1" s="1"/>
  <c r="V63" i="1" s="1"/>
  <c r="AJ63" i="1"/>
  <c r="CV63" i="1"/>
  <c r="U63" i="1" s="1"/>
  <c r="CX63" i="1"/>
  <c r="W63" i="1" s="1"/>
  <c r="FR63" i="1"/>
  <c r="GL63" i="1"/>
  <c r="GO63" i="1"/>
  <c r="GP63" i="1"/>
  <c r="GV63" i="1"/>
  <c r="GX63" i="1" s="1"/>
  <c r="I64" i="1"/>
  <c r="E169" i="5" s="1"/>
  <c r="AC64" i="1"/>
  <c r="AE64" i="1"/>
  <c r="AF64" i="1"/>
  <c r="AG64" i="1"/>
  <c r="AH64" i="1"/>
  <c r="CV64" i="1" s="1"/>
  <c r="U64" i="1" s="1"/>
  <c r="AI64" i="1"/>
  <c r="CW64" i="1" s="1"/>
  <c r="V64" i="1" s="1"/>
  <c r="AJ64" i="1"/>
  <c r="CX64" i="1" s="1"/>
  <c r="CU64" i="1"/>
  <c r="T64" i="1" s="1"/>
  <c r="FR64" i="1"/>
  <c r="GL64" i="1"/>
  <c r="GO64" i="1"/>
  <c r="GP64" i="1"/>
  <c r="GV64" i="1"/>
  <c r="GX64" i="1" s="1"/>
  <c r="C65" i="1"/>
  <c r="D65" i="1"/>
  <c r="I65" i="1"/>
  <c r="AC65" i="1"/>
  <c r="AE65" i="1"/>
  <c r="AD65" i="1" s="1"/>
  <c r="AF65" i="1"/>
  <c r="AG65" i="1"/>
  <c r="CU65" i="1" s="1"/>
  <c r="AH65" i="1"/>
  <c r="AI65" i="1"/>
  <c r="AJ65" i="1"/>
  <c r="CX65" i="1" s="1"/>
  <c r="W65" i="1" s="1"/>
  <c r="CR65" i="1"/>
  <c r="CS65" i="1"/>
  <c r="CV65" i="1"/>
  <c r="U65" i="1" s="1"/>
  <c r="CW65" i="1"/>
  <c r="V65" i="1" s="1"/>
  <c r="FR65" i="1"/>
  <c r="GL65" i="1"/>
  <c r="GO65" i="1"/>
  <c r="GP65" i="1"/>
  <c r="GV65" i="1"/>
  <c r="AC66" i="1"/>
  <c r="AE66" i="1"/>
  <c r="AD66" i="1" s="1"/>
  <c r="AF66" i="1"/>
  <c r="AG66" i="1"/>
  <c r="AH66" i="1"/>
  <c r="CV66" i="1" s="1"/>
  <c r="AI66" i="1"/>
  <c r="CW66" i="1" s="1"/>
  <c r="AJ66" i="1"/>
  <c r="CX66" i="1" s="1"/>
  <c r="CQ66" i="1"/>
  <c r="CS66" i="1"/>
  <c r="CU66" i="1"/>
  <c r="FR66" i="1"/>
  <c r="GL66" i="1"/>
  <c r="GO66" i="1"/>
  <c r="GP66" i="1"/>
  <c r="GV66" i="1"/>
  <c r="AC67" i="1"/>
  <c r="AD67" i="1"/>
  <c r="CR67" i="1" s="1"/>
  <c r="AE67" i="1"/>
  <c r="CS67" i="1" s="1"/>
  <c r="AF67" i="1"/>
  <c r="AG67" i="1"/>
  <c r="AH67" i="1"/>
  <c r="CV67" i="1" s="1"/>
  <c r="AI67" i="1"/>
  <c r="CW67" i="1" s="1"/>
  <c r="AJ67" i="1"/>
  <c r="CT67" i="1"/>
  <c r="CU67" i="1"/>
  <c r="CX67" i="1"/>
  <c r="FR67" i="1"/>
  <c r="GL67" i="1"/>
  <c r="GO67" i="1"/>
  <c r="GP67" i="1"/>
  <c r="GV67" i="1"/>
  <c r="AC68" i="1"/>
  <c r="AD68" i="1"/>
  <c r="CR68" i="1" s="1"/>
  <c r="AE68" i="1"/>
  <c r="AF68" i="1"/>
  <c r="AG68" i="1"/>
  <c r="CU68" i="1" s="1"/>
  <c r="AH68" i="1"/>
  <c r="CV68" i="1" s="1"/>
  <c r="AI68" i="1"/>
  <c r="AJ68" i="1"/>
  <c r="CQ68" i="1"/>
  <c r="CS68" i="1"/>
  <c r="CT68" i="1"/>
  <c r="CW68" i="1"/>
  <c r="CX68" i="1"/>
  <c r="FR68" i="1"/>
  <c r="GL68" i="1"/>
  <c r="GO68" i="1"/>
  <c r="GP68" i="1"/>
  <c r="GV68" i="1"/>
  <c r="C69" i="1"/>
  <c r="D69" i="1"/>
  <c r="P69" i="1"/>
  <c r="K186" i="5" s="1"/>
  <c r="U69" i="1"/>
  <c r="AC69" i="1"/>
  <c r="H186" i="5" s="1"/>
  <c r="AE69" i="1"/>
  <c r="AF69" i="1"/>
  <c r="AG69" i="1"/>
  <c r="CU69" i="1" s="1"/>
  <c r="T69" i="1" s="1"/>
  <c r="AH69" i="1"/>
  <c r="AI69" i="1"/>
  <c r="CW69" i="1" s="1"/>
  <c r="V69" i="1" s="1"/>
  <c r="AJ69" i="1"/>
  <c r="CX69" i="1" s="1"/>
  <c r="W69" i="1" s="1"/>
  <c r="CQ69" i="1"/>
  <c r="CV69" i="1"/>
  <c r="FR69" i="1"/>
  <c r="GL69" i="1"/>
  <c r="GO69" i="1"/>
  <c r="GP69" i="1"/>
  <c r="GV69" i="1"/>
  <c r="GX69" i="1" s="1"/>
  <c r="C70" i="1"/>
  <c r="D70" i="1"/>
  <c r="AC70" i="1"/>
  <c r="AD70" i="1"/>
  <c r="AE70" i="1"/>
  <c r="H194" i="5" s="1"/>
  <c r="R194" i="5" s="1"/>
  <c r="AF70" i="1"/>
  <c r="AG70" i="1"/>
  <c r="CU70" i="1" s="1"/>
  <c r="T70" i="1" s="1"/>
  <c r="AH70" i="1"/>
  <c r="CV70" i="1" s="1"/>
  <c r="U70" i="1" s="1"/>
  <c r="AI70" i="1"/>
  <c r="CW70" i="1" s="1"/>
  <c r="V70" i="1" s="1"/>
  <c r="AJ70" i="1"/>
  <c r="CX70" i="1" s="1"/>
  <c r="W70" i="1" s="1"/>
  <c r="CS70" i="1"/>
  <c r="R70" i="1" s="1"/>
  <c r="K194" i="5" s="1"/>
  <c r="CT70" i="1"/>
  <c r="S70" i="1" s="1"/>
  <c r="K192" i="5" s="1"/>
  <c r="FR70" i="1"/>
  <c r="GK70" i="1"/>
  <c r="GL70" i="1"/>
  <c r="GO70" i="1"/>
  <c r="GP70" i="1"/>
  <c r="GV70" i="1"/>
  <c r="GX70" i="1" s="1"/>
  <c r="C71" i="1"/>
  <c r="D71" i="1"/>
  <c r="R71" i="1"/>
  <c r="AC71" i="1"/>
  <c r="H204" i="5" s="1"/>
  <c r="AE71" i="1"/>
  <c r="AF71" i="1"/>
  <c r="AG71" i="1"/>
  <c r="AH71" i="1"/>
  <c r="CV71" i="1" s="1"/>
  <c r="U71" i="1" s="1"/>
  <c r="AI71" i="1"/>
  <c r="CW71" i="1" s="1"/>
  <c r="V71" i="1" s="1"/>
  <c r="AJ71" i="1"/>
  <c r="CX71" i="1" s="1"/>
  <c r="W71" i="1" s="1"/>
  <c r="CQ71" i="1"/>
  <c r="P71" i="1" s="1"/>
  <c r="CS71" i="1"/>
  <c r="CU71" i="1"/>
  <c r="T71" i="1" s="1"/>
  <c r="FR71" i="1"/>
  <c r="GL71" i="1"/>
  <c r="GO71" i="1"/>
  <c r="GP71" i="1"/>
  <c r="GV71" i="1"/>
  <c r="GX71" i="1" s="1"/>
  <c r="I72" i="1"/>
  <c r="E208" i="5" s="1"/>
  <c r="AC72" i="1"/>
  <c r="AE72" i="1"/>
  <c r="CS72" i="1" s="1"/>
  <c r="AF72" i="1"/>
  <c r="AG72" i="1"/>
  <c r="AH72" i="1"/>
  <c r="AI72" i="1"/>
  <c r="CW72" i="1" s="1"/>
  <c r="AJ72" i="1"/>
  <c r="CX72" i="1" s="1"/>
  <c r="W72" i="1" s="1"/>
  <c r="CU72" i="1"/>
  <c r="T72" i="1" s="1"/>
  <c r="CV72" i="1"/>
  <c r="U72" i="1" s="1"/>
  <c r="FR72" i="1"/>
  <c r="GL72" i="1"/>
  <c r="GO72" i="1"/>
  <c r="GP72" i="1"/>
  <c r="GV72" i="1"/>
  <c r="GX72" i="1" s="1"/>
  <c r="I73" i="1"/>
  <c r="AC73" i="1"/>
  <c r="AD73" i="1"/>
  <c r="CR73" i="1" s="1"/>
  <c r="Q73" i="1" s="1"/>
  <c r="AE73" i="1"/>
  <c r="AF73" i="1"/>
  <c r="AG73" i="1"/>
  <c r="CU73" i="1" s="1"/>
  <c r="T73" i="1" s="1"/>
  <c r="AH73" i="1"/>
  <c r="CV73" i="1" s="1"/>
  <c r="U73" i="1" s="1"/>
  <c r="AI73" i="1"/>
  <c r="AJ73" i="1"/>
  <c r="CQ73" i="1"/>
  <c r="P73" i="1" s="1"/>
  <c r="CS73" i="1"/>
  <c r="R73" i="1" s="1"/>
  <c r="GK73" i="1" s="1"/>
  <c r="CW73" i="1"/>
  <c r="CX73" i="1"/>
  <c r="W73" i="1" s="1"/>
  <c r="FR73" i="1"/>
  <c r="GL73" i="1"/>
  <c r="GO73" i="1"/>
  <c r="GP73" i="1"/>
  <c r="GV73" i="1"/>
  <c r="C74" i="1"/>
  <c r="D74" i="1"/>
  <c r="AC74" i="1"/>
  <c r="H215" i="5" s="1"/>
  <c r="AE74" i="1"/>
  <c r="H214" i="5" s="1"/>
  <c r="R214" i="5" s="1"/>
  <c r="AF74" i="1"/>
  <c r="AG74" i="1"/>
  <c r="CU74" i="1" s="1"/>
  <c r="T74" i="1" s="1"/>
  <c r="AH74" i="1"/>
  <c r="AI74" i="1"/>
  <c r="CW74" i="1" s="1"/>
  <c r="V74" i="1" s="1"/>
  <c r="AJ74" i="1"/>
  <c r="CX74" i="1" s="1"/>
  <c r="W74" i="1" s="1"/>
  <c r="CQ74" i="1"/>
  <c r="P74" i="1" s="1"/>
  <c r="K215" i="5" s="1"/>
  <c r="CV74" i="1"/>
  <c r="U74" i="1" s="1"/>
  <c r="FR74" i="1"/>
  <c r="GL74" i="1"/>
  <c r="GO74" i="1"/>
  <c r="GP74" i="1"/>
  <c r="GV74" i="1"/>
  <c r="GX74" i="1" s="1"/>
  <c r="I75" i="1"/>
  <c r="E219" i="5" s="1"/>
  <c r="AC75" i="1"/>
  <c r="H219" i="5" s="1"/>
  <c r="W219" i="5" s="1"/>
  <c r="AD75" i="1"/>
  <c r="CR75" i="1" s="1"/>
  <c r="Q75" i="1" s="1"/>
  <c r="AE75" i="1"/>
  <c r="CS75" i="1" s="1"/>
  <c r="AF75" i="1"/>
  <c r="AG75" i="1"/>
  <c r="CU75" i="1" s="1"/>
  <c r="T75" i="1" s="1"/>
  <c r="AH75" i="1"/>
  <c r="CV75" i="1" s="1"/>
  <c r="U75" i="1" s="1"/>
  <c r="AI75" i="1"/>
  <c r="CW75" i="1" s="1"/>
  <c r="AJ75" i="1"/>
  <c r="CQ75" i="1"/>
  <c r="P75" i="1" s="1"/>
  <c r="CT75" i="1"/>
  <c r="S75" i="1" s="1"/>
  <c r="CX75" i="1"/>
  <c r="FR75" i="1"/>
  <c r="GL75" i="1"/>
  <c r="GO75" i="1"/>
  <c r="GP75" i="1"/>
  <c r="GV75" i="1"/>
  <c r="GX75" i="1" s="1"/>
  <c r="I76" i="1"/>
  <c r="E220" i="5" s="1"/>
  <c r="AC76" i="1"/>
  <c r="AD76" i="1"/>
  <c r="CR76" i="1" s="1"/>
  <c r="Q76" i="1" s="1"/>
  <c r="AE76" i="1"/>
  <c r="CS76" i="1" s="1"/>
  <c r="R76" i="1" s="1"/>
  <c r="GK76" i="1" s="1"/>
  <c r="AF76" i="1"/>
  <c r="AG76" i="1"/>
  <c r="CU76" i="1" s="1"/>
  <c r="AH76" i="1"/>
  <c r="CV76" i="1" s="1"/>
  <c r="U76" i="1" s="1"/>
  <c r="AI76" i="1"/>
  <c r="AJ76" i="1"/>
  <c r="CT76" i="1"/>
  <c r="CW76" i="1"/>
  <c r="V76" i="1" s="1"/>
  <c r="CX76" i="1"/>
  <c r="W76" i="1" s="1"/>
  <c r="FR76" i="1"/>
  <c r="GL76" i="1"/>
  <c r="GO76" i="1"/>
  <c r="GP76" i="1"/>
  <c r="GV76" i="1"/>
  <c r="C77" i="1"/>
  <c r="D77" i="1"/>
  <c r="AC77" i="1"/>
  <c r="AE77" i="1"/>
  <c r="AF77" i="1"/>
  <c r="AG77" i="1"/>
  <c r="AH77" i="1"/>
  <c r="AI77" i="1"/>
  <c r="CW77" i="1" s="1"/>
  <c r="V77" i="1" s="1"/>
  <c r="AJ77" i="1"/>
  <c r="CX77" i="1" s="1"/>
  <c r="W77" i="1" s="1"/>
  <c r="CS77" i="1"/>
  <c r="R77" i="1" s="1"/>
  <c r="CU77" i="1"/>
  <c r="T77" i="1" s="1"/>
  <c r="CV77" i="1"/>
  <c r="U77" i="1" s="1"/>
  <c r="FR77" i="1"/>
  <c r="GL77" i="1"/>
  <c r="GO77" i="1"/>
  <c r="GP77" i="1"/>
  <c r="GV77" i="1"/>
  <c r="GX77" i="1" s="1"/>
  <c r="I78" i="1"/>
  <c r="E230" i="5" s="1"/>
  <c r="AC78" i="1"/>
  <c r="AD78" i="1"/>
  <c r="AE78" i="1"/>
  <c r="CS78" i="1" s="1"/>
  <c r="R78" i="1" s="1"/>
  <c r="GK78" i="1" s="1"/>
  <c r="AF78" i="1"/>
  <c r="AG78" i="1"/>
  <c r="CU78" i="1" s="1"/>
  <c r="T78" i="1" s="1"/>
  <c r="AH78" i="1"/>
  <c r="CV78" i="1" s="1"/>
  <c r="U78" i="1" s="1"/>
  <c r="AI78" i="1"/>
  <c r="CW78" i="1" s="1"/>
  <c r="V78" i="1" s="1"/>
  <c r="AJ78" i="1"/>
  <c r="CQ78" i="1"/>
  <c r="P78" i="1" s="1"/>
  <c r="CR78" i="1"/>
  <c r="Q78" i="1" s="1"/>
  <c r="CT78" i="1"/>
  <c r="S78" i="1" s="1"/>
  <c r="CZ78" i="1" s="1"/>
  <c r="Y78" i="1" s="1"/>
  <c r="V230" i="5" s="1"/>
  <c r="CX78" i="1"/>
  <c r="W78" i="1" s="1"/>
  <c r="CY78" i="1"/>
  <c r="X78" i="1" s="1"/>
  <c r="T230" i="5" s="1"/>
  <c r="FR78" i="1"/>
  <c r="GL78" i="1"/>
  <c r="GO78" i="1"/>
  <c r="GP78" i="1"/>
  <c r="GV78" i="1"/>
  <c r="GX78" i="1" s="1"/>
  <c r="I79" i="1"/>
  <c r="E231" i="5" s="1"/>
  <c r="R79" i="1"/>
  <c r="GK79" i="1" s="1"/>
  <c r="AC79" i="1"/>
  <c r="AD79" i="1"/>
  <c r="CR79" i="1" s="1"/>
  <c r="Q79" i="1" s="1"/>
  <c r="AE79" i="1"/>
  <c r="AF79" i="1"/>
  <c r="AG79" i="1"/>
  <c r="CU79" i="1" s="1"/>
  <c r="AH79" i="1"/>
  <c r="CV79" i="1" s="1"/>
  <c r="U79" i="1" s="1"/>
  <c r="AI79" i="1"/>
  <c r="AJ79" i="1"/>
  <c r="CX79" i="1" s="1"/>
  <c r="W79" i="1" s="1"/>
  <c r="CS79" i="1"/>
  <c r="CW79" i="1"/>
  <c r="V79" i="1" s="1"/>
  <c r="FR79" i="1"/>
  <c r="GL79" i="1"/>
  <c r="GO79" i="1"/>
  <c r="GP79" i="1"/>
  <c r="GV79" i="1"/>
  <c r="C80" i="1"/>
  <c r="D80" i="1"/>
  <c r="I80" i="1"/>
  <c r="AC80" i="1"/>
  <c r="AD80" i="1"/>
  <c r="AE80" i="1"/>
  <c r="AF80" i="1"/>
  <c r="AG80" i="1"/>
  <c r="AH80" i="1"/>
  <c r="CV80" i="1" s="1"/>
  <c r="U80" i="1" s="1"/>
  <c r="AI80" i="1"/>
  <c r="CW80" i="1" s="1"/>
  <c r="AJ80" i="1"/>
  <c r="CT80" i="1"/>
  <c r="CU80" i="1"/>
  <c r="T80" i="1" s="1"/>
  <c r="CX80" i="1"/>
  <c r="W80" i="1" s="1"/>
  <c r="FR80" i="1"/>
  <c r="GL80" i="1"/>
  <c r="GO80" i="1"/>
  <c r="GP80" i="1"/>
  <c r="GV80" i="1"/>
  <c r="C81" i="1"/>
  <c r="D81" i="1"/>
  <c r="I81" i="1"/>
  <c r="U81" i="1"/>
  <c r="AC81" i="1"/>
  <c r="H248" i="5" s="1"/>
  <c r="AD81" i="1"/>
  <c r="H246" i="5" s="1"/>
  <c r="AE81" i="1"/>
  <c r="AF81" i="1"/>
  <c r="AG81" i="1"/>
  <c r="AH81" i="1"/>
  <c r="AI81" i="1"/>
  <c r="AJ81" i="1"/>
  <c r="CX81" i="1" s="1"/>
  <c r="W81" i="1" s="1"/>
  <c r="CQ81" i="1"/>
  <c r="P81" i="1" s="1"/>
  <c r="K248" i="5" s="1"/>
  <c r="CR81" i="1"/>
  <c r="Q81" i="1" s="1"/>
  <c r="K246" i="5" s="1"/>
  <c r="CS81" i="1"/>
  <c r="R81" i="1" s="1"/>
  <c r="CU81" i="1"/>
  <c r="T81" i="1" s="1"/>
  <c r="CV81" i="1"/>
  <c r="CW81" i="1"/>
  <c r="V81" i="1" s="1"/>
  <c r="FR81" i="1"/>
  <c r="GL81" i="1"/>
  <c r="GO81" i="1"/>
  <c r="GP81" i="1"/>
  <c r="GV81" i="1"/>
  <c r="GX81" i="1"/>
  <c r="AC82" i="1"/>
  <c r="AE82" i="1"/>
  <c r="CS82" i="1" s="1"/>
  <c r="AF82" i="1"/>
  <c r="AG82" i="1"/>
  <c r="CU82" i="1" s="1"/>
  <c r="AH82" i="1"/>
  <c r="CV82" i="1" s="1"/>
  <c r="AI82" i="1"/>
  <c r="CW82" i="1" s="1"/>
  <c r="AJ82" i="1"/>
  <c r="CT82" i="1"/>
  <c r="CX82" i="1"/>
  <c r="FR82" i="1"/>
  <c r="GL82" i="1"/>
  <c r="GO82" i="1"/>
  <c r="GP82" i="1"/>
  <c r="GV82" i="1"/>
  <c r="C83" i="1"/>
  <c r="D83" i="1"/>
  <c r="AC83" i="1"/>
  <c r="AE83" i="1"/>
  <c r="AD83" i="1" s="1"/>
  <c r="CR83" i="1" s="1"/>
  <c r="Q83" i="1" s="1"/>
  <c r="AF83" i="1"/>
  <c r="AG83" i="1"/>
  <c r="CU83" i="1" s="1"/>
  <c r="T83" i="1" s="1"/>
  <c r="AH83" i="1"/>
  <c r="CV83" i="1" s="1"/>
  <c r="U83" i="1" s="1"/>
  <c r="AI83" i="1"/>
  <c r="CW83" i="1" s="1"/>
  <c r="V83" i="1" s="1"/>
  <c r="AJ83" i="1"/>
  <c r="CS83" i="1"/>
  <c r="R83" i="1" s="1"/>
  <c r="GK83" i="1" s="1"/>
  <c r="CT83" i="1"/>
  <c r="S83" i="1" s="1"/>
  <c r="K255" i="5" s="1"/>
  <c r="CX83" i="1"/>
  <c r="W83" i="1" s="1"/>
  <c r="FR83" i="1"/>
  <c r="GL83" i="1"/>
  <c r="GO83" i="1"/>
  <c r="GP83" i="1"/>
  <c r="GV83" i="1"/>
  <c r="GX83" i="1" s="1"/>
  <c r="O84" i="1"/>
  <c r="P84" i="1"/>
  <c r="Q84" i="1"/>
  <c r="R84" i="1"/>
  <c r="GK84" i="1" s="1"/>
  <c r="S84" i="1"/>
  <c r="T84" i="1"/>
  <c r="U84" i="1"/>
  <c r="L262" i="5" s="1"/>
  <c r="Q262" i="5" s="1"/>
  <c r="V84" i="1"/>
  <c r="W84" i="1"/>
  <c r="X84" i="1"/>
  <c r="T261" i="5" s="1"/>
  <c r="Y84" i="1"/>
  <c r="V261" i="5" s="1"/>
  <c r="AB84" i="1"/>
  <c r="AC84" i="1"/>
  <c r="AD84" i="1"/>
  <c r="AE84" i="1"/>
  <c r="AF84" i="1"/>
  <c r="AG84" i="1"/>
  <c r="AH84" i="1"/>
  <c r="AI84" i="1"/>
  <c r="AJ84" i="1"/>
  <c r="FR84" i="1"/>
  <c r="GL84" i="1"/>
  <c r="GO84" i="1"/>
  <c r="GP84" i="1"/>
  <c r="GV84" i="1"/>
  <c r="GX84" i="1" s="1"/>
  <c r="O85" i="1"/>
  <c r="P85" i="1"/>
  <c r="Q85" i="1"/>
  <c r="R85" i="1"/>
  <c r="GK85" i="1" s="1"/>
  <c r="S85" i="1"/>
  <c r="T85" i="1"/>
  <c r="U85" i="1"/>
  <c r="L264" i="5" s="1"/>
  <c r="Q264" i="5" s="1"/>
  <c r="V85" i="1"/>
  <c r="W85" i="1"/>
  <c r="X85" i="1"/>
  <c r="T263" i="5" s="1"/>
  <c r="Y85" i="1"/>
  <c r="V263" i="5" s="1"/>
  <c r="AB85" i="1"/>
  <c r="H263" i="5" s="1"/>
  <c r="AC85" i="1"/>
  <c r="AD85" i="1"/>
  <c r="AE85" i="1"/>
  <c r="AF85" i="1"/>
  <c r="AG85" i="1"/>
  <c r="AH85" i="1"/>
  <c r="AI85" i="1"/>
  <c r="AJ85" i="1"/>
  <c r="CP85" i="1"/>
  <c r="GN85" i="1" s="1"/>
  <c r="FR85" i="1"/>
  <c r="GL85" i="1"/>
  <c r="GM85" i="1"/>
  <c r="K263" i="5" s="1"/>
  <c r="J264" i="5" s="1"/>
  <c r="P264" i="5" s="1"/>
  <c r="GO85" i="1"/>
  <c r="GP85" i="1"/>
  <c r="GV85" i="1"/>
  <c r="GX85" i="1" s="1"/>
  <c r="B87" i="1"/>
  <c r="B26" i="1" s="1"/>
  <c r="C87" i="1"/>
  <c r="C26" i="1" s="1"/>
  <c r="D87" i="1"/>
  <c r="D26" i="1" s="1"/>
  <c r="F87" i="1"/>
  <c r="F26" i="1" s="1"/>
  <c r="G87" i="1"/>
  <c r="AO87" i="1"/>
  <c r="AO26" i="1" s="1"/>
  <c r="BX87" i="1"/>
  <c r="BX26" i="1" s="1"/>
  <c r="CD87" i="1"/>
  <c r="CK87" i="1"/>
  <c r="CK26" i="1" s="1"/>
  <c r="CL87" i="1"/>
  <c r="D116" i="1"/>
  <c r="E118" i="1"/>
  <c r="Z118" i="1"/>
  <c r="AA118" i="1"/>
  <c r="AM118" i="1"/>
  <c r="AN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S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L118" i="1"/>
  <c r="GM118" i="1"/>
  <c r="GN118" i="1"/>
  <c r="GO118" i="1"/>
  <c r="GP118" i="1"/>
  <c r="GQ118" i="1"/>
  <c r="GR118" i="1"/>
  <c r="GS118" i="1"/>
  <c r="GT118" i="1"/>
  <c r="GU118" i="1"/>
  <c r="GV118" i="1"/>
  <c r="GW118" i="1"/>
  <c r="GX118" i="1"/>
  <c r="C120" i="1"/>
  <c r="D120" i="1"/>
  <c r="AC120" i="1"/>
  <c r="CQ120" i="1" s="1"/>
  <c r="P120" i="1" s="1"/>
  <c r="AE120" i="1"/>
  <c r="AF120" i="1"/>
  <c r="AG120" i="1"/>
  <c r="CU120" i="1" s="1"/>
  <c r="T120" i="1" s="1"/>
  <c r="AH120" i="1"/>
  <c r="CV120" i="1" s="1"/>
  <c r="U120" i="1" s="1"/>
  <c r="AI120" i="1"/>
  <c r="CW120" i="1" s="1"/>
  <c r="V120" i="1" s="1"/>
  <c r="AJ120" i="1"/>
  <c r="CX120" i="1" s="1"/>
  <c r="W120" i="1" s="1"/>
  <c r="FR120" i="1"/>
  <c r="GL120" i="1"/>
  <c r="GO120" i="1"/>
  <c r="CC131" i="1" s="1"/>
  <c r="CC118" i="1" s="1"/>
  <c r="GP120" i="1"/>
  <c r="GV120" i="1"/>
  <c r="GX120" i="1" s="1"/>
  <c r="C121" i="1"/>
  <c r="D121" i="1"/>
  <c r="AC121" i="1"/>
  <c r="AE121" i="1"/>
  <c r="AF121" i="1"/>
  <c r="AG121" i="1"/>
  <c r="CU121" i="1" s="1"/>
  <c r="T121" i="1" s="1"/>
  <c r="AH121" i="1"/>
  <c r="AI121" i="1"/>
  <c r="CW121" i="1" s="1"/>
  <c r="V121" i="1" s="1"/>
  <c r="AJ121" i="1"/>
  <c r="CX121" i="1" s="1"/>
  <c r="W121" i="1" s="1"/>
  <c r="CV121" i="1"/>
  <c r="U121" i="1" s="1"/>
  <c r="FR121" i="1"/>
  <c r="GL121" i="1"/>
  <c r="GO121" i="1"/>
  <c r="GP121" i="1"/>
  <c r="GV121" i="1"/>
  <c r="GX121" i="1" s="1"/>
  <c r="I122" i="1"/>
  <c r="E283" i="5" s="1"/>
  <c r="AC122" i="1"/>
  <c r="H283" i="5" s="1"/>
  <c r="W283" i="5" s="1"/>
  <c r="AD122" i="1"/>
  <c r="CR122" i="1" s="1"/>
  <c r="Q122" i="1" s="1"/>
  <c r="AE122" i="1"/>
  <c r="CS122" i="1" s="1"/>
  <c r="AF122" i="1"/>
  <c r="AG122" i="1"/>
  <c r="CU122" i="1" s="1"/>
  <c r="T122" i="1" s="1"/>
  <c r="AH122" i="1"/>
  <c r="CV122" i="1" s="1"/>
  <c r="U122" i="1" s="1"/>
  <c r="AI122" i="1"/>
  <c r="CW122" i="1" s="1"/>
  <c r="AJ122" i="1"/>
  <c r="CX122" i="1" s="1"/>
  <c r="W122" i="1" s="1"/>
  <c r="CQ122" i="1"/>
  <c r="P122" i="1" s="1"/>
  <c r="FR122" i="1"/>
  <c r="GL122" i="1"/>
  <c r="GO122" i="1"/>
  <c r="GP122" i="1"/>
  <c r="GV122" i="1"/>
  <c r="I123" i="1"/>
  <c r="E284" i="5" s="1"/>
  <c r="AC123" i="1"/>
  <c r="AE123" i="1"/>
  <c r="CS123" i="1" s="1"/>
  <c r="R123" i="1" s="1"/>
  <c r="AF123" i="1"/>
  <c r="AG123" i="1"/>
  <c r="CU123" i="1" s="1"/>
  <c r="T123" i="1" s="1"/>
  <c r="AH123" i="1"/>
  <c r="CV123" i="1" s="1"/>
  <c r="AI123" i="1"/>
  <c r="CW123" i="1" s="1"/>
  <c r="V123" i="1" s="1"/>
  <c r="AJ123" i="1"/>
  <c r="CX123" i="1" s="1"/>
  <c r="W123" i="1" s="1"/>
  <c r="FR123" i="1"/>
  <c r="GK123" i="1"/>
  <c r="GL123" i="1"/>
  <c r="GO123" i="1"/>
  <c r="GP123" i="1"/>
  <c r="GV123" i="1"/>
  <c r="GX123" i="1" s="1"/>
  <c r="C124" i="1"/>
  <c r="D124" i="1"/>
  <c r="AC124" i="1"/>
  <c r="AE124" i="1"/>
  <c r="H289" i="5" s="1"/>
  <c r="R289" i="5" s="1"/>
  <c r="AF124" i="1"/>
  <c r="AG124" i="1"/>
  <c r="CU124" i="1" s="1"/>
  <c r="T124" i="1" s="1"/>
  <c r="AH124" i="1"/>
  <c r="CV124" i="1" s="1"/>
  <c r="U124" i="1" s="1"/>
  <c r="AI124" i="1"/>
  <c r="CW124" i="1" s="1"/>
  <c r="V124" i="1" s="1"/>
  <c r="AJ124" i="1"/>
  <c r="CX124" i="1" s="1"/>
  <c r="W124" i="1" s="1"/>
  <c r="FR124" i="1"/>
  <c r="GL124" i="1"/>
  <c r="GO124" i="1"/>
  <c r="GP124" i="1"/>
  <c r="GV124" i="1"/>
  <c r="GX124" i="1" s="1"/>
  <c r="I125" i="1"/>
  <c r="E294" i="5" s="1"/>
  <c r="AC125" i="1"/>
  <c r="H294" i="5" s="1"/>
  <c r="W294" i="5" s="1"/>
  <c r="AD125" i="1"/>
  <c r="AE125" i="1"/>
  <c r="CS125" i="1" s="1"/>
  <c r="R125" i="1" s="1"/>
  <c r="GK125" i="1" s="1"/>
  <c r="AF125" i="1"/>
  <c r="AG125" i="1"/>
  <c r="CU125" i="1" s="1"/>
  <c r="T125" i="1" s="1"/>
  <c r="AH125" i="1"/>
  <c r="CV125" i="1" s="1"/>
  <c r="U125" i="1" s="1"/>
  <c r="AI125" i="1"/>
  <c r="CW125" i="1" s="1"/>
  <c r="V125" i="1" s="1"/>
  <c r="AJ125" i="1"/>
  <c r="CX125" i="1" s="1"/>
  <c r="W125" i="1" s="1"/>
  <c r="CQ125" i="1"/>
  <c r="P125" i="1" s="1"/>
  <c r="CR125" i="1"/>
  <c r="Q125" i="1" s="1"/>
  <c r="FR125" i="1"/>
  <c r="GL125" i="1"/>
  <c r="GO125" i="1"/>
  <c r="GP125" i="1"/>
  <c r="GV125" i="1"/>
  <c r="GX125" i="1" s="1"/>
  <c r="C126" i="1"/>
  <c r="D126" i="1"/>
  <c r="AC126" i="1"/>
  <c r="AE126" i="1"/>
  <c r="H299" i="5" s="1"/>
  <c r="R299" i="5" s="1"/>
  <c r="AF126" i="1"/>
  <c r="AG126" i="1"/>
  <c r="AH126" i="1"/>
  <c r="CV126" i="1" s="1"/>
  <c r="U126" i="1" s="1"/>
  <c r="AI126" i="1"/>
  <c r="AJ126" i="1"/>
  <c r="CX126" i="1" s="1"/>
  <c r="W126" i="1" s="1"/>
  <c r="CQ126" i="1"/>
  <c r="P126" i="1" s="1"/>
  <c r="CU126" i="1"/>
  <c r="T126" i="1" s="1"/>
  <c r="CW126" i="1"/>
  <c r="V126" i="1" s="1"/>
  <c r="FR126" i="1"/>
  <c r="GL126" i="1"/>
  <c r="GO126" i="1"/>
  <c r="GP126" i="1"/>
  <c r="GV126" i="1"/>
  <c r="GX126" i="1"/>
  <c r="I127" i="1"/>
  <c r="E304" i="5" s="1"/>
  <c r="AC127" i="1"/>
  <c r="AE127" i="1"/>
  <c r="AF127" i="1"/>
  <c r="AG127" i="1"/>
  <c r="CU127" i="1" s="1"/>
  <c r="AH127" i="1"/>
  <c r="AI127" i="1"/>
  <c r="CW127" i="1" s="1"/>
  <c r="V127" i="1" s="1"/>
  <c r="AJ127" i="1"/>
  <c r="CX127" i="1" s="1"/>
  <c r="W127" i="1" s="1"/>
  <c r="CT127" i="1"/>
  <c r="S127" i="1" s="1"/>
  <c r="CV127" i="1"/>
  <c r="U127" i="1" s="1"/>
  <c r="FR127" i="1"/>
  <c r="GL127" i="1"/>
  <c r="GO127" i="1"/>
  <c r="GP127" i="1"/>
  <c r="GV127" i="1"/>
  <c r="GX127" i="1"/>
  <c r="I128" i="1"/>
  <c r="E305" i="5" s="1"/>
  <c r="AC128" i="1"/>
  <c r="H305" i="5" s="1"/>
  <c r="W305" i="5" s="1"/>
  <c r="AD128" i="1"/>
  <c r="AE128" i="1"/>
  <c r="AF128" i="1"/>
  <c r="AG128" i="1"/>
  <c r="CU128" i="1" s="1"/>
  <c r="T128" i="1" s="1"/>
  <c r="AH128" i="1"/>
  <c r="CV128" i="1" s="1"/>
  <c r="U128" i="1" s="1"/>
  <c r="AI128" i="1"/>
  <c r="AJ128" i="1"/>
  <c r="CX128" i="1" s="1"/>
  <c r="CQ128" i="1"/>
  <c r="P128" i="1" s="1"/>
  <c r="CR128" i="1"/>
  <c r="Q128" i="1" s="1"/>
  <c r="CS128" i="1"/>
  <c r="R128" i="1" s="1"/>
  <c r="GK128" i="1" s="1"/>
  <c r="CW128" i="1"/>
  <c r="V128" i="1" s="1"/>
  <c r="FR128" i="1"/>
  <c r="GL128" i="1"/>
  <c r="GO128" i="1"/>
  <c r="GP128" i="1"/>
  <c r="GV128" i="1"/>
  <c r="GX128" i="1" s="1"/>
  <c r="C129" i="1"/>
  <c r="D129" i="1"/>
  <c r="S129" i="1"/>
  <c r="AC129" i="1"/>
  <c r="AE129" i="1"/>
  <c r="AF129" i="1"/>
  <c r="AG129" i="1"/>
  <c r="AH129" i="1"/>
  <c r="CV129" i="1" s="1"/>
  <c r="U129" i="1" s="1"/>
  <c r="AI129" i="1"/>
  <c r="CW129" i="1" s="1"/>
  <c r="V129" i="1" s="1"/>
  <c r="AJ129" i="1"/>
  <c r="CX129" i="1" s="1"/>
  <c r="W129" i="1" s="1"/>
  <c r="CQ129" i="1"/>
  <c r="P129" i="1" s="1"/>
  <c r="CT129" i="1"/>
  <c r="CU129" i="1"/>
  <c r="T129" i="1" s="1"/>
  <c r="FR129" i="1"/>
  <c r="GL129" i="1"/>
  <c r="GO129" i="1"/>
  <c r="GP129" i="1"/>
  <c r="GV129" i="1"/>
  <c r="GX129" i="1" s="1"/>
  <c r="B131" i="1"/>
  <c r="B118" i="1" s="1"/>
  <c r="C131" i="1"/>
  <c r="C118" i="1" s="1"/>
  <c r="D131" i="1"/>
  <c r="D118" i="1" s="1"/>
  <c r="F131" i="1"/>
  <c r="F118" i="1" s="1"/>
  <c r="G131" i="1"/>
  <c r="AO131" i="1"/>
  <c r="BX131" i="1"/>
  <c r="BX118" i="1" s="1"/>
  <c r="CD131" i="1"/>
  <c r="CD118" i="1" s="1"/>
  <c r="CK131" i="1"/>
  <c r="CK118" i="1" s="1"/>
  <c r="CL131" i="1"/>
  <c r="CL118" i="1" s="1"/>
  <c r="D160" i="1"/>
  <c r="E162" i="1"/>
  <c r="Z162" i="1"/>
  <c r="AA162" i="1"/>
  <c r="AM162" i="1"/>
  <c r="AN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FE162" i="1"/>
  <c r="FF162" i="1"/>
  <c r="FG162" i="1"/>
  <c r="FH162" i="1"/>
  <c r="FI162" i="1"/>
  <c r="FJ162" i="1"/>
  <c r="FK162" i="1"/>
  <c r="FL162" i="1"/>
  <c r="FM162" i="1"/>
  <c r="FN162" i="1"/>
  <c r="FO162" i="1"/>
  <c r="FP162" i="1"/>
  <c r="FQ162" i="1"/>
  <c r="FR162" i="1"/>
  <c r="FS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GL162" i="1"/>
  <c r="GM162" i="1"/>
  <c r="GN162" i="1"/>
  <c r="GO162" i="1"/>
  <c r="GP162" i="1"/>
  <c r="GQ162" i="1"/>
  <c r="GR162" i="1"/>
  <c r="GS162" i="1"/>
  <c r="GT162" i="1"/>
  <c r="GU162" i="1"/>
  <c r="GV162" i="1"/>
  <c r="GW162" i="1"/>
  <c r="GX162" i="1"/>
  <c r="AC164" i="1"/>
  <c r="CQ164" i="1" s="1"/>
  <c r="P164" i="1" s="1"/>
  <c r="AE164" i="1"/>
  <c r="AF164" i="1"/>
  <c r="AG164" i="1"/>
  <c r="AH164" i="1"/>
  <c r="CV164" i="1" s="1"/>
  <c r="U164" i="1" s="1"/>
  <c r="AI164" i="1"/>
  <c r="CW164" i="1" s="1"/>
  <c r="V164" i="1" s="1"/>
  <c r="AJ164" i="1"/>
  <c r="CX164" i="1" s="1"/>
  <c r="W164" i="1" s="1"/>
  <c r="CS164" i="1"/>
  <c r="R164" i="1" s="1"/>
  <c r="K318" i="5" s="1"/>
  <c r="CU164" i="1"/>
  <c r="T164" i="1" s="1"/>
  <c r="FR164" i="1"/>
  <c r="GL164" i="1"/>
  <c r="GO164" i="1"/>
  <c r="GP164" i="1"/>
  <c r="GV164" i="1"/>
  <c r="GX164" i="1"/>
  <c r="C165" i="1"/>
  <c r="D165" i="1"/>
  <c r="I165" i="1"/>
  <c r="AC165" i="1"/>
  <c r="CQ165" i="1" s="1"/>
  <c r="AE165" i="1"/>
  <c r="AF165" i="1"/>
  <c r="AG165" i="1"/>
  <c r="CU165" i="1" s="1"/>
  <c r="T165" i="1" s="1"/>
  <c r="AH165" i="1"/>
  <c r="CV165" i="1" s="1"/>
  <c r="U165" i="1" s="1"/>
  <c r="AI165" i="1"/>
  <c r="AJ165" i="1"/>
  <c r="CX165" i="1" s="1"/>
  <c r="W165" i="1" s="1"/>
  <c r="CS165" i="1"/>
  <c r="R165" i="1" s="1"/>
  <c r="CW165" i="1"/>
  <c r="V165" i="1" s="1"/>
  <c r="FR165" i="1"/>
  <c r="GL165" i="1"/>
  <c r="GN165" i="1"/>
  <c r="GP165" i="1"/>
  <c r="GV165" i="1"/>
  <c r="GX165" i="1" s="1"/>
  <c r="C166" i="1"/>
  <c r="D166" i="1"/>
  <c r="I166" i="1"/>
  <c r="AC166" i="1"/>
  <c r="CQ166" i="1" s="1"/>
  <c r="AD166" i="1"/>
  <c r="AE166" i="1"/>
  <c r="H336" i="5" s="1"/>
  <c r="R336" i="5" s="1"/>
  <c r="AF166" i="1"/>
  <c r="AG166" i="1"/>
  <c r="AH166" i="1"/>
  <c r="CV166" i="1" s="1"/>
  <c r="AI166" i="1"/>
  <c r="CW166" i="1" s="1"/>
  <c r="AJ166" i="1"/>
  <c r="CX166" i="1" s="1"/>
  <c r="CT166" i="1"/>
  <c r="S166" i="1" s="1"/>
  <c r="K334" i="5" s="1"/>
  <c r="CU166" i="1"/>
  <c r="T166" i="1" s="1"/>
  <c r="FR166" i="1"/>
  <c r="GL166" i="1"/>
  <c r="GN166" i="1"/>
  <c r="GP166" i="1"/>
  <c r="GV166" i="1"/>
  <c r="GX166" i="1"/>
  <c r="C167" i="1"/>
  <c r="D167" i="1"/>
  <c r="R167" i="1"/>
  <c r="GK167" i="1" s="1"/>
  <c r="AC167" i="1"/>
  <c r="AE167" i="1"/>
  <c r="AD167" i="1" s="1"/>
  <c r="AF167" i="1"/>
  <c r="AG167" i="1"/>
  <c r="AH167" i="1"/>
  <c r="CV167" i="1" s="1"/>
  <c r="U167" i="1" s="1"/>
  <c r="AI167" i="1"/>
  <c r="CW167" i="1" s="1"/>
  <c r="V167" i="1" s="1"/>
  <c r="AJ167" i="1"/>
  <c r="CX167" i="1" s="1"/>
  <c r="W167" i="1" s="1"/>
  <c r="CQ167" i="1"/>
  <c r="P167" i="1" s="1"/>
  <c r="CS167" i="1"/>
  <c r="CU167" i="1"/>
  <c r="T167" i="1" s="1"/>
  <c r="FR167" i="1"/>
  <c r="GL167" i="1"/>
  <c r="GN167" i="1"/>
  <c r="GP167" i="1"/>
  <c r="GV167" i="1"/>
  <c r="GX167" i="1" s="1"/>
  <c r="C168" i="1"/>
  <c r="D168" i="1"/>
  <c r="S168" i="1"/>
  <c r="K349" i="5" s="1"/>
  <c r="AC168" i="1"/>
  <c r="H351" i="5" s="1"/>
  <c r="AE168" i="1"/>
  <c r="AF168" i="1"/>
  <c r="AG168" i="1"/>
  <c r="AH168" i="1"/>
  <c r="CV168" i="1" s="1"/>
  <c r="U168" i="1" s="1"/>
  <c r="AI168" i="1"/>
  <c r="CW168" i="1" s="1"/>
  <c r="V168" i="1" s="1"/>
  <c r="AJ168" i="1"/>
  <c r="CX168" i="1" s="1"/>
  <c r="W168" i="1" s="1"/>
  <c r="CQ168" i="1"/>
  <c r="P168" i="1" s="1"/>
  <c r="CT168" i="1"/>
  <c r="CU168" i="1"/>
  <c r="T168" i="1" s="1"/>
  <c r="FR168" i="1"/>
  <c r="GL168" i="1"/>
  <c r="GN168" i="1"/>
  <c r="GP168" i="1"/>
  <c r="GV168" i="1"/>
  <c r="GX168" i="1" s="1"/>
  <c r="W169" i="1"/>
  <c r="AC169" i="1"/>
  <c r="AE169" i="1"/>
  <c r="AD169" i="1" s="1"/>
  <c r="CR169" i="1" s="1"/>
  <c r="Q169" i="1" s="1"/>
  <c r="AF169" i="1"/>
  <c r="AG169" i="1"/>
  <c r="AH169" i="1"/>
  <c r="CV169" i="1" s="1"/>
  <c r="U169" i="1" s="1"/>
  <c r="AI169" i="1"/>
  <c r="AJ169" i="1"/>
  <c r="CX169" i="1" s="1"/>
  <c r="CQ169" i="1"/>
  <c r="P169" i="1" s="1"/>
  <c r="CU169" i="1"/>
  <c r="T169" i="1" s="1"/>
  <c r="CW169" i="1"/>
  <c r="V169" i="1" s="1"/>
  <c r="FR169" i="1"/>
  <c r="GL169" i="1"/>
  <c r="GO169" i="1"/>
  <c r="GP169" i="1"/>
  <c r="GV169" i="1"/>
  <c r="GX169" i="1" s="1"/>
  <c r="C170" i="1"/>
  <c r="D170" i="1"/>
  <c r="P170" i="1"/>
  <c r="AC170" i="1"/>
  <c r="AE170" i="1"/>
  <c r="AD170" i="1" s="1"/>
  <c r="AF170" i="1"/>
  <c r="AG170" i="1"/>
  <c r="CU170" i="1" s="1"/>
  <c r="T170" i="1" s="1"/>
  <c r="AH170" i="1"/>
  <c r="CV170" i="1" s="1"/>
  <c r="U170" i="1" s="1"/>
  <c r="AI170" i="1"/>
  <c r="CW170" i="1" s="1"/>
  <c r="V170" i="1" s="1"/>
  <c r="AJ170" i="1"/>
  <c r="CX170" i="1" s="1"/>
  <c r="W170" i="1" s="1"/>
  <c r="CQ170" i="1"/>
  <c r="FR170" i="1"/>
  <c r="GL170" i="1"/>
  <c r="GO170" i="1"/>
  <c r="GP170" i="1"/>
  <c r="GV170" i="1"/>
  <c r="GX170" i="1" s="1"/>
  <c r="C171" i="1"/>
  <c r="D171" i="1"/>
  <c r="I171" i="1"/>
  <c r="AC171" i="1"/>
  <c r="AE171" i="1"/>
  <c r="AF171" i="1"/>
  <c r="AG171" i="1"/>
  <c r="CU171" i="1" s="1"/>
  <c r="AH171" i="1"/>
  <c r="CV171" i="1" s="1"/>
  <c r="U171" i="1" s="1"/>
  <c r="AI171" i="1"/>
  <c r="CW171" i="1" s="1"/>
  <c r="V171" i="1" s="1"/>
  <c r="AJ171" i="1"/>
  <c r="CX171" i="1" s="1"/>
  <c r="CT171" i="1"/>
  <c r="S171" i="1" s="1"/>
  <c r="K370" i="5" s="1"/>
  <c r="FR171" i="1"/>
  <c r="GL171" i="1"/>
  <c r="GN171" i="1"/>
  <c r="GP171" i="1"/>
  <c r="GV171" i="1"/>
  <c r="AC172" i="1"/>
  <c r="AD172" i="1"/>
  <c r="AE172" i="1"/>
  <c r="AF172" i="1"/>
  <c r="AG172" i="1"/>
  <c r="CU172" i="1" s="1"/>
  <c r="AH172" i="1"/>
  <c r="CV172" i="1" s="1"/>
  <c r="AI172" i="1"/>
  <c r="AJ172" i="1"/>
  <c r="CX172" i="1" s="1"/>
  <c r="CQ172" i="1"/>
  <c r="CR172" i="1"/>
  <c r="CS172" i="1"/>
  <c r="CW172" i="1"/>
  <c r="FR172" i="1"/>
  <c r="GL172" i="1"/>
  <c r="GN172" i="1"/>
  <c r="GP172" i="1"/>
  <c r="GV172" i="1"/>
  <c r="C173" i="1"/>
  <c r="D173" i="1"/>
  <c r="T173" i="1"/>
  <c r="AC173" i="1"/>
  <c r="H381" i="5" s="1"/>
  <c r="AE173" i="1"/>
  <c r="AF173" i="1"/>
  <c r="CT173" i="1" s="1"/>
  <c r="S173" i="1" s="1"/>
  <c r="K380" i="5" s="1"/>
  <c r="AG173" i="1"/>
  <c r="AH173" i="1"/>
  <c r="CV173" i="1" s="1"/>
  <c r="U173" i="1" s="1"/>
  <c r="AI173" i="1"/>
  <c r="CW173" i="1" s="1"/>
  <c r="V173" i="1" s="1"/>
  <c r="AJ173" i="1"/>
  <c r="CX173" i="1" s="1"/>
  <c r="W173" i="1" s="1"/>
  <c r="CQ173" i="1"/>
  <c r="P173" i="1" s="1"/>
  <c r="CU173" i="1"/>
  <c r="FR173" i="1"/>
  <c r="GL173" i="1"/>
  <c r="GN173" i="1"/>
  <c r="GP173" i="1"/>
  <c r="GV173" i="1"/>
  <c r="GX173" i="1" s="1"/>
  <c r="I174" i="1"/>
  <c r="E385" i="5" s="1"/>
  <c r="AC174" i="1"/>
  <c r="AE174" i="1"/>
  <c r="AD174" i="1" s="1"/>
  <c r="AF174" i="1"/>
  <c r="AG174" i="1"/>
  <c r="AH174" i="1"/>
  <c r="AI174" i="1"/>
  <c r="CW174" i="1" s="1"/>
  <c r="V174" i="1" s="1"/>
  <c r="AJ174" i="1"/>
  <c r="CX174" i="1" s="1"/>
  <c r="W174" i="1" s="1"/>
  <c r="CU174" i="1"/>
  <c r="T174" i="1" s="1"/>
  <c r="CV174" i="1"/>
  <c r="U174" i="1" s="1"/>
  <c r="FR174" i="1"/>
  <c r="GL174" i="1"/>
  <c r="GN174" i="1"/>
  <c r="GP174" i="1"/>
  <c r="GV174" i="1"/>
  <c r="GX174" i="1" s="1"/>
  <c r="C175" i="1"/>
  <c r="D175" i="1"/>
  <c r="I175" i="1"/>
  <c r="AC175" i="1"/>
  <c r="AE175" i="1"/>
  <c r="AF175" i="1"/>
  <c r="AG175" i="1"/>
  <c r="CU175" i="1" s="1"/>
  <c r="T175" i="1" s="1"/>
  <c r="AH175" i="1"/>
  <c r="AI175" i="1"/>
  <c r="AJ175" i="1"/>
  <c r="CX175" i="1" s="1"/>
  <c r="CS175" i="1"/>
  <c r="R175" i="1" s="1"/>
  <c r="CV175" i="1"/>
  <c r="U175" i="1" s="1"/>
  <c r="CW175" i="1"/>
  <c r="FR175" i="1"/>
  <c r="GL175" i="1"/>
  <c r="GN175" i="1"/>
  <c r="GP175" i="1"/>
  <c r="GV175" i="1"/>
  <c r="GX175" i="1"/>
  <c r="AC176" i="1"/>
  <c r="CQ176" i="1" s="1"/>
  <c r="AE176" i="1"/>
  <c r="AD176" i="1" s="1"/>
  <c r="AF176" i="1"/>
  <c r="AG176" i="1"/>
  <c r="AH176" i="1"/>
  <c r="CV176" i="1" s="1"/>
  <c r="AI176" i="1"/>
  <c r="CW176" i="1" s="1"/>
  <c r="AJ176" i="1"/>
  <c r="CX176" i="1" s="1"/>
  <c r="CU176" i="1"/>
  <c r="FR176" i="1"/>
  <c r="GL176" i="1"/>
  <c r="GN176" i="1"/>
  <c r="GP176" i="1"/>
  <c r="GV176" i="1"/>
  <c r="C177" i="1"/>
  <c r="D177" i="1"/>
  <c r="AC177" i="1"/>
  <c r="AE177" i="1"/>
  <c r="AF177" i="1"/>
  <c r="AG177" i="1"/>
  <c r="CU177" i="1" s="1"/>
  <c r="T177" i="1" s="1"/>
  <c r="AH177" i="1"/>
  <c r="CV177" i="1" s="1"/>
  <c r="U177" i="1" s="1"/>
  <c r="AI177" i="1"/>
  <c r="CW177" i="1" s="1"/>
  <c r="V177" i="1" s="1"/>
  <c r="AJ177" i="1"/>
  <c r="CX177" i="1"/>
  <c r="W177" i="1" s="1"/>
  <c r="FR177" i="1"/>
  <c r="GL177" i="1"/>
  <c r="GN177" i="1"/>
  <c r="GP177" i="1"/>
  <c r="GV177" i="1"/>
  <c r="GX177" i="1"/>
  <c r="I178" i="1"/>
  <c r="E404" i="5" s="1"/>
  <c r="AC178" i="1"/>
  <c r="AE178" i="1"/>
  <c r="AD178" i="1" s="1"/>
  <c r="AF178" i="1"/>
  <c r="AG178" i="1"/>
  <c r="CU178" i="1" s="1"/>
  <c r="T178" i="1" s="1"/>
  <c r="AH178" i="1"/>
  <c r="AI178" i="1"/>
  <c r="AJ178" i="1"/>
  <c r="CX178" i="1" s="1"/>
  <c r="CS178" i="1"/>
  <c r="R178" i="1" s="1"/>
  <c r="GK178" i="1" s="1"/>
  <c r="CV178" i="1"/>
  <c r="U178" i="1" s="1"/>
  <c r="CW178" i="1"/>
  <c r="FR178" i="1"/>
  <c r="GL178" i="1"/>
  <c r="GN178" i="1"/>
  <c r="GP178" i="1"/>
  <c r="GV178" i="1"/>
  <c r="GX178" i="1"/>
  <c r="C179" i="1"/>
  <c r="D179" i="1"/>
  <c r="I179" i="1"/>
  <c r="AC179" i="1"/>
  <c r="AD179" i="1"/>
  <c r="AE179" i="1"/>
  <c r="AF179" i="1"/>
  <c r="AG179" i="1"/>
  <c r="CU179" i="1" s="1"/>
  <c r="T179" i="1" s="1"/>
  <c r="AH179" i="1"/>
  <c r="CV179" i="1" s="1"/>
  <c r="U179" i="1" s="1"/>
  <c r="AI179" i="1"/>
  <c r="AJ179" i="1"/>
  <c r="CS179" i="1"/>
  <c r="R179" i="1" s="1"/>
  <c r="CT179" i="1"/>
  <c r="S179" i="1" s="1"/>
  <c r="K408" i="5" s="1"/>
  <c r="CW179" i="1"/>
  <c r="CX179" i="1"/>
  <c r="W179" i="1" s="1"/>
  <c r="FR179" i="1"/>
  <c r="GL179" i="1"/>
  <c r="GN179" i="1"/>
  <c r="GP179" i="1"/>
  <c r="GV179" i="1"/>
  <c r="GX179" i="1"/>
  <c r="AC180" i="1"/>
  <c r="AE180" i="1"/>
  <c r="AF180" i="1"/>
  <c r="AG180" i="1"/>
  <c r="CU180" i="1" s="1"/>
  <c r="AH180" i="1"/>
  <c r="AI180" i="1"/>
  <c r="AJ180" i="1"/>
  <c r="CX180" i="1" s="1"/>
  <c r="CV180" i="1"/>
  <c r="CW180" i="1"/>
  <c r="FR180" i="1"/>
  <c r="GL180" i="1"/>
  <c r="GN180" i="1"/>
  <c r="GP180" i="1"/>
  <c r="GV180" i="1"/>
  <c r="C181" i="1"/>
  <c r="D181" i="1"/>
  <c r="P181" i="1"/>
  <c r="K421" i="5" s="1"/>
  <c r="AC181" i="1"/>
  <c r="H421" i="5" s="1"/>
  <c r="AE181" i="1"/>
  <c r="AF181" i="1"/>
  <c r="AG181" i="1"/>
  <c r="AH181" i="1"/>
  <c r="CV181" i="1" s="1"/>
  <c r="U181" i="1" s="1"/>
  <c r="AI181" i="1"/>
  <c r="CW181" i="1" s="1"/>
  <c r="V181" i="1" s="1"/>
  <c r="AJ181" i="1"/>
  <c r="CX181" i="1" s="1"/>
  <c r="W181" i="1" s="1"/>
  <c r="CQ181" i="1"/>
  <c r="CU181" i="1"/>
  <c r="T181" i="1" s="1"/>
  <c r="FR181" i="1"/>
  <c r="GL181" i="1"/>
  <c r="GN181" i="1"/>
  <c r="GP181" i="1"/>
  <c r="GV181" i="1"/>
  <c r="GX181" i="1" s="1"/>
  <c r="I182" i="1"/>
  <c r="E425" i="5" s="1"/>
  <c r="AC182" i="1"/>
  <c r="AE182" i="1"/>
  <c r="AD182" i="1" s="1"/>
  <c r="CR182" i="1" s="1"/>
  <c r="Q182" i="1" s="1"/>
  <c r="AF182" i="1"/>
  <c r="AG182" i="1"/>
  <c r="CU182" i="1" s="1"/>
  <c r="T182" i="1" s="1"/>
  <c r="AH182" i="1"/>
  <c r="CV182" i="1" s="1"/>
  <c r="AI182" i="1"/>
  <c r="AJ182" i="1"/>
  <c r="CS182" i="1"/>
  <c r="R182" i="1" s="1"/>
  <c r="GK182" i="1" s="1"/>
  <c r="CW182" i="1"/>
  <c r="V182" i="1" s="1"/>
  <c r="CX182" i="1"/>
  <c r="W182" i="1" s="1"/>
  <c r="FR182" i="1"/>
  <c r="GL182" i="1"/>
  <c r="GN182" i="1"/>
  <c r="GP182" i="1"/>
  <c r="GV182" i="1"/>
  <c r="GX182" i="1" s="1"/>
  <c r="C183" i="1"/>
  <c r="D183" i="1"/>
  <c r="I183" i="1"/>
  <c r="I184" i="1" s="1"/>
  <c r="AC183" i="1"/>
  <c r="AE183" i="1"/>
  <c r="AF183" i="1"/>
  <c r="AG183" i="1"/>
  <c r="AH183" i="1"/>
  <c r="CV183" i="1" s="1"/>
  <c r="AI183" i="1"/>
  <c r="CW183" i="1" s="1"/>
  <c r="AJ183" i="1"/>
  <c r="CQ183" i="1"/>
  <c r="CU183" i="1"/>
  <c r="CX183" i="1"/>
  <c r="FR183" i="1"/>
  <c r="GL183" i="1"/>
  <c r="GN183" i="1"/>
  <c r="GP183" i="1"/>
  <c r="GV183" i="1"/>
  <c r="AC184" i="1"/>
  <c r="AE184" i="1"/>
  <c r="AD184" i="1" s="1"/>
  <c r="CR184" i="1" s="1"/>
  <c r="AF184" i="1"/>
  <c r="AG184" i="1"/>
  <c r="CU184" i="1" s="1"/>
  <c r="AH184" i="1"/>
  <c r="CV184" i="1" s="1"/>
  <c r="AI184" i="1"/>
  <c r="AJ184" i="1"/>
  <c r="CS184" i="1"/>
  <c r="CW184" i="1"/>
  <c r="CX184" i="1"/>
  <c r="FR184" i="1"/>
  <c r="GL184" i="1"/>
  <c r="GN184" i="1"/>
  <c r="GP184" i="1"/>
  <c r="GV184" i="1"/>
  <c r="C185" i="1"/>
  <c r="D185" i="1"/>
  <c r="I185" i="1"/>
  <c r="AC185" i="1"/>
  <c r="AD185" i="1"/>
  <c r="AE185" i="1"/>
  <c r="AF185" i="1"/>
  <c r="AG185" i="1"/>
  <c r="CU185" i="1" s="1"/>
  <c r="T185" i="1" s="1"/>
  <c r="AH185" i="1"/>
  <c r="CV185" i="1" s="1"/>
  <c r="U185" i="1" s="1"/>
  <c r="AI185" i="1"/>
  <c r="CW185" i="1" s="1"/>
  <c r="V185" i="1" s="1"/>
  <c r="AJ185" i="1"/>
  <c r="CT185" i="1"/>
  <c r="S185" i="1" s="1"/>
  <c r="K440" i="5" s="1"/>
  <c r="CX185" i="1"/>
  <c r="W185" i="1" s="1"/>
  <c r="FR185" i="1"/>
  <c r="GL185" i="1"/>
  <c r="GN185" i="1"/>
  <c r="GP185" i="1"/>
  <c r="GV185" i="1"/>
  <c r="GX185" i="1" s="1"/>
  <c r="I186" i="1"/>
  <c r="E447" i="5" s="1"/>
  <c r="AC186" i="1"/>
  <c r="AD186" i="1"/>
  <c r="CR186" i="1" s="1"/>
  <c r="Q186" i="1" s="1"/>
  <c r="AE186" i="1"/>
  <c r="AF186" i="1"/>
  <c r="AG186" i="1"/>
  <c r="CU186" i="1" s="1"/>
  <c r="T186" i="1" s="1"/>
  <c r="AH186" i="1"/>
  <c r="CV186" i="1" s="1"/>
  <c r="U186" i="1" s="1"/>
  <c r="AI186" i="1"/>
  <c r="AJ186" i="1"/>
  <c r="CS186" i="1"/>
  <c r="R186" i="1" s="1"/>
  <c r="CT186" i="1"/>
  <c r="S186" i="1" s="1"/>
  <c r="CW186" i="1"/>
  <c r="V186" i="1" s="1"/>
  <c r="CX186" i="1"/>
  <c r="W186" i="1" s="1"/>
  <c r="FR186" i="1"/>
  <c r="GK186" i="1"/>
  <c r="GL186" i="1"/>
  <c r="GN186" i="1"/>
  <c r="GP186" i="1"/>
  <c r="GV186" i="1"/>
  <c r="GX186" i="1" s="1"/>
  <c r="I187" i="1"/>
  <c r="E448" i="5" s="1"/>
  <c r="Q187" i="1"/>
  <c r="U187" i="1"/>
  <c r="AC187" i="1"/>
  <c r="AE187" i="1"/>
  <c r="AD187" i="1" s="1"/>
  <c r="AF187" i="1"/>
  <c r="AG187" i="1"/>
  <c r="CU187" i="1" s="1"/>
  <c r="T187" i="1" s="1"/>
  <c r="AH187" i="1"/>
  <c r="AI187" i="1"/>
  <c r="AJ187" i="1"/>
  <c r="CX187" i="1" s="1"/>
  <c r="W187" i="1" s="1"/>
  <c r="CR187" i="1"/>
  <c r="CV187" i="1"/>
  <c r="CW187" i="1"/>
  <c r="V187" i="1" s="1"/>
  <c r="FR187" i="1"/>
  <c r="GL187" i="1"/>
  <c r="GN187" i="1"/>
  <c r="GP187" i="1"/>
  <c r="GV187" i="1"/>
  <c r="GX187" i="1" s="1"/>
  <c r="C188" i="1"/>
  <c r="D188" i="1"/>
  <c r="T188" i="1"/>
  <c r="AC188" i="1"/>
  <c r="H454" i="5" s="1"/>
  <c r="AE188" i="1"/>
  <c r="AF188" i="1"/>
  <c r="AG188" i="1"/>
  <c r="AH188" i="1"/>
  <c r="AI188" i="1"/>
  <c r="CW188" i="1" s="1"/>
  <c r="V188" i="1" s="1"/>
  <c r="AJ188" i="1"/>
  <c r="CX188" i="1" s="1"/>
  <c r="W188" i="1" s="1"/>
  <c r="CQ188" i="1"/>
  <c r="P188" i="1" s="1"/>
  <c r="K454" i="5" s="1"/>
  <c r="CU188" i="1"/>
  <c r="CV188" i="1"/>
  <c r="U188" i="1" s="1"/>
  <c r="FR188" i="1"/>
  <c r="GL188" i="1"/>
  <c r="GN188" i="1"/>
  <c r="GP188" i="1"/>
  <c r="GV188" i="1"/>
  <c r="GX188" i="1" s="1"/>
  <c r="I189" i="1"/>
  <c r="AC189" i="1"/>
  <c r="AD189" i="1"/>
  <c r="CR189" i="1" s="1"/>
  <c r="AE189" i="1"/>
  <c r="AF189" i="1"/>
  <c r="AG189" i="1"/>
  <c r="CU189" i="1" s="1"/>
  <c r="T189" i="1" s="1"/>
  <c r="AH189" i="1"/>
  <c r="CV189" i="1" s="1"/>
  <c r="AI189" i="1"/>
  <c r="AJ189" i="1"/>
  <c r="CS189" i="1"/>
  <c r="R189" i="1" s="1"/>
  <c r="GK189" i="1" s="1"/>
  <c r="CT189" i="1"/>
  <c r="S189" i="1" s="1"/>
  <c r="CW189" i="1"/>
  <c r="V189" i="1" s="1"/>
  <c r="CX189" i="1"/>
  <c r="W189" i="1" s="1"/>
  <c r="FR189" i="1"/>
  <c r="GL189" i="1"/>
  <c r="GN189" i="1"/>
  <c r="GP189" i="1"/>
  <c r="GV189" i="1"/>
  <c r="C190" i="1"/>
  <c r="D190" i="1"/>
  <c r="P190" i="1"/>
  <c r="K463" i="5" s="1"/>
  <c r="R190" i="1"/>
  <c r="GK190" i="1" s="1"/>
  <c r="AC190" i="1"/>
  <c r="H463" i="5" s="1"/>
  <c r="AE190" i="1"/>
  <c r="AD190" i="1" s="1"/>
  <c r="AF190" i="1"/>
  <c r="AG190" i="1"/>
  <c r="AH190" i="1"/>
  <c r="CV190" i="1" s="1"/>
  <c r="U190" i="1" s="1"/>
  <c r="AI190" i="1"/>
  <c r="CW190" i="1" s="1"/>
  <c r="V190" i="1" s="1"/>
  <c r="AJ190" i="1"/>
  <c r="CX190" i="1" s="1"/>
  <c r="W190" i="1" s="1"/>
  <c r="CQ190" i="1"/>
  <c r="CS190" i="1"/>
  <c r="CU190" i="1"/>
  <c r="T190" i="1" s="1"/>
  <c r="FR190" i="1"/>
  <c r="GL190" i="1"/>
  <c r="GN190" i="1"/>
  <c r="GP190" i="1"/>
  <c r="GV190" i="1"/>
  <c r="GX190" i="1" s="1"/>
  <c r="I191" i="1"/>
  <c r="E467" i="5" s="1"/>
  <c r="AC191" i="1"/>
  <c r="AE191" i="1"/>
  <c r="CS191" i="1" s="1"/>
  <c r="AF191" i="1"/>
  <c r="AG191" i="1"/>
  <c r="AH191" i="1"/>
  <c r="CV191" i="1" s="1"/>
  <c r="U191" i="1" s="1"/>
  <c r="AI191" i="1"/>
  <c r="CW191" i="1" s="1"/>
  <c r="AJ191" i="1"/>
  <c r="CT191" i="1"/>
  <c r="S191" i="1" s="1"/>
  <c r="CU191" i="1"/>
  <c r="CX191" i="1"/>
  <c r="FR191" i="1"/>
  <c r="GL191" i="1"/>
  <c r="GN191" i="1"/>
  <c r="GP191" i="1"/>
  <c r="GV191" i="1"/>
  <c r="I192" i="1"/>
  <c r="E468" i="5" s="1"/>
  <c r="AC192" i="1"/>
  <c r="H468" i="5" s="1"/>
  <c r="X468" i="5" s="1"/>
  <c r="AE192" i="1"/>
  <c r="AD192" i="1" s="1"/>
  <c r="CR192" i="1" s="1"/>
  <c r="Q192" i="1" s="1"/>
  <c r="AF192" i="1"/>
  <c r="AG192" i="1"/>
  <c r="AH192" i="1"/>
  <c r="CV192" i="1" s="1"/>
  <c r="U192" i="1" s="1"/>
  <c r="AI192" i="1"/>
  <c r="AJ192" i="1"/>
  <c r="CX192" i="1" s="1"/>
  <c r="W192" i="1" s="1"/>
  <c r="CU192" i="1"/>
  <c r="T192" i="1" s="1"/>
  <c r="CW192" i="1"/>
  <c r="V192" i="1" s="1"/>
  <c r="FR192" i="1"/>
  <c r="GL192" i="1"/>
  <c r="GN192" i="1"/>
  <c r="GP192" i="1"/>
  <c r="GV192" i="1"/>
  <c r="GX192" i="1"/>
  <c r="I193" i="1"/>
  <c r="AC193" i="1"/>
  <c r="AE193" i="1"/>
  <c r="AF193" i="1"/>
  <c r="AG193" i="1"/>
  <c r="CU193" i="1" s="1"/>
  <c r="AH193" i="1"/>
  <c r="AI193" i="1"/>
  <c r="CW193" i="1" s="1"/>
  <c r="AJ193" i="1"/>
  <c r="CV193" i="1"/>
  <c r="U193" i="1" s="1"/>
  <c r="CX193" i="1"/>
  <c r="FR193" i="1"/>
  <c r="GL193" i="1"/>
  <c r="GN193" i="1"/>
  <c r="GP193" i="1"/>
  <c r="GV193" i="1"/>
  <c r="I194" i="1"/>
  <c r="E470" i="5" s="1"/>
  <c r="AC194" i="1"/>
  <c r="AD194" i="1"/>
  <c r="AB194" i="1" s="1"/>
  <c r="AE194" i="1"/>
  <c r="AF194" i="1"/>
  <c r="AG194" i="1"/>
  <c r="CU194" i="1" s="1"/>
  <c r="T194" i="1" s="1"/>
  <c r="AH194" i="1"/>
  <c r="CV194" i="1" s="1"/>
  <c r="U194" i="1" s="1"/>
  <c r="AI194" i="1"/>
  <c r="CW194" i="1" s="1"/>
  <c r="V194" i="1" s="1"/>
  <c r="AJ194" i="1"/>
  <c r="CX194" i="1" s="1"/>
  <c r="CR194" i="1"/>
  <c r="Q194" i="1" s="1"/>
  <c r="CS194" i="1"/>
  <c r="R194" i="1" s="1"/>
  <c r="GK194" i="1" s="1"/>
  <c r="FR194" i="1"/>
  <c r="GL194" i="1"/>
  <c r="GN194" i="1"/>
  <c r="GP194" i="1"/>
  <c r="GV194" i="1"/>
  <c r="GX194" i="1" s="1"/>
  <c r="I195" i="1"/>
  <c r="E471" i="5" s="1"/>
  <c r="AC195" i="1"/>
  <c r="AE195" i="1"/>
  <c r="CS195" i="1" s="1"/>
  <c r="AF195" i="1"/>
  <c r="AG195" i="1"/>
  <c r="AH195" i="1"/>
  <c r="CV195" i="1" s="1"/>
  <c r="U195" i="1" s="1"/>
  <c r="AI195" i="1"/>
  <c r="CW195" i="1" s="1"/>
  <c r="AJ195" i="1"/>
  <c r="CT195" i="1"/>
  <c r="CU195" i="1"/>
  <c r="CX195" i="1"/>
  <c r="FR195" i="1"/>
  <c r="GL195" i="1"/>
  <c r="GN195" i="1"/>
  <c r="GP195" i="1"/>
  <c r="GV195" i="1"/>
  <c r="C196" i="1"/>
  <c r="D196" i="1"/>
  <c r="AC196" i="1"/>
  <c r="AE196" i="1"/>
  <c r="CS196" i="1" s="1"/>
  <c r="R196" i="1" s="1"/>
  <c r="AF196" i="1"/>
  <c r="AG196" i="1"/>
  <c r="CU196" i="1" s="1"/>
  <c r="T196" i="1" s="1"/>
  <c r="AH196" i="1"/>
  <c r="CV196" i="1" s="1"/>
  <c r="U196" i="1" s="1"/>
  <c r="AI196" i="1"/>
  <c r="CW196" i="1" s="1"/>
  <c r="V196" i="1" s="1"/>
  <c r="AJ196" i="1"/>
  <c r="CX196" i="1" s="1"/>
  <c r="W196" i="1" s="1"/>
  <c r="CT196" i="1"/>
  <c r="S196" i="1" s="1"/>
  <c r="K474" i="5" s="1"/>
  <c r="FR196" i="1"/>
  <c r="GL196" i="1"/>
  <c r="GN196" i="1"/>
  <c r="GP196" i="1"/>
  <c r="GV196" i="1"/>
  <c r="GX196" i="1" s="1"/>
  <c r="I197" i="1"/>
  <c r="AC197" i="1"/>
  <c r="AE197" i="1"/>
  <c r="AF197" i="1"/>
  <c r="AG197" i="1"/>
  <c r="AH197" i="1"/>
  <c r="AI197" i="1"/>
  <c r="CW197" i="1" s="1"/>
  <c r="V197" i="1" s="1"/>
  <c r="AJ197" i="1"/>
  <c r="CX197" i="1" s="1"/>
  <c r="CU197" i="1"/>
  <c r="T197" i="1" s="1"/>
  <c r="CV197" i="1"/>
  <c r="FR197" i="1"/>
  <c r="GL197" i="1"/>
  <c r="GN197" i="1"/>
  <c r="GP197" i="1"/>
  <c r="GV197" i="1"/>
  <c r="C198" i="1"/>
  <c r="D198" i="1"/>
  <c r="AC198" i="1"/>
  <c r="AD198" i="1"/>
  <c r="CR198" i="1" s="1"/>
  <c r="Q198" i="1" s="1"/>
  <c r="AE198" i="1"/>
  <c r="AF198" i="1"/>
  <c r="AG198" i="1"/>
  <c r="CU198" i="1" s="1"/>
  <c r="T198" i="1" s="1"/>
  <c r="AH198" i="1"/>
  <c r="CV198" i="1" s="1"/>
  <c r="U198" i="1" s="1"/>
  <c r="AI198" i="1"/>
  <c r="AJ198" i="1"/>
  <c r="CS198" i="1"/>
  <c r="R198" i="1" s="1"/>
  <c r="GK198" i="1" s="1"/>
  <c r="CT198" i="1"/>
  <c r="S198" i="1" s="1"/>
  <c r="K484" i="5" s="1"/>
  <c r="CW198" i="1"/>
  <c r="V198" i="1" s="1"/>
  <c r="CX198" i="1"/>
  <c r="W198" i="1" s="1"/>
  <c r="FR198" i="1"/>
  <c r="GL198" i="1"/>
  <c r="GN198" i="1"/>
  <c r="GO198" i="1"/>
  <c r="GV198" i="1"/>
  <c r="GX198" i="1" s="1"/>
  <c r="C199" i="1"/>
  <c r="D199" i="1"/>
  <c r="P199" i="1"/>
  <c r="AC199" i="1"/>
  <c r="CQ199" i="1" s="1"/>
  <c r="AD199" i="1"/>
  <c r="AB199" i="1" s="1"/>
  <c r="AE199" i="1"/>
  <c r="AF199" i="1"/>
  <c r="AG199" i="1"/>
  <c r="CU199" i="1" s="1"/>
  <c r="T199" i="1" s="1"/>
  <c r="AH199" i="1"/>
  <c r="CV199" i="1" s="1"/>
  <c r="U199" i="1" s="1"/>
  <c r="AI199" i="1"/>
  <c r="CW199" i="1" s="1"/>
  <c r="V199" i="1" s="1"/>
  <c r="AJ199" i="1"/>
  <c r="CX199" i="1" s="1"/>
  <c r="W199" i="1" s="1"/>
  <c r="CS199" i="1"/>
  <c r="R199" i="1" s="1"/>
  <c r="GK199" i="1" s="1"/>
  <c r="FR199" i="1"/>
  <c r="GL199" i="1"/>
  <c r="GN199" i="1"/>
  <c r="GO199" i="1"/>
  <c r="GV199" i="1"/>
  <c r="GX199" i="1" s="1"/>
  <c r="C200" i="1"/>
  <c r="D200" i="1"/>
  <c r="S200" i="1"/>
  <c r="AC200" i="1"/>
  <c r="CQ200" i="1" s="1"/>
  <c r="P200" i="1" s="1"/>
  <c r="AE200" i="1"/>
  <c r="CS200" i="1" s="1"/>
  <c r="R200" i="1" s="1"/>
  <c r="GK200" i="1" s="1"/>
  <c r="AF200" i="1"/>
  <c r="AG200" i="1"/>
  <c r="AH200" i="1"/>
  <c r="CV200" i="1" s="1"/>
  <c r="U200" i="1" s="1"/>
  <c r="AI200" i="1"/>
  <c r="CW200" i="1" s="1"/>
  <c r="V200" i="1" s="1"/>
  <c r="AJ200" i="1"/>
  <c r="CT200" i="1"/>
  <c r="CU200" i="1"/>
  <c r="T200" i="1" s="1"/>
  <c r="CX200" i="1"/>
  <c r="W200" i="1" s="1"/>
  <c r="FR200" i="1"/>
  <c r="GL200" i="1"/>
  <c r="GN200" i="1"/>
  <c r="GO200" i="1"/>
  <c r="GV200" i="1"/>
  <c r="GX200" i="1" s="1"/>
  <c r="C201" i="1"/>
  <c r="D201" i="1"/>
  <c r="P201" i="1"/>
  <c r="AC201" i="1"/>
  <c r="AE201" i="1"/>
  <c r="AD201" i="1" s="1"/>
  <c r="CR201" i="1" s="1"/>
  <c r="Q201" i="1" s="1"/>
  <c r="AF201" i="1"/>
  <c r="AG201" i="1"/>
  <c r="AH201" i="1"/>
  <c r="CV201" i="1" s="1"/>
  <c r="U201" i="1" s="1"/>
  <c r="AI201" i="1"/>
  <c r="CW201" i="1" s="1"/>
  <c r="V201" i="1" s="1"/>
  <c r="AJ201" i="1"/>
  <c r="CX201" i="1" s="1"/>
  <c r="W201" i="1" s="1"/>
  <c r="CQ201" i="1"/>
  <c r="CU201" i="1"/>
  <c r="T201" i="1" s="1"/>
  <c r="FR201" i="1"/>
  <c r="GL201" i="1"/>
  <c r="GN201" i="1"/>
  <c r="GO201" i="1"/>
  <c r="GV201" i="1"/>
  <c r="GX201" i="1" s="1"/>
  <c r="B203" i="1"/>
  <c r="B162" i="1" s="1"/>
  <c r="C203" i="1"/>
  <c r="C162" i="1" s="1"/>
  <c r="D203" i="1"/>
  <c r="D162" i="1" s="1"/>
  <c r="F203" i="1"/>
  <c r="F162" i="1" s="1"/>
  <c r="G203" i="1"/>
  <c r="BC203" i="1"/>
  <c r="BC162" i="1" s="1"/>
  <c r="BX203" i="1"/>
  <c r="BX162" i="1" s="1"/>
  <c r="CK203" i="1"/>
  <c r="CL203" i="1"/>
  <c r="CL162" i="1" s="1"/>
  <c r="F219" i="1"/>
  <c r="D235" i="1"/>
  <c r="E237" i="1"/>
  <c r="Z237" i="1"/>
  <c r="AA237" i="1"/>
  <c r="AM237" i="1"/>
  <c r="AN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CM237" i="1"/>
  <c r="CN237" i="1"/>
  <c r="CO237" i="1"/>
  <c r="CP237" i="1"/>
  <c r="CQ237" i="1"/>
  <c r="CR237" i="1"/>
  <c r="CS237" i="1"/>
  <c r="CT237" i="1"/>
  <c r="CU237" i="1"/>
  <c r="CV237" i="1"/>
  <c r="CW237" i="1"/>
  <c r="CX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FA237" i="1"/>
  <c r="FB237" i="1"/>
  <c r="FC237" i="1"/>
  <c r="FD237" i="1"/>
  <c r="FE237" i="1"/>
  <c r="FF237" i="1"/>
  <c r="FG237" i="1"/>
  <c r="FH237" i="1"/>
  <c r="FI237" i="1"/>
  <c r="FJ237" i="1"/>
  <c r="FK237" i="1"/>
  <c r="FL237" i="1"/>
  <c r="FM237" i="1"/>
  <c r="FN237" i="1"/>
  <c r="FO237" i="1"/>
  <c r="FP237" i="1"/>
  <c r="FQ237" i="1"/>
  <c r="FR237" i="1"/>
  <c r="FS237" i="1"/>
  <c r="FT237" i="1"/>
  <c r="FU237" i="1"/>
  <c r="FV237" i="1"/>
  <c r="FW237" i="1"/>
  <c r="FX237" i="1"/>
  <c r="FY237" i="1"/>
  <c r="FZ237" i="1"/>
  <c r="GA237" i="1"/>
  <c r="GB237" i="1"/>
  <c r="GC237" i="1"/>
  <c r="GD237" i="1"/>
  <c r="GE237" i="1"/>
  <c r="GF237" i="1"/>
  <c r="GG237" i="1"/>
  <c r="GH237" i="1"/>
  <c r="GI237" i="1"/>
  <c r="GJ237" i="1"/>
  <c r="GK237" i="1"/>
  <c r="GL237" i="1"/>
  <c r="GM237" i="1"/>
  <c r="GN237" i="1"/>
  <c r="GO237" i="1"/>
  <c r="GP237" i="1"/>
  <c r="GQ237" i="1"/>
  <c r="GR237" i="1"/>
  <c r="GS237" i="1"/>
  <c r="GT237" i="1"/>
  <c r="GU237" i="1"/>
  <c r="GV237" i="1"/>
  <c r="GW237" i="1"/>
  <c r="GX237" i="1"/>
  <c r="C239" i="1"/>
  <c r="D239" i="1"/>
  <c r="AC239" i="1"/>
  <c r="AE239" i="1"/>
  <c r="AD239" i="1" s="1"/>
  <c r="CR239" i="1" s="1"/>
  <c r="Q239" i="1" s="1"/>
  <c r="AF239" i="1"/>
  <c r="AG239" i="1"/>
  <c r="CU239" i="1" s="1"/>
  <c r="T239" i="1" s="1"/>
  <c r="AH239" i="1"/>
  <c r="CV239" i="1" s="1"/>
  <c r="U239" i="1" s="1"/>
  <c r="AI239" i="1"/>
  <c r="AJ239" i="1"/>
  <c r="CX239" i="1" s="1"/>
  <c r="W239" i="1" s="1"/>
  <c r="CQ239" i="1"/>
  <c r="P239" i="1" s="1"/>
  <c r="CW239" i="1"/>
  <c r="V239" i="1" s="1"/>
  <c r="FR239" i="1"/>
  <c r="GL239" i="1"/>
  <c r="GN239" i="1"/>
  <c r="GP239" i="1"/>
  <c r="GV239" i="1"/>
  <c r="GX239" i="1" s="1"/>
  <c r="C240" i="1"/>
  <c r="D240" i="1"/>
  <c r="AC240" i="1"/>
  <c r="H517" i="5" s="1"/>
  <c r="AE240" i="1"/>
  <c r="AD240" i="1" s="1"/>
  <c r="CR240" i="1" s="1"/>
  <c r="Q240" i="1" s="1"/>
  <c r="AF240" i="1"/>
  <c r="AG240" i="1"/>
  <c r="CU240" i="1" s="1"/>
  <c r="T240" i="1" s="1"/>
  <c r="AH240" i="1"/>
  <c r="CV240" i="1" s="1"/>
  <c r="U240" i="1" s="1"/>
  <c r="AI240" i="1"/>
  <c r="AJ240" i="1"/>
  <c r="CX240" i="1" s="1"/>
  <c r="W240" i="1" s="1"/>
  <c r="CQ240" i="1"/>
  <c r="P240" i="1" s="1"/>
  <c r="K517" i="5" s="1"/>
  <c r="CW240" i="1"/>
  <c r="V240" i="1" s="1"/>
  <c r="FR240" i="1"/>
  <c r="GL240" i="1"/>
  <c r="GN240" i="1"/>
  <c r="GP240" i="1"/>
  <c r="GV240" i="1"/>
  <c r="GX240" i="1" s="1"/>
  <c r="I241" i="1"/>
  <c r="E521" i="5" s="1"/>
  <c r="AC241" i="1"/>
  <c r="AE241" i="1"/>
  <c r="AD241" i="1" s="1"/>
  <c r="CR241" i="1" s="1"/>
  <c r="Q241" i="1" s="1"/>
  <c r="AF241" i="1"/>
  <c r="AG241" i="1"/>
  <c r="CU241" i="1" s="1"/>
  <c r="T241" i="1" s="1"/>
  <c r="AH241" i="1"/>
  <c r="AI241" i="1"/>
  <c r="CW241" i="1" s="1"/>
  <c r="V241" i="1" s="1"/>
  <c r="AJ241" i="1"/>
  <c r="CT241" i="1"/>
  <c r="S241" i="1" s="1"/>
  <c r="CV241" i="1"/>
  <c r="U241" i="1" s="1"/>
  <c r="CX241" i="1"/>
  <c r="W241" i="1" s="1"/>
  <c r="FR241" i="1"/>
  <c r="GL241" i="1"/>
  <c r="GN241" i="1"/>
  <c r="GP241" i="1"/>
  <c r="GV241" i="1"/>
  <c r="C242" i="1"/>
  <c r="D242" i="1"/>
  <c r="I242" i="1"/>
  <c r="AC242" i="1"/>
  <c r="AE242" i="1"/>
  <c r="AF242" i="1"/>
  <c r="AG242" i="1"/>
  <c r="AH242" i="1"/>
  <c r="AI242" i="1"/>
  <c r="CW242" i="1" s="1"/>
  <c r="AJ242" i="1"/>
  <c r="CX242" i="1" s="1"/>
  <c r="W242" i="1" s="1"/>
  <c r="CQ242" i="1"/>
  <c r="CU242" i="1"/>
  <c r="CV242" i="1"/>
  <c r="FR242" i="1"/>
  <c r="GL242" i="1"/>
  <c r="BZ250" i="1" s="1"/>
  <c r="GN242" i="1"/>
  <c r="GP242" i="1"/>
  <c r="GV242" i="1"/>
  <c r="GX242" i="1"/>
  <c r="AC243" i="1"/>
  <c r="AE243" i="1"/>
  <c r="AD243" i="1" s="1"/>
  <c r="CR243" i="1" s="1"/>
  <c r="AF243" i="1"/>
  <c r="AG243" i="1"/>
  <c r="CU243" i="1" s="1"/>
  <c r="AH243" i="1"/>
  <c r="CV243" i="1" s="1"/>
  <c r="AI243" i="1"/>
  <c r="CW243" i="1" s="1"/>
  <c r="AJ243" i="1"/>
  <c r="CQ243" i="1"/>
  <c r="CT243" i="1"/>
  <c r="CX243" i="1"/>
  <c r="FR243" i="1"/>
  <c r="GL243" i="1"/>
  <c r="GN243" i="1"/>
  <c r="GP243" i="1"/>
  <c r="GV243" i="1"/>
  <c r="C244" i="1"/>
  <c r="D244" i="1"/>
  <c r="AC244" i="1"/>
  <c r="AE244" i="1"/>
  <c r="AF244" i="1"/>
  <c r="AG244" i="1"/>
  <c r="CU244" i="1" s="1"/>
  <c r="T244" i="1" s="1"/>
  <c r="AH244" i="1"/>
  <c r="AI244" i="1"/>
  <c r="CW244" i="1" s="1"/>
  <c r="V244" i="1" s="1"/>
  <c r="AJ244" i="1"/>
  <c r="CT244" i="1"/>
  <c r="S244" i="1" s="1"/>
  <c r="K533" i="5" s="1"/>
  <c r="CV244" i="1"/>
  <c r="U244" i="1" s="1"/>
  <c r="CX244" i="1"/>
  <c r="W244" i="1" s="1"/>
  <c r="FR244" i="1"/>
  <c r="GL244" i="1"/>
  <c r="GN244" i="1"/>
  <c r="GP244" i="1"/>
  <c r="GV244" i="1"/>
  <c r="GX244" i="1" s="1"/>
  <c r="I245" i="1"/>
  <c r="E538" i="5" s="1"/>
  <c r="AC245" i="1"/>
  <c r="AE245" i="1"/>
  <c r="AF245" i="1"/>
  <c r="AG245" i="1"/>
  <c r="AH245" i="1"/>
  <c r="AI245" i="1"/>
  <c r="CW245" i="1" s="1"/>
  <c r="V245" i="1" s="1"/>
  <c r="AJ245" i="1"/>
  <c r="CX245" i="1" s="1"/>
  <c r="W245" i="1" s="1"/>
  <c r="CU245" i="1"/>
  <c r="T245" i="1" s="1"/>
  <c r="CV245" i="1"/>
  <c r="U245" i="1" s="1"/>
  <c r="FR245" i="1"/>
  <c r="GL245" i="1"/>
  <c r="GN245" i="1"/>
  <c r="GP245" i="1"/>
  <c r="GV245" i="1"/>
  <c r="GX245" i="1"/>
  <c r="C246" i="1"/>
  <c r="D246" i="1"/>
  <c r="I246" i="1"/>
  <c r="AC246" i="1"/>
  <c r="H545" i="5" s="1"/>
  <c r="AE246" i="1"/>
  <c r="AF246" i="1"/>
  <c r="AG246" i="1"/>
  <c r="CU246" i="1" s="1"/>
  <c r="AH246" i="1"/>
  <c r="AI246" i="1"/>
  <c r="CW246" i="1" s="1"/>
  <c r="V246" i="1" s="1"/>
  <c r="AJ246" i="1"/>
  <c r="CT246" i="1"/>
  <c r="S246" i="1" s="1"/>
  <c r="K542" i="5" s="1"/>
  <c r="CV246" i="1"/>
  <c r="U246" i="1" s="1"/>
  <c r="CX246" i="1"/>
  <c r="W246" i="1" s="1"/>
  <c r="FR246" i="1"/>
  <c r="GL246" i="1"/>
  <c r="GN246" i="1"/>
  <c r="GP246" i="1"/>
  <c r="GV246" i="1"/>
  <c r="GX246" i="1" s="1"/>
  <c r="I247" i="1"/>
  <c r="AC247" i="1"/>
  <c r="AE247" i="1"/>
  <c r="AD247" i="1" s="1"/>
  <c r="CR247" i="1" s="1"/>
  <c r="AF247" i="1"/>
  <c r="AG247" i="1"/>
  <c r="AH247" i="1"/>
  <c r="CV247" i="1" s="1"/>
  <c r="AI247" i="1"/>
  <c r="CW247" i="1" s="1"/>
  <c r="V247" i="1" s="1"/>
  <c r="AJ247" i="1"/>
  <c r="CX247" i="1" s="1"/>
  <c r="CU247" i="1"/>
  <c r="FR247" i="1"/>
  <c r="GL247" i="1"/>
  <c r="GN247" i="1"/>
  <c r="GP247" i="1"/>
  <c r="GV247" i="1"/>
  <c r="C248" i="1"/>
  <c r="D248" i="1"/>
  <c r="AC248" i="1"/>
  <c r="H553" i="5" s="1"/>
  <c r="AE248" i="1"/>
  <c r="AD248" i="1" s="1"/>
  <c r="CR248" i="1" s="1"/>
  <c r="Q248" i="1" s="1"/>
  <c r="AF248" i="1"/>
  <c r="AG248" i="1"/>
  <c r="AH248" i="1"/>
  <c r="CV248" i="1" s="1"/>
  <c r="U248" i="1" s="1"/>
  <c r="AI248" i="1"/>
  <c r="AJ248" i="1"/>
  <c r="CX248" i="1" s="1"/>
  <c r="W248" i="1" s="1"/>
  <c r="CU248" i="1"/>
  <c r="T248" i="1" s="1"/>
  <c r="CW248" i="1"/>
  <c r="V248" i="1" s="1"/>
  <c r="FR248" i="1"/>
  <c r="GL248" i="1"/>
  <c r="GN248" i="1"/>
  <c r="GP248" i="1"/>
  <c r="GV248" i="1"/>
  <c r="GX248" i="1"/>
  <c r="B250" i="1"/>
  <c r="B237" i="1" s="1"/>
  <c r="C250" i="1"/>
  <c r="C237" i="1" s="1"/>
  <c r="D250" i="1"/>
  <c r="D237" i="1" s="1"/>
  <c r="F250" i="1"/>
  <c r="F237" i="1" s="1"/>
  <c r="G250" i="1"/>
  <c r="BB250" i="1"/>
  <c r="BB237" i="1" s="1"/>
  <c r="BX250" i="1"/>
  <c r="CK250" i="1"/>
  <c r="CK237" i="1" s="1"/>
  <c r="CL250" i="1"/>
  <c r="CL237" i="1" s="1"/>
  <c r="F263" i="1"/>
  <c r="B279" i="1"/>
  <c r="B22" i="1" s="1"/>
  <c r="C279" i="1"/>
  <c r="C22" i="1" s="1"/>
  <c r="D279" i="1"/>
  <c r="D22" i="1" s="1"/>
  <c r="F279" i="1"/>
  <c r="F22" i="1" s="1"/>
  <c r="G279" i="1"/>
  <c r="B311" i="1"/>
  <c r="B18" i="1" s="1"/>
  <c r="C311" i="1"/>
  <c r="C18" i="1" s="1"/>
  <c r="D311" i="1"/>
  <c r="D18" i="1" s="1"/>
  <c r="F311" i="1"/>
  <c r="F18" i="1" s="1"/>
  <c r="G311" i="1"/>
  <c r="G18" i="1" s="1"/>
  <c r="E436" i="5" l="1"/>
  <c r="GX184" i="1"/>
  <c r="GK196" i="1"/>
  <c r="K476" i="5"/>
  <c r="AD244" i="1"/>
  <c r="CR244" i="1" s="1"/>
  <c r="Q244" i="1" s="1"/>
  <c r="CS244" i="1"/>
  <c r="R244" i="1" s="1"/>
  <c r="GK244" i="1" s="1"/>
  <c r="GX243" i="1"/>
  <c r="H525" i="5"/>
  <c r="R525" i="5" s="1"/>
  <c r="U523" i="5"/>
  <c r="S523" i="5"/>
  <c r="L488" i="5"/>
  <c r="Q488" i="5" s="1"/>
  <c r="L487" i="5"/>
  <c r="L482" i="5"/>
  <c r="Q482" i="5" s="1"/>
  <c r="L480" i="5"/>
  <c r="S195" i="1"/>
  <c r="L457" i="5"/>
  <c r="L459" i="5"/>
  <c r="Q459" i="5" s="1"/>
  <c r="CR185" i="1"/>
  <c r="Q185" i="1" s="1"/>
  <c r="K441" i="5" s="1"/>
  <c r="H441" i="5"/>
  <c r="T184" i="1"/>
  <c r="CR179" i="1"/>
  <c r="Q179" i="1" s="1"/>
  <c r="K409" i="5" s="1"/>
  <c r="H409" i="5"/>
  <c r="L397" i="5"/>
  <c r="Q397" i="5" s="1"/>
  <c r="L395" i="5"/>
  <c r="L378" i="5"/>
  <c r="Q378" i="5" s="1"/>
  <c r="L376" i="5"/>
  <c r="CQ171" i="1"/>
  <c r="H373" i="5"/>
  <c r="CR166" i="1"/>
  <c r="H335" i="5"/>
  <c r="AD129" i="1"/>
  <c r="CR129" i="1" s="1"/>
  <c r="Q129" i="1" s="1"/>
  <c r="CS129" i="1"/>
  <c r="R129" i="1" s="1"/>
  <c r="GK129" i="1" s="1"/>
  <c r="AD127" i="1"/>
  <c r="CR127" i="1" s="1"/>
  <c r="Q127" i="1" s="1"/>
  <c r="CS127" i="1"/>
  <c r="R127" i="1" s="1"/>
  <c r="GK127" i="1" s="1"/>
  <c r="U296" i="5"/>
  <c r="S296" i="5"/>
  <c r="H297" i="5"/>
  <c r="R297" i="5" s="1"/>
  <c r="CT126" i="1"/>
  <c r="S126" i="1" s="1"/>
  <c r="H138" i="5"/>
  <c r="R138" i="5" s="1"/>
  <c r="S137" i="5"/>
  <c r="U137" i="5"/>
  <c r="CT47" i="1"/>
  <c r="S47" i="1" s="1"/>
  <c r="K138" i="5" s="1"/>
  <c r="L136" i="5"/>
  <c r="Q136" i="5" s="1"/>
  <c r="L135" i="5"/>
  <c r="L108" i="5"/>
  <c r="Q108" i="5" s="1"/>
  <c r="L105" i="5"/>
  <c r="CQ39" i="1"/>
  <c r="P39" i="1" s="1"/>
  <c r="K102" i="5" s="1"/>
  <c r="H102" i="5"/>
  <c r="AD37" i="1"/>
  <c r="CR37" i="1" s="1"/>
  <c r="Q37" i="1" s="1"/>
  <c r="CS37" i="1"/>
  <c r="R37" i="1" s="1"/>
  <c r="GK37" i="1" s="1"/>
  <c r="C65" i="5"/>
  <c r="E64" i="5"/>
  <c r="BZ87" i="1"/>
  <c r="CG87" i="1" s="1"/>
  <c r="CQ248" i="1"/>
  <c r="P248" i="1" s="1"/>
  <c r="K553" i="5" s="1"/>
  <c r="H549" i="5"/>
  <c r="X549" i="5" s="1"/>
  <c r="CQ247" i="1"/>
  <c r="AD246" i="1"/>
  <c r="AB246" i="1" s="1"/>
  <c r="H544" i="5"/>
  <c r="R544" i="5" s="1"/>
  <c r="CS246" i="1"/>
  <c r="R246" i="1" s="1"/>
  <c r="L539" i="5"/>
  <c r="Q539" i="5" s="1"/>
  <c r="L537" i="5"/>
  <c r="H534" i="5"/>
  <c r="U242" i="1"/>
  <c r="V242" i="1"/>
  <c r="AD242" i="1"/>
  <c r="CR242" i="1" s="1"/>
  <c r="Q242" i="1" s="1"/>
  <c r="CS242" i="1"/>
  <c r="R242" i="1" s="1"/>
  <c r="GK242" i="1" s="1"/>
  <c r="AB240" i="1"/>
  <c r="H516" i="5"/>
  <c r="R516" i="5" s="1"/>
  <c r="U515" i="5"/>
  <c r="S515" i="5"/>
  <c r="CT239" i="1"/>
  <c r="S239" i="1" s="1"/>
  <c r="K510" i="5" s="1"/>
  <c r="H510" i="5"/>
  <c r="U509" i="5"/>
  <c r="H512" i="5" s="1"/>
  <c r="S509" i="5"/>
  <c r="H511" i="5" s="1"/>
  <c r="CS201" i="1"/>
  <c r="R201" i="1" s="1"/>
  <c r="GK201" i="1" s="1"/>
  <c r="L500" i="5"/>
  <c r="Q500" i="5" s="1"/>
  <c r="L499" i="5"/>
  <c r="AD200" i="1"/>
  <c r="CR200" i="1" s="1"/>
  <c r="Q200" i="1" s="1"/>
  <c r="CR199" i="1"/>
  <c r="Q199" i="1" s="1"/>
  <c r="AB198" i="1"/>
  <c r="U197" i="1"/>
  <c r="S469" i="5"/>
  <c r="U469" i="5"/>
  <c r="CT193" i="1"/>
  <c r="S193" i="1" s="1"/>
  <c r="CQ192" i="1"/>
  <c r="P192" i="1" s="1"/>
  <c r="CP192" i="1" s="1"/>
  <c r="O192" i="1" s="1"/>
  <c r="K468" i="5" s="1"/>
  <c r="CT190" i="1"/>
  <c r="S190" i="1" s="1"/>
  <c r="H461" i="5"/>
  <c r="R461" i="5" s="1"/>
  <c r="U460" i="5"/>
  <c r="S460" i="5"/>
  <c r="GX189" i="1"/>
  <c r="E458" i="5"/>
  <c r="CQ186" i="1"/>
  <c r="P186" i="1" s="1"/>
  <c r="H447" i="5"/>
  <c r="X447" i="5" s="1"/>
  <c r="U436" i="5"/>
  <c r="S436" i="5"/>
  <c r="CT184" i="1"/>
  <c r="S184" i="1" s="1"/>
  <c r="H429" i="5"/>
  <c r="R429" i="5" s="1"/>
  <c r="U427" i="5"/>
  <c r="H434" i="5" s="1"/>
  <c r="S427" i="5"/>
  <c r="H433" i="5" s="1"/>
  <c r="CT183" i="1"/>
  <c r="S183" i="1" s="1"/>
  <c r="H425" i="5"/>
  <c r="X425" i="5" s="1"/>
  <c r="CS181" i="1"/>
  <c r="R181" i="1" s="1"/>
  <c r="H420" i="5"/>
  <c r="R420" i="5" s="1"/>
  <c r="AD181" i="1"/>
  <c r="W180" i="1"/>
  <c r="CT180" i="1"/>
  <c r="U415" i="5"/>
  <c r="GK179" i="1"/>
  <c r="K410" i="5"/>
  <c r="AB179" i="1"/>
  <c r="H411" i="5"/>
  <c r="GK175" i="1"/>
  <c r="K391" i="5"/>
  <c r="I176" i="1"/>
  <c r="E396" i="5" s="1"/>
  <c r="C388" i="5"/>
  <c r="E387" i="5"/>
  <c r="AD173" i="1"/>
  <c r="CR173" i="1" s="1"/>
  <c r="Q173" i="1" s="1"/>
  <c r="CS173" i="1"/>
  <c r="R173" i="1" s="1"/>
  <c r="GK173" i="1" s="1"/>
  <c r="H357" i="5"/>
  <c r="U356" i="5"/>
  <c r="H359" i="5" s="1"/>
  <c r="S356" i="5"/>
  <c r="H358" i="5" s="1"/>
  <c r="CT169" i="1"/>
  <c r="S169" i="1" s="1"/>
  <c r="H343" i="5"/>
  <c r="CR167" i="1"/>
  <c r="Q167" i="1" s="1"/>
  <c r="K343" i="5" s="1"/>
  <c r="AO118" i="1"/>
  <c r="F135" i="1"/>
  <c r="CT121" i="1"/>
  <c r="S121" i="1" s="1"/>
  <c r="K276" i="5" s="1"/>
  <c r="U275" i="5"/>
  <c r="S275" i="5"/>
  <c r="H276" i="5"/>
  <c r="R276" i="5" s="1"/>
  <c r="L242" i="5"/>
  <c r="Q242" i="5" s="1"/>
  <c r="L241" i="5"/>
  <c r="CR80" i="1"/>
  <c r="Q80" i="1" s="1"/>
  <c r="K236" i="5" s="1"/>
  <c r="H236" i="5"/>
  <c r="CP73" i="1"/>
  <c r="O73" i="1" s="1"/>
  <c r="K209" i="5" s="1"/>
  <c r="AB73" i="1"/>
  <c r="H209" i="5"/>
  <c r="W209" i="5" s="1"/>
  <c r="H203" i="5"/>
  <c r="R203" i="5" s="1"/>
  <c r="AD71" i="1"/>
  <c r="AB70" i="1"/>
  <c r="H195" i="5"/>
  <c r="V66" i="1"/>
  <c r="AB66" i="1"/>
  <c r="CR66" i="1"/>
  <c r="Q66" i="1" s="1"/>
  <c r="AD63" i="1"/>
  <c r="CR63" i="1" s="1"/>
  <c r="Q63" i="1" s="1"/>
  <c r="CS63" i="1"/>
  <c r="R63" i="1" s="1"/>
  <c r="GK63" i="1" s="1"/>
  <c r="G237" i="1"/>
  <c r="A558" i="5"/>
  <c r="AB189" i="1"/>
  <c r="H458" i="5"/>
  <c r="X458" i="5" s="1"/>
  <c r="CS188" i="1"/>
  <c r="R188" i="1" s="1"/>
  <c r="H453" i="5"/>
  <c r="R453" i="5" s="1"/>
  <c r="AD188" i="1"/>
  <c r="R184" i="1"/>
  <c r="GK184" i="1" s="1"/>
  <c r="E427" i="5"/>
  <c r="C428" i="5"/>
  <c r="U417" i="5"/>
  <c r="S417" i="5"/>
  <c r="H418" i="5"/>
  <c r="CT181" i="1"/>
  <c r="S181" i="1" s="1"/>
  <c r="L416" i="5"/>
  <c r="Q416" i="5" s="1"/>
  <c r="L414" i="5"/>
  <c r="CQ178" i="1"/>
  <c r="P178" i="1" s="1"/>
  <c r="CP178" i="1" s="1"/>
  <c r="O178" i="1" s="1"/>
  <c r="K404" i="5" s="1"/>
  <c r="H404" i="5"/>
  <c r="X404" i="5" s="1"/>
  <c r="H396" i="5"/>
  <c r="X396" i="5" s="1"/>
  <c r="CQ175" i="1"/>
  <c r="P175" i="1" s="1"/>
  <c r="K392" i="5" s="1"/>
  <c r="H392" i="5"/>
  <c r="BX237" i="1"/>
  <c r="AO250" i="1"/>
  <c r="H552" i="5"/>
  <c r="U551" i="5"/>
  <c r="H555" i="5" s="1"/>
  <c r="S551" i="5"/>
  <c r="H554" i="5" s="1"/>
  <c r="CT248" i="1"/>
  <c r="S248" i="1" s="1"/>
  <c r="K552" i="5" s="1"/>
  <c r="CS247" i="1"/>
  <c r="R247" i="1" s="1"/>
  <c r="GK247" i="1" s="1"/>
  <c r="L550" i="5"/>
  <c r="Q550" i="5" s="1"/>
  <c r="L548" i="5"/>
  <c r="CT245" i="1"/>
  <c r="S245" i="1" s="1"/>
  <c r="CY245" i="1" s="1"/>
  <c r="X245" i="1" s="1"/>
  <c r="T538" i="5" s="1"/>
  <c r="S538" i="5"/>
  <c r="U538" i="5"/>
  <c r="AB243" i="1"/>
  <c r="T242" i="1"/>
  <c r="E481" i="5"/>
  <c r="GX197" i="1"/>
  <c r="V195" i="1"/>
  <c r="R195" i="1"/>
  <c r="GK195" i="1" s="1"/>
  <c r="V193" i="1"/>
  <c r="AD193" i="1"/>
  <c r="CR193" i="1" s="1"/>
  <c r="Q193" i="1" s="1"/>
  <c r="CS193" i="1"/>
  <c r="R193" i="1" s="1"/>
  <c r="GK193" i="1" s="1"/>
  <c r="S468" i="5"/>
  <c r="U468" i="5"/>
  <c r="CT192" i="1"/>
  <c r="S192" i="1" s="1"/>
  <c r="CZ192" i="1" s="1"/>
  <c r="Y192" i="1" s="1"/>
  <c r="V191" i="1"/>
  <c r="R191" i="1"/>
  <c r="GK191" i="1" s="1"/>
  <c r="AB190" i="1"/>
  <c r="H462" i="5"/>
  <c r="CR190" i="1"/>
  <c r="Q190" i="1" s="1"/>
  <c r="K462" i="5" s="1"/>
  <c r="CT187" i="1"/>
  <c r="S187" i="1" s="1"/>
  <c r="CZ187" i="1" s="1"/>
  <c r="Y187" i="1" s="1"/>
  <c r="V448" i="5" s="1"/>
  <c r="U448" i="5"/>
  <c r="S448" i="5"/>
  <c r="W184" i="1"/>
  <c r="Q184" i="1"/>
  <c r="W183" i="1"/>
  <c r="V183" i="1"/>
  <c r="CS183" i="1"/>
  <c r="R183" i="1" s="1"/>
  <c r="H431" i="5"/>
  <c r="R431" i="5" s="1"/>
  <c r="AD183" i="1"/>
  <c r="GX180" i="1"/>
  <c r="AD180" i="1"/>
  <c r="CS180" i="1"/>
  <c r="R180" i="1" s="1"/>
  <c r="GK180" i="1" s="1"/>
  <c r="S398" i="5"/>
  <c r="H399" i="5"/>
  <c r="R399" i="5" s="1"/>
  <c r="U398" i="5"/>
  <c r="CT177" i="1"/>
  <c r="S177" i="1" s="1"/>
  <c r="K399" i="5" s="1"/>
  <c r="CT170" i="1"/>
  <c r="S170" i="1" s="1"/>
  <c r="K363" i="5" s="1"/>
  <c r="H363" i="5"/>
  <c r="U362" i="5"/>
  <c r="H365" i="5" s="1"/>
  <c r="S362" i="5"/>
  <c r="H364" i="5" s="1"/>
  <c r="AD168" i="1"/>
  <c r="AB168" i="1" s="1"/>
  <c r="CS168" i="1"/>
  <c r="R168" i="1" s="1"/>
  <c r="GK168" i="1" s="1"/>
  <c r="L347" i="5"/>
  <c r="Q347" i="5" s="1"/>
  <c r="L346" i="5"/>
  <c r="L322" i="5"/>
  <c r="Q322" i="5" s="1"/>
  <c r="L321" i="5"/>
  <c r="CY129" i="1"/>
  <c r="X129" i="1" s="1"/>
  <c r="T307" i="5" s="1"/>
  <c r="K309" i="5" s="1"/>
  <c r="K308" i="5"/>
  <c r="L295" i="5"/>
  <c r="Q295" i="5" s="1"/>
  <c r="L293" i="5"/>
  <c r="CQ124" i="1"/>
  <c r="P124" i="1" s="1"/>
  <c r="K290" i="5" s="1"/>
  <c r="H290" i="5"/>
  <c r="BY131" i="1"/>
  <c r="BY118" i="1" s="1"/>
  <c r="CQ83" i="1"/>
  <c r="P83" i="1" s="1"/>
  <c r="K256" i="5" s="1"/>
  <c r="H256" i="5"/>
  <c r="AB83" i="1"/>
  <c r="CT77" i="1"/>
  <c r="S77" i="1" s="1"/>
  <c r="H223" i="5"/>
  <c r="R223" i="5" s="1"/>
  <c r="U222" i="5"/>
  <c r="S222" i="5"/>
  <c r="L181" i="5"/>
  <c r="Q181" i="5" s="1"/>
  <c r="L177" i="5"/>
  <c r="AD64" i="1"/>
  <c r="CS64" i="1"/>
  <c r="R64" i="1" s="1"/>
  <c r="W61" i="1"/>
  <c r="H158" i="5"/>
  <c r="W158" i="5" s="1"/>
  <c r="CQ53" i="1"/>
  <c r="P53" i="1" s="1"/>
  <c r="U148" i="5"/>
  <c r="S148" i="5"/>
  <c r="CT51" i="1"/>
  <c r="S51" i="1" s="1"/>
  <c r="AD49" i="1"/>
  <c r="CR49" i="1" s="1"/>
  <c r="Q49" i="1" s="1"/>
  <c r="CS49" i="1"/>
  <c r="R49" i="1" s="1"/>
  <c r="GK49" i="1" s="1"/>
  <c r="AD43" i="1"/>
  <c r="CR43" i="1" s="1"/>
  <c r="CS43" i="1"/>
  <c r="R43" i="1" s="1"/>
  <c r="GK43" i="1" s="1"/>
  <c r="CQ241" i="1"/>
  <c r="P241" i="1" s="1"/>
  <c r="CP241" i="1" s="1"/>
  <c r="O241" i="1" s="1"/>
  <c r="K521" i="5" s="1"/>
  <c r="H521" i="5"/>
  <c r="X521" i="5" s="1"/>
  <c r="L494" i="5"/>
  <c r="Q494" i="5" s="1"/>
  <c r="L493" i="5"/>
  <c r="AD197" i="1"/>
  <c r="CS197" i="1"/>
  <c r="R197" i="1" s="1"/>
  <c r="GK197" i="1" s="1"/>
  <c r="CQ196" i="1"/>
  <c r="P196" i="1" s="1"/>
  <c r="H477" i="5"/>
  <c r="E469" i="5"/>
  <c r="GX193" i="1"/>
  <c r="L449" i="5"/>
  <c r="Q449" i="5" s="1"/>
  <c r="L446" i="5"/>
  <c r="U379" i="5"/>
  <c r="S379" i="5"/>
  <c r="H380" i="5"/>
  <c r="R380" i="5" s="1"/>
  <c r="AD245" i="1"/>
  <c r="CR245" i="1" s="1"/>
  <c r="Q245" i="1" s="1"/>
  <c r="CS245" i="1"/>
  <c r="R245" i="1" s="1"/>
  <c r="GK245" i="1" s="1"/>
  <c r="P243" i="1"/>
  <c r="I243" i="1"/>
  <c r="E530" i="5" s="1"/>
  <c r="E523" i="5"/>
  <c r="C524" i="5"/>
  <c r="CT201" i="1"/>
  <c r="S201" i="1" s="1"/>
  <c r="H502" i="5"/>
  <c r="U501" i="5"/>
  <c r="H504" i="5" s="1"/>
  <c r="S501" i="5"/>
  <c r="H503" i="5" s="1"/>
  <c r="BY203" i="1"/>
  <c r="BY162" i="1" s="1"/>
  <c r="CY200" i="1"/>
  <c r="X200" i="1" s="1"/>
  <c r="T495" i="5" s="1"/>
  <c r="K497" i="5" s="1"/>
  <c r="K496" i="5"/>
  <c r="CT197" i="1"/>
  <c r="U481" i="5"/>
  <c r="S481" i="5"/>
  <c r="AD196" i="1"/>
  <c r="H476" i="5"/>
  <c r="R476" i="5" s="1"/>
  <c r="GX195" i="1"/>
  <c r="T195" i="1"/>
  <c r="CQ195" i="1"/>
  <c r="P195" i="1" s="1"/>
  <c r="W193" i="1"/>
  <c r="GX191" i="1"/>
  <c r="T191" i="1"/>
  <c r="CQ191" i="1"/>
  <c r="P191" i="1" s="1"/>
  <c r="U450" i="5"/>
  <c r="S450" i="5"/>
  <c r="H451" i="5"/>
  <c r="R451" i="5" s="1"/>
  <c r="CT188" i="1"/>
  <c r="S188" i="1" s="1"/>
  <c r="K451" i="5" s="1"/>
  <c r="CS185" i="1"/>
  <c r="R185" i="1" s="1"/>
  <c r="H442" i="5"/>
  <c r="R442" i="5" s="1"/>
  <c r="H436" i="5"/>
  <c r="X436" i="5" s="1"/>
  <c r="T183" i="1"/>
  <c r="U425" i="5"/>
  <c r="S425" i="5"/>
  <c r="CT182" i="1"/>
  <c r="S182" i="1" s="1"/>
  <c r="V180" i="1"/>
  <c r="CS177" i="1"/>
  <c r="R177" i="1" s="1"/>
  <c r="GK177" i="1" s="1"/>
  <c r="AD177" i="1"/>
  <c r="CR177" i="1" s="1"/>
  <c r="Q177" i="1" s="1"/>
  <c r="CT174" i="1"/>
  <c r="S174" i="1" s="1"/>
  <c r="U385" i="5"/>
  <c r="S385" i="5"/>
  <c r="GX172" i="1"/>
  <c r="L331" i="5"/>
  <c r="Q331" i="5" s="1"/>
  <c r="L330" i="5"/>
  <c r="S284" i="5"/>
  <c r="U284" i="5"/>
  <c r="CT123" i="1"/>
  <c r="S123" i="1" s="1"/>
  <c r="H268" i="5"/>
  <c r="U267" i="5"/>
  <c r="H272" i="5" s="1"/>
  <c r="S267" i="5"/>
  <c r="H271" i="5" s="1"/>
  <c r="CT120" i="1"/>
  <c r="S120" i="1" s="1"/>
  <c r="K268" i="5" s="1"/>
  <c r="G26" i="1"/>
  <c r="A265" i="5"/>
  <c r="CT81" i="1"/>
  <c r="S81" i="1" s="1"/>
  <c r="U243" i="5"/>
  <c r="S243" i="5"/>
  <c r="H245" i="5"/>
  <c r="R245" i="5" s="1"/>
  <c r="L253" i="5"/>
  <c r="Q253" i="5" s="1"/>
  <c r="L251" i="5"/>
  <c r="GK71" i="1"/>
  <c r="K203" i="5"/>
  <c r="CT69" i="1"/>
  <c r="S69" i="1" s="1"/>
  <c r="U182" i="5"/>
  <c r="H188" i="5" s="1"/>
  <c r="S182" i="5"/>
  <c r="H187" i="5" s="1"/>
  <c r="H183" i="5"/>
  <c r="W68" i="1"/>
  <c r="H180" i="5"/>
  <c r="W180" i="5" s="1"/>
  <c r="AB62" i="1"/>
  <c r="U167" i="5"/>
  <c r="S167" i="5"/>
  <c r="CT62" i="1"/>
  <c r="S62" i="1" s="1"/>
  <c r="CZ62" i="1" s="1"/>
  <c r="Y62" i="1" s="1"/>
  <c r="V167" i="5" s="1"/>
  <c r="H165" i="5"/>
  <c r="W165" i="5" s="1"/>
  <c r="CQ60" i="1"/>
  <c r="P60" i="1" s="1"/>
  <c r="CP60" i="1" s="1"/>
  <c r="O60" i="1" s="1"/>
  <c r="K165" i="5" s="1"/>
  <c r="CQ59" i="1"/>
  <c r="H164" i="5"/>
  <c r="W164" i="5" s="1"/>
  <c r="CS57" i="1"/>
  <c r="R57" i="1" s="1"/>
  <c r="GK57" i="1" s="1"/>
  <c r="AD57" i="1"/>
  <c r="CR57" i="1" s="1"/>
  <c r="Q57" i="1" s="1"/>
  <c r="L170" i="5"/>
  <c r="Q170" i="5" s="1"/>
  <c r="L157" i="5"/>
  <c r="AD50" i="1"/>
  <c r="CS50" i="1"/>
  <c r="R50" i="1" s="1"/>
  <c r="GK50" i="1" s="1"/>
  <c r="AD48" i="1"/>
  <c r="CR48" i="1" s="1"/>
  <c r="Q48" i="1" s="1"/>
  <c r="CS48" i="1"/>
  <c r="R48" i="1" s="1"/>
  <c r="GK48" i="1" s="1"/>
  <c r="L127" i="5"/>
  <c r="Q127" i="5" s="1"/>
  <c r="L126" i="5"/>
  <c r="L118" i="5"/>
  <c r="Q118" i="5" s="1"/>
  <c r="L115" i="5"/>
  <c r="CX14" i="3"/>
  <c r="E57" i="5"/>
  <c r="C58" i="5"/>
  <c r="AD171" i="1"/>
  <c r="H372" i="5"/>
  <c r="R372" i="5" s="1"/>
  <c r="CP169" i="1"/>
  <c r="O169" i="1" s="1"/>
  <c r="AB169" i="1"/>
  <c r="H349" i="5"/>
  <c r="U348" i="5"/>
  <c r="H353" i="5" s="1"/>
  <c r="S348" i="5"/>
  <c r="H352" i="5" s="1"/>
  <c r="CT167" i="1"/>
  <c r="S167" i="1" s="1"/>
  <c r="H342" i="5"/>
  <c r="U341" i="5"/>
  <c r="H345" i="5" s="1"/>
  <c r="S341" i="5"/>
  <c r="H344" i="5" s="1"/>
  <c r="V166" i="1"/>
  <c r="C333" i="5"/>
  <c r="E332" i="5"/>
  <c r="GK165" i="1"/>
  <c r="K327" i="5"/>
  <c r="AD164" i="1"/>
  <c r="H317" i="5" s="1"/>
  <c r="H318" i="5"/>
  <c r="R318" i="5" s="1"/>
  <c r="U307" i="5"/>
  <c r="H310" i="5" s="1"/>
  <c r="S307" i="5"/>
  <c r="H309" i="5" s="1"/>
  <c r="H308" i="5"/>
  <c r="AB128" i="1"/>
  <c r="U304" i="5"/>
  <c r="S304" i="5"/>
  <c r="AI131" i="1"/>
  <c r="AI118" i="1" s="1"/>
  <c r="K300" i="5"/>
  <c r="H300" i="5"/>
  <c r="AB125" i="1"/>
  <c r="H284" i="5"/>
  <c r="W284" i="5" s="1"/>
  <c r="L285" i="5"/>
  <c r="Q285" i="5" s="1"/>
  <c r="L282" i="5"/>
  <c r="BY87" i="1"/>
  <c r="AP87" i="1" s="1"/>
  <c r="CQ82" i="1"/>
  <c r="E233" i="5"/>
  <c r="C234" i="5"/>
  <c r="AB79" i="1"/>
  <c r="U231" i="5"/>
  <c r="S231" i="5"/>
  <c r="GK77" i="1"/>
  <c r="K225" i="5"/>
  <c r="L221" i="5"/>
  <c r="Q221" i="5" s="1"/>
  <c r="L218" i="5"/>
  <c r="GX73" i="1"/>
  <c r="E209" i="5"/>
  <c r="CQ72" i="1"/>
  <c r="P72" i="1" s="1"/>
  <c r="CT71" i="1"/>
  <c r="S71" i="1" s="1"/>
  <c r="K201" i="5" s="1"/>
  <c r="U200" i="5"/>
  <c r="S200" i="5"/>
  <c r="H201" i="5"/>
  <c r="R201" i="5" s="1"/>
  <c r="L199" i="5"/>
  <c r="Q199" i="5" s="1"/>
  <c r="L198" i="5"/>
  <c r="CR70" i="1"/>
  <c r="Q70" i="1" s="1"/>
  <c r="K193" i="5" s="1"/>
  <c r="H193" i="5"/>
  <c r="L190" i="5"/>
  <c r="Q190" i="5" s="1"/>
  <c r="L189" i="5"/>
  <c r="CT66" i="1"/>
  <c r="S178" i="5"/>
  <c r="S171" i="5"/>
  <c r="H173" i="5"/>
  <c r="R173" i="5" s="1"/>
  <c r="U171" i="5"/>
  <c r="CT65" i="1"/>
  <c r="S65" i="1" s="1"/>
  <c r="K173" i="5" s="1"/>
  <c r="C172" i="5"/>
  <c r="E171" i="5"/>
  <c r="U168" i="5"/>
  <c r="S168" i="5"/>
  <c r="CQ62" i="1"/>
  <c r="P62" i="1" s="1"/>
  <c r="H167" i="5"/>
  <c r="W167" i="5" s="1"/>
  <c r="P61" i="1"/>
  <c r="H166" i="5"/>
  <c r="W166" i="5" s="1"/>
  <c r="AD59" i="1"/>
  <c r="CR59" i="1" s="1"/>
  <c r="Q59" i="1" s="1"/>
  <c r="CS59" i="1"/>
  <c r="R59" i="1" s="1"/>
  <c r="GK59" i="1" s="1"/>
  <c r="AB58" i="1"/>
  <c r="U163" i="5"/>
  <c r="S163" i="5"/>
  <c r="R56" i="1"/>
  <c r="GK56" i="1" s="1"/>
  <c r="U56" i="1"/>
  <c r="H161" i="5"/>
  <c r="W161" i="5" s="1"/>
  <c r="CQ55" i="1"/>
  <c r="H160" i="5"/>
  <c r="W160" i="5" s="1"/>
  <c r="CT50" i="1"/>
  <c r="S147" i="5"/>
  <c r="U147" i="5"/>
  <c r="U145" i="5"/>
  <c r="S145" i="5"/>
  <c r="L149" i="5"/>
  <c r="Q149" i="5" s="1"/>
  <c r="L144" i="5"/>
  <c r="U117" i="5"/>
  <c r="S117" i="5"/>
  <c r="CT44" i="1"/>
  <c r="S44" i="1" s="1"/>
  <c r="CZ44" i="1" s="1"/>
  <c r="Y44" i="1" s="1"/>
  <c r="V117" i="5" s="1"/>
  <c r="CS42" i="1"/>
  <c r="R42" i="1" s="1"/>
  <c r="GK42" i="1" s="1"/>
  <c r="AD42" i="1"/>
  <c r="U38" i="1"/>
  <c r="T34" i="1"/>
  <c r="GX33" i="1"/>
  <c r="S33" i="1"/>
  <c r="K59" i="5" s="1"/>
  <c r="GX32" i="1"/>
  <c r="E55" i="5"/>
  <c r="AB29" i="1"/>
  <c r="U32" i="5"/>
  <c r="H35" i="5" s="1"/>
  <c r="S32" i="5"/>
  <c r="H34" i="5" s="1"/>
  <c r="H33" i="5"/>
  <c r="CT29" i="1"/>
  <c r="S29" i="1" s="1"/>
  <c r="K33" i="5" s="1"/>
  <c r="U23" i="5"/>
  <c r="H29" i="5" s="1"/>
  <c r="S23" i="5"/>
  <c r="H28" i="5" s="1"/>
  <c r="H25" i="5"/>
  <c r="CT28" i="1"/>
  <c r="S28" i="1" s="1"/>
  <c r="H50" i="5"/>
  <c r="R50" i="5" s="1"/>
  <c r="AD31" i="1"/>
  <c r="CS31" i="1"/>
  <c r="R31" i="1" s="1"/>
  <c r="E540" i="5"/>
  <c r="C541" i="5"/>
  <c r="H470" i="5"/>
  <c r="X470" i="5" s="1"/>
  <c r="L472" i="5"/>
  <c r="Q472" i="5" s="1"/>
  <c r="L466" i="5"/>
  <c r="U458" i="5"/>
  <c r="S458" i="5"/>
  <c r="U447" i="5"/>
  <c r="S447" i="5"/>
  <c r="AB185" i="1"/>
  <c r="H443" i="5"/>
  <c r="V184" i="1"/>
  <c r="GX183" i="1"/>
  <c r="U183" i="1"/>
  <c r="L424" i="5"/>
  <c r="L426" i="5"/>
  <c r="Q426" i="5" s="1"/>
  <c r="CQ180" i="1"/>
  <c r="P180" i="1" s="1"/>
  <c r="S406" i="5"/>
  <c r="H408" i="5"/>
  <c r="R408" i="5" s="1"/>
  <c r="U406" i="5"/>
  <c r="H413" i="5" s="1"/>
  <c r="C407" i="5"/>
  <c r="E406" i="5"/>
  <c r="W178" i="1"/>
  <c r="CT178" i="1"/>
  <c r="S178" i="1" s="1"/>
  <c r="CY178" i="1" s="1"/>
  <c r="X178" i="1" s="1"/>
  <c r="T404" i="5" s="1"/>
  <c r="U404" i="5"/>
  <c r="S404" i="5"/>
  <c r="L405" i="5"/>
  <c r="Q405" i="5" s="1"/>
  <c r="L403" i="5"/>
  <c r="W176" i="1"/>
  <c r="CT176" i="1"/>
  <c r="U396" i="5"/>
  <c r="W175" i="1"/>
  <c r="CT175" i="1"/>
  <c r="S175" i="1" s="1"/>
  <c r="K389" i="5" s="1"/>
  <c r="U387" i="5"/>
  <c r="H394" i="5" s="1"/>
  <c r="S387" i="5"/>
  <c r="H389" i="5"/>
  <c r="R389" i="5" s="1"/>
  <c r="H385" i="5"/>
  <c r="X385" i="5" s="1"/>
  <c r="L386" i="5"/>
  <c r="Q386" i="5" s="1"/>
  <c r="L384" i="5"/>
  <c r="P172" i="1"/>
  <c r="CS171" i="1"/>
  <c r="R171" i="1" s="1"/>
  <c r="I172" i="1"/>
  <c r="E377" i="5" s="1"/>
  <c r="C369" i="5"/>
  <c r="E368" i="5"/>
  <c r="L355" i="5"/>
  <c r="Q355" i="5" s="1"/>
  <c r="L354" i="5"/>
  <c r="CS166" i="1"/>
  <c r="R166" i="1" s="1"/>
  <c r="P166" i="1"/>
  <c r="H325" i="5"/>
  <c r="U323" i="5"/>
  <c r="H329" i="5" s="1"/>
  <c r="S323" i="5"/>
  <c r="H328" i="5" s="1"/>
  <c r="E323" i="5"/>
  <c r="C324" i="5"/>
  <c r="L312" i="5"/>
  <c r="Q312" i="5" s="1"/>
  <c r="L311" i="5"/>
  <c r="CT128" i="1"/>
  <c r="U305" i="5"/>
  <c r="S305" i="5"/>
  <c r="CQ127" i="1"/>
  <c r="P127" i="1" s="1"/>
  <c r="CP127" i="1" s="1"/>
  <c r="O127" i="1" s="1"/>
  <c r="K304" i="5" s="1"/>
  <c r="CT125" i="1"/>
  <c r="S125" i="1" s="1"/>
  <c r="U294" i="5"/>
  <c r="S294" i="5"/>
  <c r="CT122" i="1"/>
  <c r="S122" i="1" s="1"/>
  <c r="U283" i="5"/>
  <c r="S283" i="5"/>
  <c r="CS121" i="1"/>
  <c r="R121" i="1" s="1"/>
  <c r="H278" i="5"/>
  <c r="R278" i="5" s="1"/>
  <c r="CS120" i="1"/>
  <c r="R120" i="1" s="1"/>
  <c r="H270" i="5"/>
  <c r="R270" i="5" s="1"/>
  <c r="F91" i="1"/>
  <c r="G264" i="5"/>
  <c r="O264" i="5" s="1"/>
  <c r="W264" i="5"/>
  <c r="GK81" i="1"/>
  <c r="K247" i="5"/>
  <c r="GX80" i="1"/>
  <c r="S80" i="1"/>
  <c r="K235" i="5" s="1"/>
  <c r="AB80" i="1"/>
  <c r="H238" i="5"/>
  <c r="CT79" i="1"/>
  <c r="S79" i="1" s="1"/>
  <c r="AB78" i="1"/>
  <c r="H230" i="5"/>
  <c r="W230" i="5" s="1"/>
  <c r="L229" i="5"/>
  <c r="L232" i="5"/>
  <c r="Q232" i="5" s="1"/>
  <c r="AD77" i="1"/>
  <c r="H225" i="5"/>
  <c r="R225" i="5" s="1"/>
  <c r="GX76" i="1"/>
  <c r="S76" i="1"/>
  <c r="CT74" i="1"/>
  <c r="S74" i="1" s="1"/>
  <c r="K212" i="5" s="1"/>
  <c r="H212" i="5"/>
  <c r="U211" i="5"/>
  <c r="S211" i="5"/>
  <c r="V73" i="1"/>
  <c r="U209" i="5"/>
  <c r="S209" i="5"/>
  <c r="CT73" i="1"/>
  <c r="S73" i="1" s="1"/>
  <c r="CY73" i="1" s="1"/>
  <c r="X73" i="1" s="1"/>
  <c r="T209" i="5" s="1"/>
  <c r="U208" i="5"/>
  <c r="S208" i="5"/>
  <c r="CT72" i="1"/>
  <c r="S72" i="1" s="1"/>
  <c r="CY72" i="1" s="1"/>
  <c r="X72" i="1" s="1"/>
  <c r="T208" i="5" s="1"/>
  <c r="L210" i="5"/>
  <c r="Q210" i="5" s="1"/>
  <c r="L207" i="5"/>
  <c r="AD69" i="1"/>
  <c r="H184" i="5" s="1"/>
  <c r="H185" i="5"/>
  <c r="R185" i="5" s="1"/>
  <c r="CS69" i="1"/>
  <c r="R69" i="1" s="1"/>
  <c r="K185" i="5" s="1"/>
  <c r="V68" i="1"/>
  <c r="I68" i="1"/>
  <c r="R68" i="1" s="1"/>
  <c r="AB67" i="1"/>
  <c r="U66" i="1"/>
  <c r="I66" i="1"/>
  <c r="R65" i="1"/>
  <c r="GK65" i="1" s="1"/>
  <c r="CQ65" i="1"/>
  <c r="P65" i="1" s="1"/>
  <c r="K174" i="5" s="1"/>
  <c r="H174" i="5"/>
  <c r="H169" i="5"/>
  <c r="W169" i="5" s="1"/>
  <c r="CQ63" i="1"/>
  <c r="P63" i="1" s="1"/>
  <c r="CP63" i="1" s="1"/>
  <c r="O63" i="1" s="1"/>
  <c r="K168" i="5" s="1"/>
  <c r="H168" i="5"/>
  <c r="W168" i="5" s="1"/>
  <c r="V61" i="1"/>
  <c r="R61" i="1"/>
  <c r="GK61" i="1" s="1"/>
  <c r="CT58" i="1"/>
  <c r="S58" i="1" s="1"/>
  <c r="CZ58" i="1" s="1"/>
  <c r="Y58" i="1" s="1"/>
  <c r="V163" i="5" s="1"/>
  <c r="GX57" i="1"/>
  <c r="S57" i="1"/>
  <c r="CZ57" i="1" s="1"/>
  <c r="Y57" i="1" s="1"/>
  <c r="V162" i="5" s="1"/>
  <c r="U57" i="1"/>
  <c r="U160" i="5"/>
  <c r="S160" i="5"/>
  <c r="AB54" i="1"/>
  <c r="H159" i="5"/>
  <c r="W159" i="5" s="1"/>
  <c r="K151" i="5"/>
  <c r="AD52" i="1"/>
  <c r="H153" i="5"/>
  <c r="R153" i="5" s="1"/>
  <c r="H147" i="5"/>
  <c r="W147" i="5" s="1"/>
  <c r="CQ49" i="1"/>
  <c r="H146" i="5"/>
  <c r="W146" i="5" s="1"/>
  <c r="H129" i="5"/>
  <c r="S128" i="5"/>
  <c r="H133" i="5" s="1"/>
  <c r="U128" i="5"/>
  <c r="H134" i="5" s="1"/>
  <c r="CT46" i="1"/>
  <c r="S46" i="1" s="1"/>
  <c r="K129" i="5" s="1"/>
  <c r="CQ41" i="1"/>
  <c r="P41" i="1" s="1"/>
  <c r="CP41" i="1" s="1"/>
  <c r="O41" i="1" s="1"/>
  <c r="K107" i="5" s="1"/>
  <c r="H107" i="5"/>
  <c r="W107" i="5" s="1"/>
  <c r="AB41" i="1"/>
  <c r="W38" i="1"/>
  <c r="U96" i="5"/>
  <c r="CT38" i="1"/>
  <c r="AD36" i="1"/>
  <c r="CR36" i="1" s="1"/>
  <c r="Q36" i="1" s="1"/>
  <c r="CS36" i="1"/>
  <c r="R36" i="1" s="1"/>
  <c r="GK36" i="1" s="1"/>
  <c r="GK35" i="1"/>
  <c r="K77" i="5"/>
  <c r="V33" i="1"/>
  <c r="R33" i="1"/>
  <c r="GK33" i="1" s="1"/>
  <c r="V32" i="1"/>
  <c r="AB30" i="1"/>
  <c r="H40" i="5"/>
  <c r="U38" i="5"/>
  <c r="H44" i="5" s="1"/>
  <c r="S38" i="5"/>
  <c r="H43" i="5" s="1"/>
  <c r="CT30" i="1"/>
  <c r="S30" i="1" s="1"/>
  <c r="K40" i="5" s="1"/>
  <c r="L36" i="5"/>
  <c r="L37" i="5"/>
  <c r="Q37" i="5" s="1"/>
  <c r="L31" i="5"/>
  <c r="Q31" i="5" s="1"/>
  <c r="L30" i="5"/>
  <c r="GX247" i="1"/>
  <c r="E549" i="5"/>
  <c r="T246" i="1"/>
  <c r="S530" i="5"/>
  <c r="U530" i="5"/>
  <c r="L506" i="5"/>
  <c r="Q506" i="5" s="1"/>
  <c r="L505" i="5"/>
  <c r="CP200" i="1"/>
  <c r="O200" i="1" s="1"/>
  <c r="S483" i="5"/>
  <c r="H485" i="5" s="1"/>
  <c r="H484" i="5"/>
  <c r="U483" i="5"/>
  <c r="H486" i="5" s="1"/>
  <c r="H481" i="5"/>
  <c r="X481" i="5" s="1"/>
  <c r="CQ194" i="1"/>
  <c r="P194" i="1" s="1"/>
  <c r="CQ193" i="1"/>
  <c r="P193" i="1" s="1"/>
  <c r="CP193" i="1" s="1"/>
  <c r="O193" i="1" s="1"/>
  <c r="K469" i="5" s="1"/>
  <c r="G22" i="1"/>
  <c r="A559" i="5"/>
  <c r="CD250" i="1"/>
  <c r="AU250" i="1" s="1"/>
  <c r="CS248" i="1"/>
  <c r="R248" i="1" s="1"/>
  <c r="GK248" i="1" s="1"/>
  <c r="L557" i="5"/>
  <c r="Q557" i="5" s="1"/>
  <c r="L556" i="5"/>
  <c r="CT247" i="1"/>
  <c r="S247" i="1" s="1"/>
  <c r="U549" i="5"/>
  <c r="S549" i="5"/>
  <c r="U540" i="5"/>
  <c r="S540" i="5"/>
  <c r="H542" i="5"/>
  <c r="R542" i="5" s="1"/>
  <c r="CQ245" i="1"/>
  <c r="P245" i="1" s="1"/>
  <c r="H533" i="5"/>
  <c r="R533" i="5" s="1"/>
  <c r="U532" i="5"/>
  <c r="S532" i="5"/>
  <c r="H535" i="5" s="1"/>
  <c r="P242" i="1"/>
  <c r="K526" i="5" s="1"/>
  <c r="H526" i="5"/>
  <c r="GX241" i="1"/>
  <c r="CJ250" i="1" s="1"/>
  <c r="U521" i="5"/>
  <c r="S521" i="5"/>
  <c r="CS240" i="1"/>
  <c r="R240" i="1" s="1"/>
  <c r="GK240" i="1" s="1"/>
  <c r="L520" i="5"/>
  <c r="L522" i="5"/>
  <c r="Q522" i="5" s="1"/>
  <c r="CS239" i="1"/>
  <c r="R239" i="1" s="1"/>
  <c r="L514" i="5"/>
  <c r="Q514" i="5" s="1"/>
  <c r="L513" i="5"/>
  <c r="G162" i="1"/>
  <c r="A507" i="5"/>
  <c r="H496" i="5"/>
  <c r="U495" i="5"/>
  <c r="H498" i="5" s="1"/>
  <c r="S495" i="5"/>
  <c r="H497" i="5" s="1"/>
  <c r="CT199" i="1"/>
  <c r="S199" i="1" s="1"/>
  <c r="U489" i="5"/>
  <c r="H492" i="5" s="1"/>
  <c r="S489" i="5"/>
  <c r="H491" i="5" s="1"/>
  <c r="H490" i="5"/>
  <c r="CQ197" i="1"/>
  <c r="P197" i="1" s="1"/>
  <c r="H474" i="5"/>
  <c r="R474" i="5" s="1"/>
  <c r="U473" i="5"/>
  <c r="H479" i="5" s="1"/>
  <c r="S473" i="5"/>
  <c r="H478" i="5" s="1"/>
  <c r="W195" i="1"/>
  <c r="S471" i="5"/>
  <c r="U471" i="5"/>
  <c r="W194" i="1"/>
  <c r="CT194" i="1"/>
  <c r="S194" i="1" s="1"/>
  <c r="CY194" i="1" s="1"/>
  <c r="X194" i="1" s="1"/>
  <c r="T470" i="5" s="1"/>
  <c r="S470" i="5"/>
  <c r="U470" i="5"/>
  <c r="T193" i="1"/>
  <c r="AB193" i="1"/>
  <c r="CS192" i="1"/>
  <c r="R192" i="1" s="1"/>
  <c r="GK192" i="1" s="1"/>
  <c r="W191" i="1"/>
  <c r="S467" i="5"/>
  <c r="U467" i="5"/>
  <c r="CS187" i="1"/>
  <c r="R187" i="1" s="1"/>
  <c r="CQ187" i="1"/>
  <c r="P187" i="1" s="1"/>
  <c r="H448" i="5"/>
  <c r="X448" i="5" s="1"/>
  <c r="S438" i="5"/>
  <c r="H444" i="5" s="1"/>
  <c r="H440" i="5"/>
  <c r="R440" i="5" s="1"/>
  <c r="U438" i="5"/>
  <c r="C439" i="5"/>
  <c r="E438" i="5"/>
  <c r="U184" i="1"/>
  <c r="P183" i="1"/>
  <c r="AB183" i="1"/>
  <c r="H432" i="5"/>
  <c r="U182" i="1"/>
  <c r="T180" i="1"/>
  <c r="I180" i="1"/>
  <c r="E415" i="5" s="1"/>
  <c r="V179" i="1"/>
  <c r="H410" i="5"/>
  <c r="R410" i="5" s="1"/>
  <c r="V178" i="1"/>
  <c r="H400" i="5"/>
  <c r="V175" i="1"/>
  <c r="AD175" i="1"/>
  <c r="H390" i="5" s="1"/>
  <c r="H391" i="5"/>
  <c r="R391" i="5" s="1"/>
  <c r="CQ174" i="1"/>
  <c r="P174" i="1" s="1"/>
  <c r="CP173" i="1"/>
  <c r="O173" i="1" s="1"/>
  <c r="K381" i="5"/>
  <c r="CT172" i="1"/>
  <c r="U377" i="5"/>
  <c r="S377" i="5"/>
  <c r="GX171" i="1"/>
  <c r="W171" i="1"/>
  <c r="S368" i="5"/>
  <c r="H374" i="5" s="1"/>
  <c r="H370" i="5"/>
  <c r="R370" i="5" s="1"/>
  <c r="U368" i="5"/>
  <c r="CS170" i="1"/>
  <c r="R170" i="1" s="1"/>
  <c r="L367" i="5"/>
  <c r="Q367" i="5" s="1"/>
  <c r="L366" i="5"/>
  <c r="CS169" i="1"/>
  <c r="R169" i="1" s="1"/>
  <c r="GK169" i="1" s="1"/>
  <c r="L361" i="5"/>
  <c r="Q361" i="5" s="1"/>
  <c r="L360" i="5"/>
  <c r="K351" i="5"/>
  <c r="CP167" i="1"/>
  <c r="O167" i="1" s="1"/>
  <c r="W166" i="1"/>
  <c r="AB166" i="1"/>
  <c r="U332" i="5"/>
  <c r="H338" i="5" s="1"/>
  <c r="S332" i="5"/>
  <c r="H337" i="5" s="1"/>
  <c r="H334" i="5"/>
  <c r="CT165" i="1"/>
  <c r="S165" i="1" s="1"/>
  <c r="K325" i="5" s="1"/>
  <c r="AD165" i="1"/>
  <c r="H327" i="5"/>
  <c r="R327" i="5" s="1"/>
  <c r="CT164" i="1"/>
  <c r="S164" i="1" s="1"/>
  <c r="K316" i="5" s="1"/>
  <c r="S315" i="5"/>
  <c r="H319" i="5" s="1"/>
  <c r="H316" i="5"/>
  <c r="U315" i="5"/>
  <c r="H320" i="5" s="1"/>
  <c r="G118" i="1"/>
  <c r="A313" i="5"/>
  <c r="CP129" i="1"/>
  <c r="O129" i="1" s="1"/>
  <c r="BZ131" i="1"/>
  <c r="T127" i="1"/>
  <c r="AG131" i="1" s="1"/>
  <c r="CS126" i="1"/>
  <c r="R126" i="1" s="1"/>
  <c r="L306" i="5"/>
  <c r="Q306" i="5" s="1"/>
  <c r="L303" i="5"/>
  <c r="AD126" i="1"/>
  <c r="CT124" i="1"/>
  <c r="S124" i="1" s="1"/>
  <c r="K287" i="5" s="1"/>
  <c r="U286" i="5"/>
  <c r="H292" i="5" s="1"/>
  <c r="S286" i="5"/>
  <c r="H291" i="5" s="1"/>
  <c r="H287" i="5"/>
  <c r="U123" i="1"/>
  <c r="AD123" i="1"/>
  <c r="CR123" i="1" s="1"/>
  <c r="Q123" i="1" s="1"/>
  <c r="GX122" i="1"/>
  <c r="CJ131" i="1" s="1"/>
  <c r="V122" i="1"/>
  <c r="R122" i="1"/>
  <c r="GK122" i="1" s="1"/>
  <c r="CQ121" i="1"/>
  <c r="P121" i="1" s="1"/>
  <c r="K279" i="5" s="1"/>
  <c r="H279" i="5"/>
  <c r="L274" i="5"/>
  <c r="Q274" i="5" s="1"/>
  <c r="L273" i="5"/>
  <c r="AD120" i="1"/>
  <c r="CP84" i="1"/>
  <c r="GN84" i="1" s="1"/>
  <c r="H261" i="5"/>
  <c r="U254" i="5"/>
  <c r="H258" i="5" s="1"/>
  <c r="H255" i="5"/>
  <c r="S254" i="5"/>
  <c r="H257" i="5" s="1"/>
  <c r="E243" i="5"/>
  <c r="C244" i="5"/>
  <c r="H235" i="5"/>
  <c r="U233" i="5"/>
  <c r="H240" i="5" s="1"/>
  <c r="S233" i="5"/>
  <c r="H239" i="5" s="1"/>
  <c r="GX79" i="1"/>
  <c r="T79" i="1"/>
  <c r="CQ79" i="1"/>
  <c r="P79" i="1" s="1"/>
  <c r="CP79" i="1" s="1"/>
  <c r="O79" i="1" s="1"/>
  <c r="K231" i="5" s="1"/>
  <c r="H231" i="5"/>
  <c r="W231" i="5" s="1"/>
  <c r="H226" i="5"/>
  <c r="CQ77" i="1"/>
  <c r="P77" i="1" s="1"/>
  <c r="K226" i="5" s="1"/>
  <c r="U220" i="5"/>
  <c r="S220" i="5"/>
  <c r="V75" i="1"/>
  <c r="R75" i="1"/>
  <c r="GK75" i="1" s="1"/>
  <c r="V72" i="1"/>
  <c r="R72" i="1"/>
  <c r="GK72" i="1" s="1"/>
  <c r="S68" i="1"/>
  <c r="CY68" i="1" s="1"/>
  <c r="X68" i="1" s="1"/>
  <c r="T180" i="5" s="1"/>
  <c r="GX66" i="1"/>
  <c r="GX65" i="1"/>
  <c r="Q65" i="1"/>
  <c r="T65" i="1"/>
  <c r="AB65" i="1"/>
  <c r="CQ64" i="1"/>
  <c r="P64" i="1" s="1"/>
  <c r="CT63" i="1"/>
  <c r="S63" i="1" s="1"/>
  <c r="GX61" i="1"/>
  <c r="S61" i="1"/>
  <c r="CZ61" i="1" s="1"/>
  <c r="Y61" i="1" s="1"/>
  <c r="V166" i="5" s="1"/>
  <c r="U61" i="1"/>
  <c r="AD61" i="1"/>
  <c r="CR61" i="1" s="1"/>
  <c r="Q61" i="1" s="1"/>
  <c r="U164" i="5"/>
  <c r="S164" i="5"/>
  <c r="CQ58" i="1"/>
  <c r="P58" i="1" s="1"/>
  <c r="H163" i="5"/>
  <c r="W163" i="5" s="1"/>
  <c r="P57" i="1"/>
  <c r="CP57" i="1" s="1"/>
  <c r="O57" i="1" s="1"/>
  <c r="K162" i="5" s="1"/>
  <c r="V56" i="1"/>
  <c r="AD55" i="1"/>
  <c r="CR55" i="1" s="1"/>
  <c r="Q55" i="1" s="1"/>
  <c r="CS55" i="1"/>
  <c r="R55" i="1" s="1"/>
  <c r="GK55" i="1" s="1"/>
  <c r="U159" i="5"/>
  <c r="S159" i="5"/>
  <c r="CS52" i="1"/>
  <c r="R52" i="1" s="1"/>
  <c r="GX51" i="1"/>
  <c r="CQ50" i="1"/>
  <c r="P50" i="1" s="1"/>
  <c r="AB49" i="1"/>
  <c r="CQ47" i="1"/>
  <c r="P47" i="1" s="1"/>
  <c r="K141" i="5" s="1"/>
  <c r="H141" i="5"/>
  <c r="AD46" i="1"/>
  <c r="H131" i="5"/>
  <c r="R131" i="5" s="1"/>
  <c r="CS46" i="1"/>
  <c r="R46" i="1" s="1"/>
  <c r="H120" i="5"/>
  <c r="S119" i="5"/>
  <c r="H124" i="5" s="1"/>
  <c r="U119" i="5"/>
  <c r="H125" i="5" s="1"/>
  <c r="CT45" i="1"/>
  <c r="S45" i="1" s="1"/>
  <c r="T43" i="1"/>
  <c r="E116" i="5"/>
  <c r="CY40" i="1"/>
  <c r="X40" i="1" s="1"/>
  <c r="T106" i="5" s="1"/>
  <c r="C90" i="5"/>
  <c r="E89" i="5"/>
  <c r="I38" i="1"/>
  <c r="E96" i="5" s="1"/>
  <c r="L81" i="5"/>
  <c r="Q81" i="5" s="1"/>
  <c r="L80" i="5"/>
  <c r="AB35" i="1"/>
  <c r="H76" i="5"/>
  <c r="W34" i="1"/>
  <c r="U34" i="1"/>
  <c r="CR34" i="1"/>
  <c r="Q34" i="1" s="1"/>
  <c r="K67" i="5" s="1"/>
  <c r="H67" i="5"/>
  <c r="U33" i="1"/>
  <c r="Q33" i="1"/>
  <c r="CR45" i="1"/>
  <c r="Q45" i="1" s="1"/>
  <c r="K121" i="5" s="1"/>
  <c r="H121" i="5"/>
  <c r="CQ44" i="1"/>
  <c r="P44" i="1" s="1"/>
  <c r="CP44" i="1" s="1"/>
  <c r="O44" i="1" s="1"/>
  <c r="K117" i="5" s="1"/>
  <c r="H117" i="5"/>
  <c r="W117" i="5" s="1"/>
  <c r="P43" i="1"/>
  <c r="H116" i="5"/>
  <c r="W116" i="5" s="1"/>
  <c r="H112" i="5"/>
  <c r="S107" i="5"/>
  <c r="U107" i="5"/>
  <c r="S106" i="5"/>
  <c r="U106" i="5"/>
  <c r="U98" i="5"/>
  <c r="H104" i="5" s="1"/>
  <c r="H99" i="5"/>
  <c r="R99" i="5" s="1"/>
  <c r="S98" i="5"/>
  <c r="CQ38" i="1"/>
  <c r="H96" i="5"/>
  <c r="W96" i="5" s="1"/>
  <c r="H92" i="5"/>
  <c r="C83" i="5"/>
  <c r="E82" i="5"/>
  <c r="CT35" i="1"/>
  <c r="S35" i="1" s="1"/>
  <c r="S73" i="5"/>
  <c r="H78" i="5" s="1"/>
  <c r="H75" i="5"/>
  <c r="U73" i="5"/>
  <c r="H79" i="5" s="1"/>
  <c r="S64" i="5"/>
  <c r="H69" i="5" s="1"/>
  <c r="H66" i="5"/>
  <c r="U64" i="5"/>
  <c r="H70" i="5" s="1"/>
  <c r="W33" i="1"/>
  <c r="U57" i="5"/>
  <c r="H61" i="5" s="1"/>
  <c r="S57" i="5"/>
  <c r="H60" i="5" s="1"/>
  <c r="H59" i="5"/>
  <c r="AB31" i="1"/>
  <c r="H51" i="5"/>
  <c r="GK30" i="1"/>
  <c r="K42" i="5"/>
  <c r="CR30" i="1"/>
  <c r="H41" i="5"/>
  <c r="CR28" i="1"/>
  <c r="Q28" i="1" s="1"/>
  <c r="K26" i="5" s="1"/>
  <c r="H26" i="5"/>
  <c r="U116" i="5"/>
  <c r="S116" i="5"/>
  <c r="S109" i="5"/>
  <c r="U109" i="5"/>
  <c r="H110" i="5"/>
  <c r="GX40" i="1"/>
  <c r="E106" i="5"/>
  <c r="CS39" i="1"/>
  <c r="R39" i="1" s="1"/>
  <c r="H101" i="5"/>
  <c r="R101" i="5" s="1"/>
  <c r="R38" i="1"/>
  <c r="GK38" i="1" s="1"/>
  <c r="W37" i="1"/>
  <c r="S89" i="5"/>
  <c r="H91" i="5"/>
  <c r="U89" i="5"/>
  <c r="L88" i="5"/>
  <c r="Q88" i="5" s="1"/>
  <c r="L87" i="5"/>
  <c r="S82" i="5"/>
  <c r="H85" i="5" s="1"/>
  <c r="U82" i="5"/>
  <c r="H86" i="5" s="1"/>
  <c r="H84" i="5"/>
  <c r="V34" i="1"/>
  <c r="CS34" i="1"/>
  <c r="R34" i="1" s="1"/>
  <c r="H68" i="5"/>
  <c r="R68" i="5" s="1"/>
  <c r="T33" i="1"/>
  <c r="S32" i="1"/>
  <c r="CQ32" i="1"/>
  <c r="P32" i="1" s="1"/>
  <c r="CP32" i="1" s="1"/>
  <c r="O32" i="1" s="1"/>
  <c r="K55" i="5" s="1"/>
  <c r="H55" i="5"/>
  <c r="W55" i="5" s="1"/>
  <c r="S47" i="5"/>
  <c r="U47" i="5"/>
  <c r="H48" i="5"/>
  <c r="H247" i="5"/>
  <c r="R247" i="5" s="1"/>
  <c r="V80" i="1"/>
  <c r="CS80" i="1"/>
  <c r="R80" i="1" s="1"/>
  <c r="H237" i="5"/>
  <c r="R237" i="5" s="1"/>
  <c r="U230" i="5"/>
  <c r="S230" i="5"/>
  <c r="T76" i="1"/>
  <c r="H220" i="5"/>
  <c r="W220" i="5" s="1"/>
  <c r="W75" i="1"/>
  <c r="U219" i="5"/>
  <c r="S219" i="5"/>
  <c r="K204" i="5"/>
  <c r="U191" i="5"/>
  <c r="H197" i="5" s="1"/>
  <c r="S191" i="5"/>
  <c r="H196" i="5" s="1"/>
  <c r="H192" i="5"/>
  <c r="AB68" i="1"/>
  <c r="U180" i="5"/>
  <c r="S180" i="5"/>
  <c r="P66" i="1"/>
  <c r="H178" i="5"/>
  <c r="W178" i="5" s="1"/>
  <c r="W64" i="1"/>
  <c r="CT64" i="1"/>
  <c r="S64" i="1" s="1"/>
  <c r="U169" i="5"/>
  <c r="S169" i="5"/>
  <c r="U166" i="5"/>
  <c r="S166" i="5"/>
  <c r="W60" i="1"/>
  <c r="CT60" i="1"/>
  <c r="S60" i="1" s="1"/>
  <c r="U165" i="5"/>
  <c r="S165" i="5"/>
  <c r="U162" i="5"/>
  <c r="S162" i="5"/>
  <c r="W56" i="1"/>
  <c r="CT56" i="1"/>
  <c r="S56" i="1" s="1"/>
  <c r="U161" i="5"/>
  <c r="S161" i="5"/>
  <c r="U158" i="5"/>
  <c r="S158" i="5"/>
  <c r="U150" i="5"/>
  <c r="S150" i="5"/>
  <c r="H151" i="5"/>
  <c r="R151" i="5" s="1"/>
  <c r="CQ51" i="1"/>
  <c r="P51" i="1" s="1"/>
  <c r="H148" i="5"/>
  <c r="W148" i="5" s="1"/>
  <c r="U146" i="5"/>
  <c r="S146" i="5"/>
  <c r="CP48" i="1"/>
  <c r="O48" i="1" s="1"/>
  <c r="K145" i="5" s="1"/>
  <c r="AB48" i="1"/>
  <c r="H145" i="5"/>
  <c r="W145" i="5" s="1"/>
  <c r="GX48" i="1"/>
  <c r="E145" i="5"/>
  <c r="CS47" i="1"/>
  <c r="R47" i="1" s="1"/>
  <c r="CY47" i="1" s="1"/>
  <c r="X47" i="1" s="1"/>
  <c r="T137" i="5" s="1"/>
  <c r="H140" i="5"/>
  <c r="R140" i="5" s="1"/>
  <c r="CQ46" i="1"/>
  <c r="P46" i="1" s="1"/>
  <c r="K132" i="5" s="1"/>
  <c r="H132" i="5"/>
  <c r="CS45" i="1"/>
  <c r="R45" i="1" s="1"/>
  <c r="H122" i="5"/>
  <c r="R122" i="5" s="1"/>
  <c r="T41" i="1"/>
  <c r="P40" i="1"/>
  <c r="CP40" i="1" s="1"/>
  <c r="O40" i="1" s="1"/>
  <c r="K106" i="5" s="1"/>
  <c r="AB40" i="1"/>
  <c r="H106" i="5"/>
  <c r="W106" i="5" s="1"/>
  <c r="CT39" i="1"/>
  <c r="S39" i="1" s="1"/>
  <c r="K99" i="5" s="1"/>
  <c r="V38" i="1"/>
  <c r="AB38" i="1"/>
  <c r="CT37" i="1"/>
  <c r="S37" i="1" s="1"/>
  <c r="K91" i="5" s="1"/>
  <c r="U37" i="1"/>
  <c r="P36" i="1"/>
  <c r="CP35" i="1"/>
  <c r="O35" i="1" s="1"/>
  <c r="C74" i="5"/>
  <c r="E73" i="5"/>
  <c r="CT34" i="1"/>
  <c r="S34" i="1" s="1"/>
  <c r="K66" i="5" s="1"/>
  <c r="AB34" i="1"/>
  <c r="AB33" i="1"/>
  <c r="S55" i="5"/>
  <c r="U55" i="5"/>
  <c r="CT31" i="1"/>
  <c r="S31" i="1" s="1"/>
  <c r="K48" i="5" s="1"/>
  <c r="L56" i="5"/>
  <c r="Q56" i="5" s="1"/>
  <c r="L54" i="5"/>
  <c r="T30" i="1"/>
  <c r="E38" i="5"/>
  <c r="C39" i="5"/>
  <c r="CS28" i="1"/>
  <c r="R28" i="1" s="1"/>
  <c r="H27" i="5"/>
  <c r="R27" i="5" s="1"/>
  <c r="CX2" i="3"/>
  <c r="C24" i="5"/>
  <c r="E23" i="5"/>
  <c r="CC87" i="1"/>
  <c r="CC26" i="1" s="1"/>
  <c r="L260" i="5"/>
  <c r="Q260" i="5" s="1"/>
  <c r="L259" i="5"/>
  <c r="CD237" i="1"/>
  <c r="CY246" i="1"/>
  <c r="X246" i="1" s="1"/>
  <c r="T540" i="5" s="1"/>
  <c r="CP248" i="1"/>
  <c r="O248" i="1" s="1"/>
  <c r="BC250" i="1"/>
  <c r="AB248" i="1"/>
  <c r="P247" i="1"/>
  <c r="AB247" i="1"/>
  <c r="CQ246" i="1"/>
  <c r="P246" i="1" s="1"/>
  <c r="BY250" i="1"/>
  <c r="U243" i="1"/>
  <c r="AH250" i="1" s="1"/>
  <c r="CY193" i="1"/>
  <c r="X193" i="1" s="1"/>
  <c r="T469" i="5" s="1"/>
  <c r="CZ193" i="1"/>
  <c r="Y193" i="1" s="1"/>
  <c r="V469" i="5" s="1"/>
  <c r="CY192" i="1"/>
  <c r="X192" i="1" s="1"/>
  <c r="T468" i="5" s="1"/>
  <c r="CZ185" i="1"/>
  <c r="Y185" i="1" s="1"/>
  <c r="V438" i="5" s="1"/>
  <c r="CY185" i="1"/>
  <c r="X185" i="1" s="1"/>
  <c r="T438" i="5" s="1"/>
  <c r="U247" i="1"/>
  <c r="W247" i="1"/>
  <c r="T243" i="1"/>
  <c r="AG250" i="1" s="1"/>
  <c r="V243" i="1"/>
  <c r="Q243" i="1"/>
  <c r="GK239" i="1"/>
  <c r="CY198" i="1"/>
  <c r="X198" i="1" s="1"/>
  <c r="T483" i="5" s="1"/>
  <c r="K485" i="5" s="1"/>
  <c r="CY189" i="1"/>
  <c r="X189" i="1" s="1"/>
  <c r="T458" i="5" s="1"/>
  <c r="GK187" i="1"/>
  <c r="CY184" i="1"/>
  <c r="X184" i="1" s="1"/>
  <c r="T436" i="5" s="1"/>
  <c r="CZ184" i="1"/>
  <c r="Y184" i="1" s="1"/>
  <c r="V436" i="5" s="1"/>
  <c r="CY182" i="1"/>
  <c r="X182" i="1" s="1"/>
  <c r="T425" i="5" s="1"/>
  <c r="CZ182" i="1"/>
  <c r="Y182" i="1" s="1"/>
  <c r="V425" i="5" s="1"/>
  <c r="BZ237" i="1"/>
  <c r="CG250" i="1"/>
  <c r="AQ250" i="1"/>
  <c r="CZ248" i="1"/>
  <c r="Y248" i="1" s="1"/>
  <c r="V551" i="5" s="1"/>
  <c r="K555" i="5" s="1"/>
  <c r="T247" i="1"/>
  <c r="Q247" i="1"/>
  <c r="CZ245" i="1"/>
  <c r="Y245" i="1" s="1"/>
  <c r="V538" i="5" s="1"/>
  <c r="CY196" i="1"/>
  <c r="X196" i="1" s="1"/>
  <c r="T473" i="5" s="1"/>
  <c r="CZ196" i="1"/>
  <c r="Y196" i="1" s="1"/>
  <c r="CY186" i="1"/>
  <c r="X186" i="1" s="1"/>
  <c r="T447" i="5" s="1"/>
  <c r="CZ186" i="1"/>
  <c r="Y186" i="1" s="1"/>
  <c r="V447" i="5" s="1"/>
  <c r="CP186" i="1"/>
  <c r="O186" i="1" s="1"/>
  <c r="K447" i="5" s="1"/>
  <c r="CY244" i="1"/>
  <c r="X244" i="1" s="1"/>
  <c r="T532" i="5" s="1"/>
  <c r="CZ244" i="1"/>
  <c r="Y244" i="1" s="1"/>
  <c r="V532" i="5" s="1"/>
  <c r="CZ239" i="1"/>
  <c r="Y239" i="1" s="1"/>
  <c r="V509" i="5" s="1"/>
  <c r="K512" i="5" s="1"/>
  <c r="AP203" i="1"/>
  <c r="CR197" i="1"/>
  <c r="Q197" i="1" s="1"/>
  <c r="AB197" i="1"/>
  <c r="AI250" i="1"/>
  <c r="CB250" i="1"/>
  <c r="CZ188" i="1"/>
  <c r="Y188" i="1" s="1"/>
  <c r="V450" i="5" s="1"/>
  <c r="AB239" i="1"/>
  <c r="CQ244" i="1"/>
  <c r="P244" i="1" s="1"/>
  <c r="CS243" i="1"/>
  <c r="R243" i="1" s="1"/>
  <c r="GK243" i="1" s="1"/>
  <c r="CT242" i="1"/>
  <c r="S242" i="1" s="1"/>
  <c r="CS241" i="1"/>
  <c r="R241" i="1" s="1"/>
  <c r="GK241" i="1" s="1"/>
  <c r="AB241" i="1"/>
  <c r="CT240" i="1"/>
  <c r="S240" i="1" s="1"/>
  <c r="K516" i="5" s="1"/>
  <c r="AB200" i="1"/>
  <c r="CQ198" i="1"/>
  <c r="P198" i="1" s="1"/>
  <c r="CP198" i="1" s="1"/>
  <c r="O198" i="1" s="1"/>
  <c r="W197" i="1"/>
  <c r="S197" i="1"/>
  <c r="AD195" i="1"/>
  <c r="CR195" i="1" s="1"/>
  <c r="Q195" i="1" s="1"/>
  <c r="AD191" i="1"/>
  <c r="CR191" i="1" s="1"/>
  <c r="Q191" i="1" s="1"/>
  <c r="CP191" i="1" s="1"/>
  <c r="O191" i="1" s="1"/>
  <c r="K467" i="5" s="1"/>
  <c r="CQ189" i="1"/>
  <c r="P189" i="1" s="1"/>
  <c r="U189" i="1"/>
  <c r="Q189" i="1"/>
  <c r="AB188" i="1"/>
  <c r="CQ185" i="1"/>
  <c r="P185" i="1" s="1"/>
  <c r="CZ183" i="1"/>
  <c r="Y183" i="1" s="1"/>
  <c r="AB182" i="1"/>
  <c r="CQ182" i="1"/>
  <c r="P182" i="1" s="1"/>
  <c r="CP182" i="1" s="1"/>
  <c r="O182" i="1" s="1"/>
  <c r="K425" i="5" s="1"/>
  <c r="BZ203" i="1"/>
  <c r="CR178" i="1"/>
  <c r="Q178" i="1" s="1"/>
  <c r="AB178" i="1"/>
  <c r="U176" i="1"/>
  <c r="CR176" i="1"/>
  <c r="Q176" i="1" s="1"/>
  <c r="AB176" i="1"/>
  <c r="CR175" i="1"/>
  <c r="Q175" i="1" s="1"/>
  <c r="K390" i="5" s="1"/>
  <c r="T172" i="1"/>
  <c r="GK170" i="1"/>
  <c r="CY170" i="1"/>
  <c r="X170" i="1" s="1"/>
  <c r="T362" i="5" s="1"/>
  <c r="K364" i="5" s="1"/>
  <c r="CY165" i="1"/>
  <c r="X165" i="1" s="1"/>
  <c r="T323" i="5" s="1"/>
  <c r="K328" i="5" s="1"/>
  <c r="CZ165" i="1"/>
  <c r="Y165" i="1" s="1"/>
  <c r="V323" i="5" s="1"/>
  <c r="K329" i="5" s="1"/>
  <c r="BZ118" i="1"/>
  <c r="CI131" i="1"/>
  <c r="AQ131" i="1"/>
  <c r="CG131" i="1"/>
  <c r="CX362" i="3"/>
  <c r="CX363" i="3"/>
  <c r="CX360" i="3"/>
  <c r="CX364" i="3"/>
  <c r="CX361" i="3"/>
  <c r="CX365" i="3"/>
  <c r="CK162" i="1"/>
  <c r="BB203" i="1"/>
  <c r="AB201" i="1"/>
  <c r="CP201" i="1"/>
  <c r="O201" i="1" s="1"/>
  <c r="CZ200" i="1"/>
  <c r="Y200" i="1" s="1"/>
  <c r="AB195" i="1"/>
  <c r="CY179" i="1"/>
  <c r="X179" i="1" s="1"/>
  <c r="T406" i="5" s="1"/>
  <c r="CZ179" i="1"/>
  <c r="Y179" i="1" s="1"/>
  <c r="V406" i="5" s="1"/>
  <c r="CR164" i="1"/>
  <c r="Q164" i="1" s="1"/>
  <c r="K317" i="5" s="1"/>
  <c r="V131" i="1"/>
  <c r="CY123" i="1"/>
  <c r="X123" i="1" s="1"/>
  <c r="T284" i="5" s="1"/>
  <c r="CZ123" i="1"/>
  <c r="Y123" i="1" s="1"/>
  <c r="V284" i="5" s="1"/>
  <c r="CX370" i="3"/>
  <c r="CX374" i="3"/>
  <c r="CX378" i="3"/>
  <c r="CX371" i="3"/>
  <c r="CX375" i="3"/>
  <c r="CX379" i="3"/>
  <c r="CX372" i="3"/>
  <c r="CX376" i="3"/>
  <c r="CX380" i="3"/>
  <c r="CX373" i="3"/>
  <c r="CX377" i="3"/>
  <c r="AO203" i="1"/>
  <c r="AB187" i="1"/>
  <c r="AB186" i="1"/>
  <c r="CY181" i="1"/>
  <c r="X181" i="1" s="1"/>
  <c r="T417" i="5" s="1"/>
  <c r="K422" i="5" s="1"/>
  <c r="AB181" i="1"/>
  <c r="CR180" i="1"/>
  <c r="Q180" i="1" s="1"/>
  <c r="AB180" i="1"/>
  <c r="CR174" i="1"/>
  <c r="Q174" i="1" s="1"/>
  <c r="AB174" i="1"/>
  <c r="CY171" i="1"/>
  <c r="X171" i="1" s="1"/>
  <c r="T368" i="5" s="1"/>
  <c r="CY168" i="1"/>
  <c r="X168" i="1" s="1"/>
  <c r="CY166" i="1"/>
  <c r="X166" i="1" s="1"/>
  <c r="T332" i="5" s="1"/>
  <c r="K337" i="5" s="1"/>
  <c r="GK164" i="1"/>
  <c r="CY127" i="1"/>
  <c r="X127" i="1" s="1"/>
  <c r="T304" i="5" s="1"/>
  <c r="CZ127" i="1"/>
  <c r="Y127" i="1" s="1"/>
  <c r="V304" i="5" s="1"/>
  <c r="CZ198" i="1"/>
  <c r="Y198" i="1" s="1"/>
  <c r="V483" i="5" s="1"/>
  <c r="K486" i="5" s="1"/>
  <c r="CZ194" i="1"/>
  <c r="Y194" i="1" s="1"/>
  <c r="V470" i="5" s="1"/>
  <c r="AB192" i="1"/>
  <c r="CP190" i="1"/>
  <c r="O190" i="1" s="1"/>
  <c r="CZ189" i="1"/>
  <c r="Y189" i="1" s="1"/>
  <c r="V458" i="5" s="1"/>
  <c r="AB184" i="1"/>
  <c r="CQ184" i="1"/>
  <c r="P184" i="1" s="1"/>
  <c r="CZ178" i="1"/>
  <c r="Y178" i="1" s="1"/>
  <c r="V404" i="5" s="1"/>
  <c r="CY177" i="1"/>
  <c r="X177" i="1" s="1"/>
  <c r="T398" i="5" s="1"/>
  <c r="CZ175" i="1"/>
  <c r="Y175" i="1" s="1"/>
  <c r="V387" i="5" s="1"/>
  <c r="CY175" i="1"/>
  <c r="X175" i="1" s="1"/>
  <c r="T387" i="5" s="1"/>
  <c r="Q172" i="1"/>
  <c r="V172" i="1"/>
  <c r="R172" i="1"/>
  <c r="CR170" i="1"/>
  <c r="Q170" i="1" s="1"/>
  <c r="AB170" i="1"/>
  <c r="CX286" i="3"/>
  <c r="CX290" i="3"/>
  <c r="CX294" i="3"/>
  <c r="CX287" i="3"/>
  <c r="CX291" i="3"/>
  <c r="CX295" i="3"/>
  <c r="CX288" i="3"/>
  <c r="CX292" i="3"/>
  <c r="CX285" i="3"/>
  <c r="CX289" i="3"/>
  <c r="CX293" i="3"/>
  <c r="CX278" i="3"/>
  <c r="CX282" i="3"/>
  <c r="CX279" i="3"/>
  <c r="CX283" i="3"/>
  <c r="CX276" i="3"/>
  <c r="CX280" i="3"/>
  <c r="CX284" i="3"/>
  <c r="CX277" i="3"/>
  <c r="CX281" i="3"/>
  <c r="CR171" i="1"/>
  <c r="Q171" i="1" s="1"/>
  <c r="K371" i="5" s="1"/>
  <c r="P171" i="1"/>
  <c r="K373" i="5" s="1"/>
  <c r="U166" i="1"/>
  <c r="Q166" i="1"/>
  <c r="K335" i="5" s="1"/>
  <c r="BC131" i="1"/>
  <c r="W128" i="1"/>
  <c r="AJ131" i="1" s="1"/>
  <c r="S128" i="1"/>
  <c r="AH131" i="1"/>
  <c r="AP26" i="1"/>
  <c r="F96" i="1"/>
  <c r="CP78" i="1"/>
  <c r="O78" i="1" s="1"/>
  <c r="K230" i="5" s="1"/>
  <c r="CY76" i="1"/>
  <c r="X76" i="1" s="1"/>
  <c r="T220" i="5" s="1"/>
  <c r="CZ76" i="1"/>
  <c r="Y76" i="1" s="1"/>
  <c r="V220" i="5" s="1"/>
  <c r="CQ179" i="1"/>
  <c r="P179" i="1" s="1"/>
  <c r="CQ177" i="1"/>
  <c r="P177" i="1" s="1"/>
  <c r="CS176" i="1"/>
  <c r="R176" i="1" s="1"/>
  <c r="GK176" i="1" s="1"/>
  <c r="CS174" i="1"/>
  <c r="R174" i="1" s="1"/>
  <c r="GK174" i="1" s="1"/>
  <c r="AB173" i="1"/>
  <c r="T171" i="1"/>
  <c r="CZ169" i="1"/>
  <c r="Y169" i="1" s="1"/>
  <c r="P165" i="1"/>
  <c r="BB131" i="1"/>
  <c r="AB129" i="1"/>
  <c r="CY120" i="1"/>
  <c r="X120" i="1" s="1"/>
  <c r="T267" i="5" s="1"/>
  <c r="K271" i="5" s="1"/>
  <c r="GM84" i="1"/>
  <c r="K261" i="5" s="1"/>
  <c r="J262" i="5" s="1"/>
  <c r="P262" i="5" s="1"/>
  <c r="CX246" i="3"/>
  <c r="CX250" i="3"/>
  <c r="CX247" i="3"/>
  <c r="CX251" i="3"/>
  <c r="CX248" i="3"/>
  <c r="CX245" i="3"/>
  <c r="CX249" i="3"/>
  <c r="CZ173" i="1"/>
  <c r="Y173" i="1" s="1"/>
  <c r="V379" i="5" s="1"/>
  <c r="CX230" i="3"/>
  <c r="CX234" i="3"/>
  <c r="CX238" i="3"/>
  <c r="CX231" i="3"/>
  <c r="CX235" i="3"/>
  <c r="CX228" i="3"/>
  <c r="CX232" i="3"/>
  <c r="CX236" i="3"/>
  <c r="CX229" i="3"/>
  <c r="CX233" i="3"/>
  <c r="CX237" i="3"/>
  <c r="CZ168" i="1"/>
  <c r="Y168" i="1" s="1"/>
  <c r="V348" i="5" s="1"/>
  <c r="K353" i="5" s="1"/>
  <c r="AU131" i="1"/>
  <c r="CZ129" i="1"/>
  <c r="Y129" i="1" s="1"/>
  <c r="CQ123" i="1"/>
  <c r="P123" i="1" s="1"/>
  <c r="AB123" i="1"/>
  <c r="CY83" i="1"/>
  <c r="X83" i="1" s="1"/>
  <c r="T254" i="5" s="1"/>
  <c r="K257" i="5" s="1"/>
  <c r="CZ83" i="1"/>
  <c r="Y83" i="1" s="1"/>
  <c r="V254" i="5" s="1"/>
  <c r="K258" i="5" s="1"/>
  <c r="CZ79" i="1"/>
  <c r="Y79" i="1" s="1"/>
  <c r="V231" i="5" s="1"/>
  <c r="CY79" i="1"/>
  <c r="X79" i="1" s="1"/>
  <c r="T231" i="5" s="1"/>
  <c r="CX258" i="3"/>
  <c r="CX262" i="3"/>
  <c r="CX259" i="3"/>
  <c r="CX263" i="3"/>
  <c r="CX256" i="3"/>
  <c r="CX260" i="3"/>
  <c r="CX264" i="3"/>
  <c r="CX257" i="3"/>
  <c r="CX261" i="3"/>
  <c r="W172" i="1"/>
  <c r="S172" i="1"/>
  <c r="AB172" i="1"/>
  <c r="AB167" i="1"/>
  <c r="CX190" i="3"/>
  <c r="CX194" i="3"/>
  <c r="CX191" i="3"/>
  <c r="CX195" i="3"/>
  <c r="CX192" i="3"/>
  <c r="CX196" i="3"/>
  <c r="CX193" i="3"/>
  <c r="CX186" i="3"/>
  <c r="CX187" i="3"/>
  <c r="CX184" i="3"/>
  <c r="CX188" i="3"/>
  <c r="CX185" i="3"/>
  <c r="CX189" i="3"/>
  <c r="AT131" i="1"/>
  <c r="CZ126" i="1"/>
  <c r="Y126" i="1" s="1"/>
  <c r="CS124" i="1"/>
  <c r="R124" i="1" s="1"/>
  <c r="K289" i="5" s="1"/>
  <c r="AD124" i="1"/>
  <c r="H288" i="5" s="1"/>
  <c r="CG26" i="1"/>
  <c r="AX87" i="1"/>
  <c r="AD121" i="1"/>
  <c r="H277" i="5" s="1"/>
  <c r="AB120" i="1"/>
  <c r="AD82" i="1"/>
  <c r="CR82" i="1" s="1"/>
  <c r="CX138" i="3"/>
  <c r="CX142" i="3"/>
  <c r="CX146" i="3"/>
  <c r="CX150" i="3"/>
  <c r="CX139" i="3"/>
  <c r="CX143" i="3"/>
  <c r="CX147" i="3"/>
  <c r="CX140" i="3"/>
  <c r="CX144" i="3"/>
  <c r="CX148" i="3"/>
  <c r="CX141" i="3"/>
  <c r="CX145" i="3"/>
  <c r="CX149" i="3"/>
  <c r="I82" i="1"/>
  <c r="E252" i="5" s="1"/>
  <c r="CY75" i="1"/>
  <c r="X75" i="1" s="1"/>
  <c r="T219" i="5" s="1"/>
  <c r="AB75" i="1"/>
  <c r="AB69" i="1"/>
  <c r="CR69" i="1"/>
  <c r="Q69" i="1" s="1"/>
  <c r="K184" i="5" s="1"/>
  <c r="CY63" i="1"/>
  <c r="X63" i="1" s="1"/>
  <c r="T168" i="5" s="1"/>
  <c r="CZ63" i="1"/>
  <c r="Y63" i="1" s="1"/>
  <c r="V168" i="5" s="1"/>
  <c r="CP61" i="1"/>
  <c r="O61" i="1" s="1"/>
  <c r="K166" i="5" s="1"/>
  <c r="CZ59" i="1"/>
  <c r="Y59" i="1" s="1"/>
  <c r="V164" i="5" s="1"/>
  <c r="CZ55" i="1"/>
  <c r="Y55" i="1" s="1"/>
  <c r="V160" i="5" s="1"/>
  <c r="AB122" i="1"/>
  <c r="CL26" i="1"/>
  <c r="BC87" i="1"/>
  <c r="BB87" i="1"/>
  <c r="CQ80" i="1"/>
  <c r="P80" i="1" s="1"/>
  <c r="AD74" i="1"/>
  <c r="H213" i="5" s="1"/>
  <c r="CS74" i="1"/>
  <c r="R74" i="1" s="1"/>
  <c r="CZ72" i="1"/>
  <c r="Y72" i="1" s="1"/>
  <c r="V208" i="5" s="1"/>
  <c r="GK69" i="1"/>
  <c r="CZ69" i="1"/>
  <c r="Y69" i="1" s="1"/>
  <c r="V182" i="5" s="1"/>
  <c r="K188" i="5" s="1"/>
  <c r="CY65" i="1"/>
  <c r="X65" i="1" s="1"/>
  <c r="CY64" i="1"/>
  <c r="X64" i="1" s="1"/>
  <c r="T169" i="5" s="1"/>
  <c r="CY60" i="1"/>
  <c r="X60" i="1" s="1"/>
  <c r="T165" i="5" s="1"/>
  <c r="BZ26" i="1"/>
  <c r="AQ87" i="1"/>
  <c r="CY77" i="1"/>
  <c r="X77" i="1" s="1"/>
  <c r="T222" i="5" s="1"/>
  <c r="AB76" i="1"/>
  <c r="CQ76" i="1"/>
  <c r="P76" i="1" s="1"/>
  <c r="CP76" i="1" s="1"/>
  <c r="O76" i="1" s="1"/>
  <c r="K220" i="5" s="1"/>
  <c r="AB64" i="1"/>
  <c r="CR64" i="1"/>
  <c r="Q64" i="1" s="1"/>
  <c r="CP64" i="1" s="1"/>
  <c r="O64" i="1" s="1"/>
  <c r="K169" i="5" s="1"/>
  <c r="CY62" i="1"/>
  <c r="X62" i="1" s="1"/>
  <c r="T167" i="5" s="1"/>
  <c r="AB60" i="1"/>
  <c r="CR60" i="1"/>
  <c r="Q60" i="1" s="1"/>
  <c r="CY58" i="1"/>
  <c r="X58" i="1" s="1"/>
  <c r="T163" i="5" s="1"/>
  <c r="AB56" i="1"/>
  <c r="CR56" i="1"/>
  <c r="Q56" i="1" s="1"/>
  <c r="CP56" i="1" s="1"/>
  <c r="O56" i="1" s="1"/>
  <c r="K161" i="5" s="1"/>
  <c r="CZ54" i="1"/>
  <c r="Y54" i="1" s="1"/>
  <c r="V159" i="5" s="1"/>
  <c r="CY54" i="1"/>
  <c r="X54" i="1" s="1"/>
  <c r="T159" i="5" s="1"/>
  <c r="CD26" i="1"/>
  <c r="AU87" i="1"/>
  <c r="BY26" i="1"/>
  <c r="CI87" i="1"/>
  <c r="R82" i="1"/>
  <c r="GK82" i="1" s="1"/>
  <c r="AB81" i="1"/>
  <c r="CP81" i="1"/>
  <c r="O81" i="1" s="1"/>
  <c r="CP75" i="1"/>
  <c r="O75" i="1" s="1"/>
  <c r="K219" i="5" s="1"/>
  <c r="CZ70" i="1"/>
  <c r="Y70" i="1" s="1"/>
  <c r="V191" i="5" s="1"/>
  <c r="K197" i="5" s="1"/>
  <c r="CY70" i="1"/>
  <c r="X70" i="1" s="1"/>
  <c r="T191" i="5" s="1"/>
  <c r="K196" i="5" s="1"/>
  <c r="GK64" i="1"/>
  <c r="CZ64" i="1"/>
  <c r="Y64" i="1" s="1"/>
  <c r="V169" i="5" s="1"/>
  <c r="GK60" i="1"/>
  <c r="CZ60" i="1"/>
  <c r="Y60" i="1" s="1"/>
  <c r="V165" i="5" s="1"/>
  <c r="CP58" i="1"/>
  <c r="O58" i="1" s="1"/>
  <c r="K163" i="5" s="1"/>
  <c r="CX134" i="3"/>
  <c r="CX135" i="3"/>
  <c r="CX136" i="3"/>
  <c r="CX133" i="3"/>
  <c r="CX137" i="3"/>
  <c r="AD72" i="1"/>
  <c r="CR72" i="1" s="1"/>
  <c r="Q72" i="1" s="1"/>
  <c r="CP72" i="1" s="1"/>
  <c r="O72" i="1" s="1"/>
  <c r="K208" i="5" s="1"/>
  <c r="W66" i="1"/>
  <c r="S66" i="1"/>
  <c r="T63" i="1"/>
  <c r="AB63" i="1"/>
  <c r="U62" i="1"/>
  <c r="Q62" i="1"/>
  <c r="CP62" i="1" s="1"/>
  <c r="O62" i="1" s="1"/>
  <c r="K167" i="5" s="1"/>
  <c r="CY61" i="1"/>
  <c r="X61" i="1" s="1"/>
  <c r="T166" i="5" s="1"/>
  <c r="T59" i="1"/>
  <c r="AB59" i="1"/>
  <c r="U58" i="1"/>
  <c r="Q58" i="1"/>
  <c r="T55" i="1"/>
  <c r="AB55" i="1"/>
  <c r="CQ54" i="1"/>
  <c r="P54" i="1" s="1"/>
  <c r="U54" i="1"/>
  <c r="Q54" i="1"/>
  <c r="CY53" i="1"/>
  <c r="X53" i="1" s="1"/>
  <c r="T158" i="5" s="1"/>
  <c r="CQ52" i="1"/>
  <c r="P52" i="1" s="1"/>
  <c r="CY36" i="1"/>
  <c r="X36" i="1" s="1"/>
  <c r="T82" i="5" s="1"/>
  <c r="K85" i="5" s="1"/>
  <c r="J88" i="5" s="1"/>
  <c r="P88" i="5" s="1"/>
  <c r="CZ36" i="1"/>
  <c r="Y36" i="1" s="1"/>
  <c r="V82" i="5" s="1"/>
  <c r="K86" i="5" s="1"/>
  <c r="CY33" i="1"/>
  <c r="X33" i="1" s="1"/>
  <c r="T57" i="5" s="1"/>
  <c r="K60" i="5" s="1"/>
  <c r="CZ73" i="1"/>
  <c r="Y73" i="1" s="1"/>
  <c r="CY71" i="1"/>
  <c r="X71" i="1" s="1"/>
  <c r="CQ70" i="1"/>
  <c r="P70" i="1" s="1"/>
  <c r="GX68" i="1"/>
  <c r="CQ67" i="1"/>
  <c r="CY46" i="1"/>
  <c r="X46" i="1" s="1"/>
  <c r="T128" i="5" s="1"/>
  <c r="K133" i="5" s="1"/>
  <c r="CY44" i="1"/>
  <c r="X44" i="1" s="1"/>
  <c r="T117" i="5" s="1"/>
  <c r="CY39" i="1"/>
  <c r="X39" i="1" s="1"/>
  <c r="T98" i="5" s="1"/>
  <c r="K103" i="5" s="1"/>
  <c r="CZ37" i="1"/>
  <c r="Y37" i="1" s="1"/>
  <c r="V89" i="5" s="1"/>
  <c r="CY37" i="1"/>
  <c r="X37" i="1" s="1"/>
  <c r="T89" i="5" s="1"/>
  <c r="CP36" i="1"/>
  <c r="O36" i="1" s="1"/>
  <c r="CZ34" i="1"/>
  <c r="Y34" i="1" s="1"/>
  <c r="V64" i="5" s="1"/>
  <c r="K70" i="5" s="1"/>
  <c r="AD53" i="1"/>
  <c r="CR53" i="1" s="1"/>
  <c r="Q53" i="1" s="1"/>
  <c r="CP53" i="1" s="1"/>
  <c r="O53" i="1" s="1"/>
  <c r="K158" i="5" s="1"/>
  <c r="CY49" i="1"/>
  <c r="X49" i="1" s="1"/>
  <c r="T146" i="5" s="1"/>
  <c r="CZ49" i="1"/>
  <c r="Y49" i="1" s="1"/>
  <c r="V146" i="5" s="1"/>
  <c r="CY42" i="1"/>
  <c r="X42" i="1" s="1"/>
  <c r="T109" i="5" s="1"/>
  <c r="CZ42" i="1"/>
  <c r="Y42" i="1" s="1"/>
  <c r="V109" i="5" s="1"/>
  <c r="U68" i="1"/>
  <c r="Q68" i="1"/>
  <c r="CX94" i="3"/>
  <c r="CX95" i="3"/>
  <c r="CX96" i="3"/>
  <c r="CX93" i="3"/>
  <c r="CX97" i="3"/>
  <c r="I67" i="1"/>
  <c r="E179" i="5" s="1"/>
  <c r="AB61" i="1"/>
  <c r="P59" i="1"/>
  <c r="CP59" i="1" s="1"/>
  <c r="O59" i="1" s="1"/>
  <c r="K164" i="5" s="1"/>
  <c r="AB57" i="1"/>
  <c r="P55" i="1"/>
  <c r="CP55" i="1" s="1"/>
  <c r="O55" i="1" s="1"/>
  <c r="K160" i="5" s="1"/>
  <c r="AB53" i="1"/>
  <c r="CZ47" i="1"/>
  <c r="Y47" i="1" s="1"/>
  <c r="V137" i="5" s="1"/>
  <c r="CY43" i="1"/>
  <c r="X43" i="1" s="1"/>
  <c r="T116" i="5" s="1"/>
  <c r="CY41" i="1"/>
  <c r="X41" i="1" s="1"/>
  <c r="T107" i="5" s="1"/>
  <c r="CZ41" i="1"/>
  <c r="Y41" i="1" s="1"/>
  <c r="AD51" i="1"/>
  <c r="CR51" i="1" s="1"/>
  <c r="Q51" i="1" s="1"/>
  <c r="W50" i="1"/>
  <c r="S50" i="1"/>
  <c r="AD47" i="1"/>
  <c r="CR46" i="1"/>
  <c r="Q46" i="1" s="1"/>
  <c r="AD39" i="1"/>
  <c r="CR38" i="1"/>
  <c r="Q38" i="1" s="1"/>
  <c r="P38" i="1"/>
  <c r="CX35" i="3"/>
  <c r="CX36" i="3"/>
  <c r="CX37" i="3"/>
  <c r="CX34" i="3"/>
  <c r="CX33" i="3"/>
  <c r="CX26" i="3"/>
  <c r="CX30" i="3"/>
  <c r="CX27" i="3"/>
  <c r="CX31" i="3"/>
  <c r="CX24" i="3"/>
  <c r="CX28" i="3"/>
  <c r="CX32" i="3"/>
  <c r="CX25" i="3"/>
  <c r="CX29" i="3"/>
  <c r="CZ31" i="1"/>
  <c r="Y31" i="1" s="1"/>
  <c r="V47" i="5" s="1"/>
  <c r="CY30" i="1"/>
  <c r="X30" i="1" s="1"/>
  <c r="T38" i="5" s="1"/>
  <c r="K43" i="5" s="1"/>
  <c r="AB51" i="1"/>
  <c r="P49" i="1"/>
  <c r="CP49" i="1" s="1"/>
  <c r="O49" i="1" s="1"/>
  <c r="K146" i="5" s="1"/>
  <c r="CZ48" i="1"/>
  <c r="Y48" i="1" s="1"/>
  <c r="GX43" i="1"/>
  <c r="AB43" i="1"/>
  <c r="CQ42" i="1"/>
  <c r="P42" i="1" s="1"/>
  <c r="CZ40" i="1"/>
  <c r="Y40" i="1" s="1"/>
  <c r="AB39" i="1"/>
  <c r="T38" i="1"/>
  <c r="CQ37" i="1"/>
  <c r="P37" i="1" s="1"/>
  <c r="CQ34" i="1"/>
  <c r="P34" i="1" s="1"/>
  <c r="CQ33" i="1"/>
  <c r="P33" i="1" s="1"/>
  <c r="CP33" i="1" s="1"/>
  <c r="O33" i="1" s="1"/>
  <c r="U32" i="1"/>
  <c r="Q32" i="1"/>
  <c r="R32" i="1"/>
  <c r="CP29" i="1"/>
  <c r="O29" i="1" s="1"/>
  <c r="CY32" i="1"/>
  <c r="X32" i="1" s="1"/>
  <c r="T55" i="5" s="1"/>
  <c r="CY29" i="1"/>
  <c r="X29" i="1" s="1"/>
  <c r="T32" i="5" s="1"/>
  <c r="K34" i="5" s="1"/>
  <c r="CZ29" i="1"/>
  <c r="Y29" i="1" s="1"/>
  <c r="V32" i="5" s="1"/>
  <c r="K35" i="5" s="1"/>
  <c r="AB45" i="1"/>
  <c r="AB44" i="1"/>
  <c r="U43" i="1"/>
  <c r="Q43" i="1"/>
  <c r="AB36" i="1"/>
  <c r="W32" i="1"/>
  <c r="T32" i="1"/>
  <c r="AB32" i="1"/>
  <c r="CP28" i="1"/>
  <c r="O28" i="1" s="1"/>
  <c r="CX18" i="3"/>
  <c r="CX22" i="3"/>
  <c r="CX15" i="3"/>
  <c r="CX19" i="3"/>
  <c r="CX23" i="3"/>
  <c r="CX16" i="3"/>
  <c r="CX20" i="3"/>
  <c r="CX17" i="3"/>
  <c r="CX21" i="3"/>
  <c r="CQ31" i="1"/>
  <c r="P31" i="1" s="1"/>
  <c r="K51" i="5" s="1"/>
  <c r="CZ30" i="1"/>
  <c r="Y30" i="1" s="1"/>
  <c r="V38" i="5" s="1"/>
  <c r="K44" i="5" s="1"/>
  <c r="CX6" i="3"/>
  <c r="CX7" i="3"/>
  <c r="CX5" i="3"/>
  <c r="U30" i="1"/>
  <c r="Q30" i="1"/>
  <c r="AB28" i="1"/>
  <c r="CX1" i="3"/>
  <c r="CX3" i="3"/>
  <c r="H156" i="5" l="1"/>
  <c r="K113" i="5"/>
  <c r="J488" i="5"/>
  <c r="P488" i="5" s="1"/>
  <c r="H113" i="5"/>
  <c r="H547" i="5"/>
  <c r="J260" i="5"/>
  <c r="P260" i="5" s="1"/>
  <c r="H455" i="5"/>
  <c r="H382" i="5"/>
  <c r="H423" i="5"/>
  <c r="H280" i="5"/>
  <c r="H519" i="5"/>
  <c r="T131" i="1"/>
  <c r="AG118" i="1"/>
  <c r="GK68" i="1"/>
  <c r="CZ68" i="1"/>
  <c r="Y68" i="1" s="1"/>
  <c r="V180" i="5" s="1"/>
  <c r="V468" i="5"/>
  <c r="GM192" i="1"/>
  <c r="CP30" i="1"/>
  <c r="O30" i="1" s="1"/>
  <c r="K41" i="5"/>
  <c r="J46" i="5" s="1"/>
  <c r="P46" i="5" s="1"/>
  <c r="GM41" i="1"/>
  <c r="V107" i="5"/>
  <c r="CP177" i="1"/>
  <c r="O177" i="1" s="1"/>
  <c r="K400" i="5"/>
  <c r="CP244" i="1"/>
  <c r="O244" i="1" s="1"/>
  <c r="K534" i="5"/>
  <c r="G199" i="5"/>
  <c r="O199" i="5" s="1"/>
  <c r="W199" i="5"/>
  <c r="R192" i="5"/>
  <c r="K68" i="5"/>
  <c r="GK34" i="1"/>
  <c r="R120" i="5"/>
  <c r="G127" i="5"/>
  <c r="O127" i="5" s="1"/>
  <c r="W127" i="5"/>
  <c r="CY199" i="1"/>
  <c r="X199" i="1" s="1"/>
  <c r="T489" i="5" s="1"/>
  <c r="K491" i="5" s="1"/>
  <c r="K490" i="5"/>
  <c r="CZ199" i="1"/>
  <c r="Y199" i="1" s="1"/>
  <c r="V489" i="5" s="1"/>
  <c r="K492" i="5" s="1"/>
  <c r="GK121" i="1"/>
  <c r="K278" i="5"/>
  <c r="GK166" i="1"/>
  <c r="GM166" i="1" s="1"/>
  <c r="K336" i="5"/>
  <c r="R25" i="5"/>
  <c r="G31" i="5"/>
  <c r="O31" i="5" s="1"/>
  <c r="W31" i="5"/>
  <c r="CY69" i="1"/>
  <c r="X69" i="1" s="1"/>
  <c r="T182" i="5" s="1"/>
  <c r="K187" i="5" s="1"/>
  <c r="K183" i="5"/>
  <c r="CY81" i="1"/>
  <c r="X81" i="1" s="1"/>
  <c r="T243" i="5" s="1"/>
  <c r="K245" i="5"/>
  <c r="CZ81" i="1"/>
  <c r="Y81" i="1" s="1"/>
  <c r="V243" i="5" s="1"/>
  <c r="H475" i="5"/>
  <c r="G482" i="5" s="1"/>
  <c r="O482" i="5" s="1"/>
  <c r="CR196" i="1"/>
  <c r="Q196" i="1" s="1"/>
  <c r="K475" i="5" s="1"/>
  <c r="CZ51" i="1"/>
  <c r="Y51" i="1" s="1"/>
  <c r="V148" i="5" s="1"/>
  <c r="CY51" i="1"/>
  <c r="X51" i="1" s="1"/>
  <c r="T148" i="5" s="1"/>
  <c r="R418" i="5"/>
  <c r="K453" i="5"/>
  <c r="GK188" i="1"/>
  <c r="R357" i="5"/>
  <c r="W361" i="5"/>
  <c r="G361" i="5"/>
  <c r="O361" i="5" s="1"/>
  <c r="H464" i="5"/>
  <c r="K544" i="5"/>
  <c r="GK246" i="1"/>
  <c r="H302" i="5"/>
  <c r="CY195" i="1"/>
  <c r="X195" i="1" s="1"/>
  <c r="T471" i="5" s="1"/>
  <c r="CZ195" i="1"/>
  <c r="Y195" i="1" s="1"/>
  <c r="V471" i="5" s="1"/>
  <c r="L46" i="5"/>
  <c r="Q46" i="5" s="1"/>
  <c r="L45" i="5"/>
  <c r="CP43" i="1"/>
  <c r="O43" i="1" s="1"/>
  <c r="K116" i="5" s="1"/>
  <c r="CZ43" i="1"/>
  <c r="Y43" i="1" s="1"/>
  <c r="V116" i="5" s="1"/>
  <c r="K114" i="5" s="1"/>
  <c r="CY31" i="1"/>
  <c r="X31" i="1" s="1"/>
  <c r="T47" i="5" s="1"/>
  <c r="K52" i="5" s="1"/>
  <c r="CY34" i="1"/>
  <c r="X34" i="1" s="1"/>
  <c r="T64" i="5" s="1"/>
  <c r="K69" i="5" s="1"/>
  <c r="P67" i="1"/>
  <c r="GN73" i="1"/>
  <c r="V209" i="5"/>
  <c r="V82" i="1"/>
  <c r="CZ65" i="1"/>
  <c r="Y65" i="1" s="1"/>
  <c r="V171" i="5" s="1"/>
  <c r="CY55" i="1"/>
  <c r="X55" i="1" s="1"/>
  <c r="T160" i="5" s="1"/>
  <c r="CY59" i="1"/>
  <c r="X59" i="1" s="1"/>
  <c r="T164" i="5" s="1"/>
  <c r="CZ124" i="1"/>
  <c r="Y124" i="1" s="1"/>
  <c r="V286" i="5" s="1"/>
  <c r="CY121" i="1"/>
  <c r="X121" i="1" s="1"/>
  <c r="T275" i="5" s="1"/>
  <c r="AP131" i="1"/>
  <c r="CP179" i="1"/>
  <c r="O179" i="1" s="1"/>
  <c r="K411" i="5"/>
  <c r="CP83" i="1"/>
  <c r="O83" i="1" s="1"/>
  <c r="CY122" i="1"/>
  <c r="X122" i="1" s="1"/>
  <c r="T283" i="5" s="1"/>
  <c r="CP166" i="1"/>
  <c r="O166" i="1" s="1"/>
  <c r="AI203" i="1"/>
  <c r="CZ177" i="1"/>
  <c r="Y177" i="1" s="1"/>
  <c r="V398" i="5" s="1"/>
  <c r="K402" i="5" s="1"/>
  <c r="CP184" i="1"/>
  <c r="O184" i="1" s="1"/>
  <c r="K436" i="5" s="1"/>
  <c r="CZ166" i="1"/>
  <c r="Y166" i="1" s="1"/>
  <c r="V332" i="5" s="1"/>
  <c r="K338" i="5" s="1"/>
  <c r="J340" i="5" s="1"/>
  <c r="P340" i="5" s="1"/>
  <c r="CY173" i="1"/>
  <c r="X173" i="1" s="1"/>
  <c r="AB164" i="1"/>
  <c r="AB191" i="1"/>
  <c r="CP197" i="1"/>
  <c r="O197" i="1" s="1"/>
  <c r="K481" i="5" s="1"/>
  <c r="CY239" i="1"/>
  <c r="X239" i="1" s="1"/>
  <c r="T509" i="5" s="1"/>
  <c r="K511" i="5" s="1"/>
  <c r="J514" i="5" s="1"/>
  <c r="P514" i="5" s="1"/>
  <c r="GO192" i="1"/>
  <c r="CP239" i="1"/>
  <c r="O239" i="1" s="1"/>
  <c r="K445" i="5"/>
  <c r="J72" i="5"/>
  <c r="P72" i="5" s="1"/>
  <c r="K237" i="5"/>
  <c r="GK80" i="1"/>
  <c r="H53" i="5"/>
  <c r="K101" i="5"/>
  <c r="GK39" i="1"/>
  <c r="H114" i="5"/>
  <c r="R59" i="5"/>
  <c r="W63" i="5"/>
  <c r="G63" i="5"/>
  <c r="O63" i="5" s="1"/>
  <c r="R75" i="5"/>
  <c r="W81" i="5"/>
  <c r="G81" i="5"/>
  <c r="O81" i="5" s="1"/>
  <c r="L72" i="5"/>
  <c r="Q72" i="5" s="1"/>
  <c r="L71" i="5"/>
  <c r="CY45" i="1"/>
  <c r="X45" i="1" s="1"/>
  <c r="T119" i="5" s="1"/>
  <c r="K124" i="5" s="1"/>
  <c r="K120" i="5"/>
  <c r="CZ45" i="1"/>
  <c r="Y45" i="1" s="1"/>
  <c r="V119" i="5" s="1"/>
  <c r="K125" i="5" s="1"/>
  <c r="GK46" i="1"/>
  <c r="K131" i="5"/>
  <c r="GK52" i="1"/>
  <c r="K153" i="5"/>
  <c r="CZ52" i="1"/>
  <c r="Y52" i="1" s="1"/>
  <c r="V150" i="5" s="1"/>
  <c r="CP65" i="1"/>
  <c r="O65" i="1" s="1"/>
  <c r="GM65" i="1" s="1"/>
  <c r="U179" i="5"/>
  <c r="R235" i="5"/>
  <c r="W242" i="5"/>
  <c r="G242" i="5"/>
  <c r="O242" i="5" s="1"/>
  <c r="R255" i="5"/>
  <c r="W260" i="5"/>
  <c r="G260" i="5"/>
  <c r="O260" i="5" s="1"/>
  <c r="CR120" i="1"/>
  <c r="Q120" i="1" s="1"/>
  <c r="H269" i="5"/>
  <c r="G274" i="5" s="1"/>
  <c r="O274" i="5" s="1"/>
  <c r="AB177" i="1"/>
  <c r="R490" i="5"/>
  <c r="G494" i="5"/>
  <c r="O494" i="5" s="1"/>
  <c r="Z494" i="5"/>
  <c r="H469" i="5"/>
  <c r="X469" i="5" s="1"/>
  <c r="H538" i="5"/>
  <c r="X538" i="5" s="1"/>
  <c r="S38" i="1"/>
  <c r="CY52" i="1"/>
  <c r="X52" i="1" s="1"/>
  <c r="T150" i="5" s="1"/>
  <c r="H179" i="5"/>
  <c r="W179" i="5" s="1"/>
  <c r="H216" i="5"/>
  <c r="U252" i="5"/>
  <c r="S396" i="5"/>
  <c r="H393" i="5" s="1"/>
  <c r="X397" i="5" s="1"/>
  <c r="GX176" i="1"/>
  <c r="CJ203" i="1" s="1"/>
  <c r="H415" i="5"/>
  <c r="X415" i="5" s="1"/>
  <c r="CR31" i="1"/>
  <c r="Q31" i="1" s="1"/>
  <c r="K49" i="5" s="1"/>
  <c r="H49" i="5"/>
  <c r="H208" i="5"/>
  <c r="W208" i="5" s="1"/>
  <c r="AB50" i="1"/>
  <c r="CR50" i="1"/>
  <c r="Q50" i="1" s="1"/>
  <c r="CP50" i="1" s="1"/>
  <c r="O50" i="1" s="1"/>
  <c r="K147" i="5" s="1"/>
  <c r="W190" i="5"/>
  <c r="G190" i="5"/>
  <c r="O190" i="5" s="1"/>
  <c r="R183" i="5"/>
  <c r="GK185" i="1"/>
  <c r="K442" i="5"/>
  <c r="H456" i="5"/>
  <c r="G506" i="5"/>
  <c r="O506" i="5" s="1"/>
  <c r="Z506" i="5"/>
  <c r="R502" i="5"/>
  <c r="CP196" i="1"/>
  <c r="O196" i="1" s="1"/>
  <c r="K477" i="5"/>
  <c r="K223" i="5"/>
  <c r="CZ77" i="1"/>
  <c r="Y77" i="1" s="1"/>
  <c r="V222" i="5" s="1"/>
  <c r="K228" i="5" s="1"/>
  <c r="R363" i="5"/>
  <c r="G367" i="5"/>
  <c r="O367" i="5" s="1"/>
  <c r="W367" i="5"/>
  <c r="H402" i="5"/>
  <c r="GK183" i="1"/>
  <c r="K431" i="5"/>
  <c r="H530" i="5"/>
  <c r="X530" i="5" s="1"/>
  <c r="X557" i="5"/>
  <c r="G557" i="5"/>
  <c r="O557" i="5" s="1"/>
  <c r="R552" i="5"/>
  <c r="H422" i="5"/>
  <c r="H281" i="5"/>
  <c r="W285" i="5" s="1"/>
  <c r="CY169" i="1"/>
  <c r="X169" i="1" s="1"/>
  <c r="T356" i="5" s="1"/>
  <c r="K358" i="5" s="1"/>
  <c r="K357" i="5"/>
  <c r="S415" i="5"/>
  <c r="CR181" i="1"/>
  <c r="Q181" i="1" s="1"/>
  <c r="H419" i="5"/>
  <c r="K429" i="5"/>
  <c r="CY183" i="1"/>
  <c r="X183" i="1" s="1"/>
  <c r="T427" i="5" s="1"/>
  <c r="K433" i="5" s="1"/>
  <c r="H465" i="5"/>
  <c r="R510" i="5"/>
  <c r="G514" i="5"/>
  <c r="O514" i="5" s="1"/>
  <c r="X514" i="5"/>
  <c r="AB244" i="1"/>
  <c r="CY126" i="1"/>
  <c r="X126" i="1" s="1"/>
  <c r="T296" i="5" s="1"/>
  <c r="K297" i="5"/>
  <c r="AB242" i="1"/>
  <c r="P176" i="1"/>
  <c r="K112" i="5"/>
  <c r="CP38" i="1"/>
  <c r="O38" i="1" s="1"/>
  <c r="K96" i="5" s="1"/>
  <c r="T200" i="5"/>
  <c r="K205" i="5" s="1"/>
  <c r="CY74" i="1"/>
  <c r="X74" i="1" s="1"/>
  <c r="T211" i="5" s="1"/>
  <c r="K216" i="5" s="1"/>
  <c r="K214" i="5"/>
  <c r="GM129" i="1"/>
  <c r="V307" i="5"/>
  <c r="K310" i="5" s="1"/>
  <c r="K535" i="5"/>
  <c r="K545" i="5"/>
  <c r="K122" i="5"/>
  <c r="GK45" i="1"/>
  <c r="S179" i="5"/>
  <c r="H175" i="5" s="1"/>
  <c r="R334" i="5"/>
  <c r="X340" i="5"/>
  <c r="G340" i="5"/>
  <c r="O340" i="5" s="1"/>
  <c r="W46" i="5"/>
  <c r="G46" i="5"/>
  <c r="O46" i="5" s="1"/>
  <c r="R40" i="5"/>
  <c r="S252" i="5"/>
  <c r="H249" i="5" s="1"/>
  <c r="GK31" i="1"/>
  <c r="K50" i="5"/>
  <c r="CR42" i="1"/>
  <c r="Q42" i="1" s="1"/>
  <c r="K111" i="5" s="1"/>
  <c r="H111" i="5"/>
  <c r="G118" i="5" s="1"/>
  <c r="O118" i="5" s="1"/>
  <c r="CR39" i="1"/>
  <c r="Q39" i="1" s="1"/>
  <c r="H100" i="5"/>
  <c r="CY57" i="1"/>
  <c r="X57" i="1" s="1"/>
  <c r="T162" i="5" s="1"/>
  <c r="V67" i="1"/>
  <c r="AI87" i="1" s="1"/>
  <c r="V87" i="1" s="1"/>
  <c r="CZ56" i="1"/>
  <c r="Y56" i="1" s="1"/>
  <c r="V161" i="5" s="1"/>
  <c r="K227" i="5"/>
  <c r="GN65" i="1"/>
  <c r="T171" i="5"/>
  <c r="CP80" i="1"/>
  <c r="O80" i="1" s="1"/>
  <c r="K238" i="5"/>
  <c r="CZ80" i="1"/>
  <c r="Y80" i="1" s="1"/>
  <c r="V233" i="5" s="1"/>
  <c r="K240" i="5" s="1"/>
  <c r="AJ203" i="1"/>
  <c r="AJ162" i="1" s="1"/>
  <c r="T82" i="1"/>
  <c r="CZ121" i="1"/>
  <c r="Y121" i="1" s="1"/>
  <c r="V275" i="5" s="1"/>
  <c r="GN169" i="1"/>
  <c r="V356" i="5"/>
  <c r="K359" i="5" s="1"/>
  <c r="L340" i="5"/>
  <c r="Q340" i="5" s="1"/>
  <c r="L507" i="5" s="1"/>
  <c r="L339" i="5"/>
  <c r="T348" i="5"/>
  <c r="K352" i="5" s="1"/>
  <c r="CP175" i="1"/>
  <c r="O175" i="1" s="1"/>
  <c r="CP195" i="1"/>
  <c r="O195" i="1" s="1"/>
  <c r="K471" i="5" s="1"/>
  <c r="K456" i="5"/>
  <c r="L97" i="5"/>
  <c r="Q97" i="5" s="1"/>
  <c r="L95" i="5"/>
  <c r="R84" i="5"/>
  <c r="W88" i="5"/>
  <c r="G88" i="5"/>
  <c r="O88" i="5" s="1"/>
  <c r="L63" i="5"/>
  <c r="Q63" i="5" s="1"/>
  <c r="L62" i="5"/>
  <c r="GK126" i="1"/>
  <c r="K299" i="5"/>
  <c r="R316" i="5"/>
  <c r="G322" i="5"/>
  <c r="O322" i="5" s="1"/>
  <c r="W322" i="5"/>
  <c r="H445" i="5"/>
  <c r="X449" i="5" s="1"/>
  <c r="H546" i="5"/>
  <c r="Z488" i="5"/>
  <c r="R484" i="5"/>
  <c r="G488" i="5"/>
  <c r="O488" i="5" s="1"/>
  <c r="CY125" i="1"/>
  <c r="X125" i="1" s="1"/>
  <c r="T294" i="5" s="1"/>
  <c r="CZ125" i="1"/>
  <c r="Y125" i="1" s="1"/>
  <c r="V294" i="5" s="1"/>
  <c r="R325" i="5"/>
  <c r="L437" i="5"/>
  <c r="Q437" i="5" s="1"/>
  <c r="L435" i="5"/>
  <c r="H205" i="5"/>
  <c r="R308" i="5"/>
  <c r="G312" i="5"/>
  <c r="O312" i="5" s="1"/>
  <c r="W312" i="5"/>
  <c r="G347" i="5"/>
  <c r="O347" i="5" s="1"/>
  <c r="X347" i="5"/>
  <c r="R342" i="5"/>
  <c r="R349" i="5"/>
  <c r="AB171" i="1"/>
  <c r="H371" i="5"/>
  <c r="R268" i="5"/>
  <c r="H467" i="5"/>
  <c r="X467" i="5" s="1"/>
  <c r="CY201" i="1"/>
  <c r="X201" i="1" s="1"/>
  <c r="T501" i="5" s="1"/>
  <c r="K503" i="5" s="1"/>
  <c r="K502" i="5"/>
  <c r="CZ201" i="1"/>
  <c r="Y201" i="1" s="1"/>
  <c r="V501" i="5" s="1"/>
  <c r="K504" i="5" s="1"/>
  <c r="H227" i="5"/>
  <c r="CR168" i="1"/>
  <c r="Q168" i="1" s="1"/>
  <c r="H350" i="5"/>
  <c r="X355" i="5" s="1"/>
  <c r="AO237" i="1"/>
  <c r="F254" i="1"/>
  <c r="CR188" i="1"/>
  <c r="Q188" i="1" s="1"/>
  <c r="H452" i="5"/>
  <c r="AB71" i="1"/>
  <c r="H202" i="5"/>
  <c r="CR71" i="1"/>
  <c r="Q71" i="1" s="1"/>
  <c r="L531" i="5"/>
  <c r="Q531" i="5" s="1"/>
  <c r="L558" i="5" s="1"/>
  <c r="L529" i="5"/>
  <c r="CR246" i="1"/>
  <c r="Q246" i="1" s="1"/>
  <c r="K543" i="5" s="1"/>
  <c r="H543" i="5"/>
  <c r="G550" i="5" s="1"/>
  <c r="O550" i="5" s="1"/>
  <c r="H143" i="5"/>
  <c r="T176" i="1"/>
  <c r="AG203" i="1" s="1"/>
  <c r="CZ191" i="1"/>
  <c r="Y191" i="1" s="1"/>
  <c r="V467" i="5" s="1"/>
  <c r="H527" i="5"/>
  <c r="CY48" i="1"/>
  <c r="X48" i="1" s="1"/>
  <c r="T145" i="5" s="1"/>
  <c r="CP37" i="1"/>
  <c r="O37" i="1" s="1"/>
  <c r="GN37" i="1" s="1"/>
  <c r="K92" i="5"/>
  <c r="GN48" i="1"/>
  <c r="V145" i="5"/>
  <c r="CR47" i="1"/>
  <c r="Q47" i="1" s="1"/>
  <c r="H139" i="5"/>
  <c r="K140" i="5"/>
  <c r="GK47" i="1"/>
  <c r="R48" i="5"/>
  <c r="R91" i="5"/>
  <c r="R110" i="5"/>
  <c r="H152" i="5"/>
  <c r="CR52" i="1"/>
  <c r="Q52" i="1" s="1"/>
  <c r="K152" i="5" s="1"/>
  <c r="AB77" i="1"/>
  <c r="H224" i="5"/>
  <c r="H412" i="5"/>
  <c r="R33" i="5"/>
  <c r="W37" i="5"/>
  <c r="G37" i="5"/>
  <c r="O37" i="5" s="1"/>
  <c r="GX67" i="1"/>
  <c r="AB52" i="1"/>
  <c r="S67" i="1"/>
  <c r="Q67" i="1"/>
  <c r="CY56" i="1"/>
  <c r="X56" i="1" s="1"/>
  <c r="T161" i="5" s="1"/>
  <c r="Q82" i="1"/>
  <c r="V296" i="5"/>
  <c r="K401" i="5"/>
  <c r="CP199" i="1"/>
  <c r="O199" i="1" s="1"/>
  <c r="CZ164" i="1"/>
  <c r="Y164" i="1" s="1"/>
  <c r="V315" i="5" s="1"/>
  <c r="K320" i="5" s="1"/>
  <c r="CY164" i="1"/>
  <c r="X164" i="1" s="1"/>
  <c r="T315" i="5" s="1"/>
  <c r="K319" i="5" s="1"/>
  <c r="V427" i="5"/>
  <c r="K434" i="5" s="1"/>
  <c r="CP242" i="1"/>
  <c r="O242" i="1" s="1"/>
  <c r="K525" i="5"/>
  <c r="AB245" i="1"/>
  <c r="CZ28" i="1"/>
  <c r="Y28" i="1" s="1"/>
  <c r="V23" i="5" s="1"/>
  <c r="K29" i="5" s="1"/>
  <c r="K27" i="5"/>
  <c r="GK28" i="1"/>
  <c r="H52" i="5"/>
  <c r="G72" i="5"/>
  <c r="O72" i="5" s="1"/>
  <c r="R66" i="5"/>
  <c r="W72" i="5"/>
  <c r="H103" i="5"/>
  <c r="G108" i="5" s="1"/>
  <c r="O108" i="5" s="1"/>
  <c r="AB42" i="1"/>
  <c r="H326" i="5"/>
  <c r="G331" i="5" s="1"/>
  <c r="O331" i="5" s="1"/>
  <c r="CR165" i="1"/>
  <c r="Q165" i="1" s="1"/>
  <c r="K326" i="5" s="1"/>
  <c r="J331" i="5" s="1"/>
  <c r="P331" i="5" s="1"/>
  <c r="AB165" i="1"/>
  <c r="H375" i="5"/>
  <c r="K432" i="5"/>
  <c r="CP187" i="1"/>
  <c r="O187" i="1" s="1"/>
  <c r="K448" i="5" s="1"/>
  <c r="H536" i="5"/>
  <c r="H217" i="5"/>
  <c r="GK120" i="1"/>
  <c r="K270" i="5"/>
  <c r="GK171" i="1"/>
  <c r="K372" i="5"/>
  <c r="CP34" i="1"/>
  <c r="O34" i="1" s="1"/>
  <c r="GN34" i="1" s="1"/>
  <c r="GM40" i="1"/>
  <c r="V106" i="5"/>
  <c r="AB47" i="1"/>
  <c r="CP46" i="1"/>
  <c r="O46" i="1" s="1"/>
  <c r="GN46" i="1" s="1"/>
  <c r="K130" i="5"/>
  <c r="CP51" i="1"/>
  <c r="O51" i="1" s="1"/>
  <c r="K148" i="5" s="1"/>
  <c r="CP45" i="1"/>
  <c r="O45" i="1" s="1"/>
  <c r="CP68" i="1"/>
  <c r="O68" i="1" s="1"/>
  <c r="K180" i="5" s="1"/>
  <c r="CP69" i="1"/>
  <c r="O69" i="1" s="1"/>
  <c r="CZ39" i="1"/>
  <c r="Y39" i="1" s="1"/>
  <c r="V98" i="5" s="1"/>
  <c r="CZ46" i="1"/>
  <c r="Y46" i="1" s="1"/>
  <c r="V128" i="5" s="1"/>
  <c r="K134" i="5" s="1"/>
  <c r="CP70" i="1"/>
  <c r="O70" i="1" s="1"/>
  <c r="GM70" i="1" s="1"/>
  <c r="K195" i="5"/>
  <c r="J199" i="5" s="1"/>
  <c r="P199" i="5" s="1"/>
  <c r="CZ33" i="1"/>
  <c r="Y33" i="1" s="1"/>
  <c r="V57" i="5" s="1"/>
  <c r="K61" i="5" s="1"/>
  <c r="J63" i="5" s="1"/>
  <c r="P63" i="5" s="1"/>
  <c r="CP52" i="1"/>
  <c r="O52" i="1" s="1"/>
  <c r="GM52" i="1" s="1"/>
  <c r="K154" i="5"/>
  <c r="CZ71" i="1"/>
  <c r="Y71" i="1" s="1"/>
  <c r="T67" i="1"/>
  <c r="GX82" i="1"/>
  <c r="AB82" i="1"/>
  <c r="CR77" i="1"/>
  <c r="Q77" i="1" s="1"/>
  <c r="CY80" i="1"/>
  <c r="X80" i="1" s="1"/>
  <c r="T233" i="5" s="1"/>
  <c r="K239" i="5" s="1"/>
  <c r="CY124" i="1"/>
  <c r="X124" i="1" s="1"/>
  <c r="T286" i="5" s="1"/>
  <c r="CP164" i="1"/>
  <c r="O164" i="1" s="1"/>
  <c r="CZ120" i="1"/>
  <c r="Y120" i="1" s="1"/>
  <c r="V267" i="5" s="1"/>
  <c r="K272" i="5" s="1"/>
  <c r="CP170" i="1"/>
  <c r="O170" i="1" s="1"/>
  <c r="CY187" i="1"/>
  <c r="X187" i="1" s="1"/>
  <c r="CP194" i="1"/>
  <c r="O194" i="1" s="1"/>
  <c r="K470" i="5" s="1"/>
  <c r="CP125" i="1"/>
  <c r="O125" i="1" s="1"/>
  <c r="K294" i="5" s="1"/>
  <c r="CZ171" i="1"/>
  <c r="Y171" i="1" s="1"/>
  <c r="V368" i="5" s="1"/>
  <c r="CP174" i="1"/>
  <c r="O174" i="1" s="1"/>
  <c r="K385" i="5" s="1"/>
  <c r="AB196" i="1"/>
  <c r="GM200" i="1"/>
  <c r="V495" i="5"/>
  <c r="K498" i="5" s="1"/>
  <c r="J500" i="5" s="1"/>
  <c r="P500" i="5" s="1"/>
  <c r="CZ170" i="1"/>
  <c r="Y170" i="1" s="1"/>
  <c r="V362" i="5" s="1"/>
  <c r="K365" i="5" s="1"/>
  <c r="J367" i="5" s="1"/>
  <c r="P367" i="5" s="1"/>
  <c r="AB175" i="1"/>
  <c r="V176" i="1"/>
  <c r="CP185" i="1"/>
  <c r="O185" i="1" s="1"/>
  <c r="GM185" i="1" s="1"/>
  <c r="K443" i="5"/>
  <c r="CY188" i="1"/>
  <c r="X188" i="1" s="1"/>
  <c r="T450" i="5" s="1"/>
  <c r="K455" i="5" s="1"/>
  <c r="K536" i="5"/>
  <c r="GM196" i="1"/>
  <c r="V473" i="5"/>
  <c r="CY248" i="1"/>
  <c r="X248" i="1" s="1"/>
  <c r="T551" i="5" s="1"/>
  <c r="K554" i="5" s="1"/>
  <c r="J557" i="5" s="1"/>
  <c r="P557" i="5" s="1"/>
  <c r="CZ246" i="1"/>
  <c r="Y246" i="1" s="1"/>
  <c r="V540" i="5" s="1"/>
  <c r="H155" i="5"/>
  <c r="H94" i="5"/>
  <c r="CY35" i="1"/>
  <c r="X35" i="1" s="1"/>
  <c r="T73" i="5" s="1"/>
  <c r="K78" i="5" s="1"/>
  <c r="K75" i="5"/>
  <c r="CZ35" i="1"/>
  <c r="Y35" i="1" s="1"/>
  <c r="V73" i="5" s="1"/>
  <c r="K79" i="5" s="1"/>
  <c r="AB37" i="1"/>
  <c r="AB46" i="1"/>
  <c r="H130" i="5"/>
  <c r="G136" i="5" s="1"/>
  <c r="O136" i="5" s="1"/>
  <c r="H162" i="5"/>
  <c r="W162" i="5" s="1"/>
  <c r="G262" i="5"/>
  <c r="O262" i="5" s="1"/>
  <c r="W262" i="5"/>
  <c r="L313" i="5"/>
  <c r="G295" i="5"/>
  <c r="O295" i="5" s="1"/>
  <c r="R287" i="5"/>
  <c r="W295" i="5"/>
  <c r="CR126" i="1"/>
  <c r="Q126" i="1" s="1"/>
  <c r="H298" i="5"/>
  <c r="AB127" i="1"/>
  <c r="R496" i="5"/>
  <c r="Z500" i="5"/>
  <c r="G500" i="5"/>
  <c r="O500" i="5" s="1"/>
  <c r="S96" i="5"/>
  <c r="H93" i="5" s="1"/>
  <c r="R129" i="5"/>
  <c r="E178" i="5"/>
  <c r="R66" i="1"/>
  <c r="GK66" i="1" s="1"/>
  <c r="T68" i="1"/>
  <c r="E180" i="5"/>
  <c r="R212" i="5"/>
  <c r="G221" i="5"/>
  <c r="O221" i="5" s="1"/>
  <c r="CZ122" i="1"/>
  <c r="Y122" i="1" s="1"/>
  <c r="V283" i="5" s="1"/>
  <c r="H304" i="5"/>
  <c r="W304" i="5" s="1"/>
  <c r="H377" i="5"/>
  <c r="X377" i="5" s="1"/>
  <c r="S176" i="1"/>
  <c r="U180" i="1"/>
  <c r="CY28" i="1"/>
  <c r="X28" i="1" s="1"/>
  <c r="T23" i="5" s="1"/>
  <c r="K28" i="5" s="1"/>
  <c r="K25" i="5"/>
  <c r="J37" i="5"/>
  <c r="P37" i="5" s="1"/>
  <c r="GX38" i="1"/>
  <c r="CJ87" i="1" s="1"/>
  <c r="U178" i="5"/>
  <c r="H206" i="5"/>
  <c r="CZ75" i="1"/>
  <c r="Y75" i="1" s="1"/>
  <c r="V219" i="5" s="1"/>
  <c r="H252" i="5"/>
  <c r="W252" i="5" s="1"/>
  <c r="AB126" i="1"/>
  <c r="CY167" i="1"/>
  <c r="X167" i="1" s="1"/>
  <c r="K342" i="5"/>
  <c r="CZ167" i="1"/>
  <c r="Y167" i="1" s="1"/>
  <c r="V341" i="5" s="1"/>
  <c r="K345" i="5" s="1"/>
  <c r="P68" i="1"/>
  <c r="H250" i="5"/>
  <c r="H471" i="5"/>
  <c r="X471" i="5" s="1"/>
  <c r="H383" i="5"/>
  <c r="H228" i="5"/>
  <c r="W232" i="5" s="1"/>
  <c r="J312" i="5"/>
  <c r="P312" i="5" s="1"/>
  <c r="U172" i="1"/>
  <c r="AH203" i="1" s="1"/>
  <c r="H401" i="5"/>
  <c r="CR183" i="1"/>
  <c r="Q183" i="1" s="1"/>
  <c r="K430" i="5" s="1"/>
  <c r="H430" i="5"/>
  <c r="G437" i="5" s="1"/>
  <c r="O437" i="5" s="1"/>
  <c r="S243" i="1"/>
  <c r="CP243" i="1" s="1"/>
  <c r="O243" i="1" s="1"/>
  <c r="K530" i="5" s="1"/>
  <c r="CZ181" i="1"/>
  <c r="Y181" i="1" s="1"/>
  <c r="V417" i="5" s="1"/>
  <c r="K423" i="5" s="1"/>
  <c r="K418" i="5"/>
  <c r="T66" i="1"/>
  <c r="AG87" i="1" s="1"/>
  <c r="CP122" i="1"/>
  <c r="O122" i="1" s="1"/>
  <c r="S180" i="1"/>
  <c r="CP180" i="1" s="1"/>
  <c r="O180" i="1" s="1"/>
  <c r="GK181" i="1"/>
  <c r="K420" i="5"/>
  <c r="CY190" i="1"/>
  <c r="X190" i="1" s="1"/>
  <c r="T460" i="5" s="1"/>
  <c r="K461" i="5"/>
  <c r="CZ190" i="1"/>
  <c r="Y190" i="1" s="1"/>
  <c r="V460" i="5" s="1"/>
  <c r="H518" i="5"/>
  <c r="W243" i="1"/>
  <c r="AJ250" i="1" s="1"/>
  <c r="H142" i="5"/>
  <c r="H301" i="5"/>
  <c r="CY191" i="1"/>
  <c r="X191" i="1" s="1"/>
  <c r="T467" i="5" s="1"/>
  <c r="H528" i="5"/>
  <c r="AT87" i="1"/>
  <c r="AT26" i="1" s="1"/>
  <c r="GN51" i="1"/>
  <c r="GM51" i="1"/>
  <c r="GM30" i="1"/>
  <c r="GN30" i="1"/>
  <c r="GM62" i="1"/>
  <c r="GN62" i="1"/>
  <c r="GN72" i="1"/>
  <c r="GM72" i="1"/>
  <c r="GO195" i="1"/>
  <c r="AH237" i="1"/>
  <c r="U250" i="1"/>
  <c r="GN53" i="1"/>
  <c r="GM53" i="1"/>
  <c r="AJ118" i="1"/>
  <c r="W131" i="1"/>
  <c r="GO191" i="1"/>
  <c r="GM29" i="1"/>
  <c r="GN29" i="1"/>
  <c r="GK32" i="1"/>
  <c r="CP31" i="1"/>
  <c r="O31" i="1" s="1"/>
  <c r="CZ32" i="1"/>
  <c r="Y32" i="1" s="1"/>
  <c r="V55" i="5" s="1"/>
  <c r="K53" i="5" s="1"/>
  <c r="GM63" i="1"/>
  <c r="GN63" i="1"/>
  <c r="GN40" i="1"/>
  <c r="GN70" i="1"/>
  <c r="GM49" i="1"/>
  <c r="GN49" i="1"/>
  <c r="CY50" i="1"/>
  <c r="X50" i="1" s="1"/>
  <c r="T147" i="5" s="1"/>
  <c r="CZ50" i="1"/>
  <c r="Y50" i="1" s="1"/>
  <c r="V147" i="5" s="1"/>
  <c r="K143" i="5" s="1"/>
  <c r="U67" i="1"/>
  <c r="W67" i="1"/>
  <c r="GM48" i="1"/>
  <c r="R67" i="1"/>
  <c r="GK67" i="1" s="1"/>
  <c r="AU26" i="1"/>
  <c r="F106" i="1"/>
  <c r="GN76" i="1"/>
  <c r="GM76" i="1"/>
  <c r="AQ26" i="1"/>
  <c r="F97" i="1"/>
  <c r="AB74" i="1"/>
  <c r="CR74" i="1"/>
  <c r="Q74" i="1" s="1"/>
  <c r="BB26" i="1"/>
  <c r="F100" i="1"/>
  <c r="BB279" i="1"/>
  <c r="GN57" i="1"/>
  <c r="GM57" i="1"/>
  <c r="GN61" i="1"/>
  <c r="GM61" i="1"/>
  <c r="S82" i="1"/>
  <c r="AF87" i="1" s="1"/>
  <c r="U82" i="1"/>
  <c r="CR121" i="1"/>
  <c r="Q121" i="1" s="1"/>
  <c r="K277" i="5" s="1"/>
  <c r="AB121" i="1"/>
  <c r="AX26" i="1"/>
  <c r="F94" i="1"/>
  <c r="GK124" i="1"/>
  <c r="AE131" i="1"/>
  <c r="P82" i="1"/>
  <c r="CP82" i="1" s="1"/>
  <c r="O82" i="1" s="1"/>
  <c r="K252" i="5" s="1"/>
  <c r="AP118" i="1"/>
  <c r="F140" i="1"/>
  <c r="GM127" i="1"/>
  <c r="GN127" i="1"/>
  <c r="GO179" i="1"/>
  <c r="GM179" i="1"/>
  <c r="W82" i="1"/>
  <c r="GK172" i="1"/>
  <c r="AE203" i="1"/>
  <c r="GM169" i="1"/>
  <c r="GM178" i="1"/>
  <c r="GO178" i="1"/>
  <c r="CG118" i="1"/>
  <c r="AX131" i="1"/>
  <c r="GN129" i="1"/>
  <c r="AI237" i="1"/>
  <c r="V250" i="1"/>
  <c r="CJ162" i="1"/>
  <c r="BA203" i="1"/>
  <c r="CY243" i="1"/>
  <c r="X243" i="1" s="1"/>
  <c r="CG237" i="1"/>
  <c r="AX250" i="1"/>
  <c r="GO187" i="1"/>
  <c r="CP245" i="1"/>
  <c r="O245" i="1" s="1"/>
  <c r="K538" i="5" s="1"/>
  <c r="CZ241" i="1"/>
  <c r="Y241" i="1" s="1"/>
  <c r="V521" i="5" s="1"/>
  <c r="GM248" i="1"/>
  <c r="AC250" i="1"/>
  <c r="GM28" i="1"/>
  <c r="GM32" i="1"/>
  <c r="GN32" i="1"/>
  <c r="GM33" i="1"/>
  <c r="GN33" i="1"/>
  <c r="GM59" i="1"/>
  <c r="GN59" i="1"/>
  <c r="GM69" i="1"/>
  <c r="GN69" i="1"/>
  <c r="GN41" i="1"/>
  <c r="AB72" i="1"/>
  <c r="CP54" i="1"/>
  <c r="O54" i="1" s="1"/>
  <c r="AI26" i="1"/>
  <c r="BC26" i="1"/>
  <c r="F103" i="1"/>
  <c r="BC279" i="1"/>
  <c r="GM79" i="1"/>
  <c r="GN79" i="1"/>
  <c r="AT118" i="1"/>
  <c r="F149" i="1"/>
  <c r="CZ172" i="1"/>
  <c r="Y172" i="1" s="1"/>
  <c r="CY172" i="1"/>
  <c r="X172" i="1" s="1"/>
  <c r="CP123" i="1"/>
  <c r="O123" i="1" s="1"/>
  <c r="K284" i="5" s="1"/>
  <c r="AC131" i="1"/>
  <c r="AU118" i="1"/>
  <c r="F150" i="1"/>
  <c r="GN83" i="1"/>
  <c r="GM83" i="1"/>
  <c r="AH118" i="1"/>
  <c r="U131" i="1"/>
  <c r="CY128" i="1"/>
  <c r="X128" i="1" s="1"/>
  <c r="T305" i="5" s="1"/>
  <c r="CZ128" i="1"/>
  <c r="Y128" i="1" s="1"/>
  <c r="V305" i="5" s="1"/>
  <c r="GO166" i="1"/>
  <c r="AI162" i="1"/>
  <c r="V203" i="1"/>
  <c r="GM184" i="1"/>
  <c r="GO184" i="1"/>
  <c r="GO190" i="1"/>
  <c r="GM190" i="1"/>
  <c r="AD203" i="1"/>
  <c r="CZ174" i="1"/>
  <c r="Y174" i="1" s="1"/>
  <c r="V385" i="5" s="1"/>
  <c r="K383" i="5" s="1"/>
  <c r="GP201" i="1"/>
  <c r="AQ118" i="1"/>
  <c r="F141" i="1"/>
  <c r="BZ162" i="1"/>
  <c r="AQ203" i="1"/>
  <c r="AQ279" i="1" s="1"/>
  <c r="CP189" i="1"/>
  <c r="O189" i="1" s="1"/>
  <c r="K458" i="5" s="1"/>
  <c r="CY197" i="1"/>
  <c r="X197" i="1" s="1"/>
  <c r="CZ197" i="1"/>
  <c r="Y197" i="1" s="1"/>
  <c r="V481" i="5" s="1"/>
  <c r="CG203" i="1"/>
  <c r="CZ242" i="1"/>
  <c r="Y242" i="1" s="1"/>
  <c r="V523" i="5" s="1"/>
  <c r="CY242" i="1"/>
  <c r="X242" i="1" s="1"/>
  <c r="GO196" i="1"/>
  <c r="CI203" i="1"/>
  <c r="GM186" i="1"/>
  <c r="GO186" i="1"/>
  <c r="GO239" i="1"/>
  <c r="GM239" i="1"/>
  <c r="AE250" i="1"/>
  <c r="CZ247" i="1"/>
  <c r="Y247" i="1" s="1"/>
  <c r="V549" i="5" s="1"/>
  <c r="CY247" i="1"/>
  <c r="X247" i="1" s="1"/>
  <c r="T549" i="5" s="1"/>
  <c r="K546" i="5" s="1"/>
  <c r="CY241" i="1"/>
  <c r="X241" i="1" s="1"/>
  <c r="BC237" i="1"/>
  <c r="F266" i="1"/>
  <c r="GM46" i="1"/>
  <c r="GN45" i="1"/>
  <c r="GN44" i="1"/>
  <c r="GM44" i="1"/>
  <c r="GN36" i="1"/>
  <c r="GM36" i="1"/>
  <c r="CY66" i="1"/>
  <c r="X66" i="1" s="1"/>
  <c r="T178" i="5" s="1"/>
  <c r="CZ66" i="1"/>
  <c r="Y66" i="1" s="1"/>
  <c r="V178" i="5" s="1"/>
  <c r="GM73" i="1"/>
  <c r="GN81" i="1"/>
  <c r="GM81" i="1"/>
  <c r="CI26" i="1"/>
  <c r="AZ87" i="1"/>
  <c r="GN80" i="1"/>
  <c r="GM80" i="1"/>
  <c r="CJ118" i="1"/>
  <c r="BA131" i="1"/>
  <c r="BB118" i="1"/>
  <c r="F144" i="1"/>
  <c r="GM170" i="1"/>
  <c r="GN170" i="1"/>
  <c r="CP171" i="1"/>
  <c r="O171" i="1" s="1"/>
  <c r="CZ176" i="1"/>
  <c r="Y176" i="1" s="1"/>
  <c r="V396" i="5" s="1"/>
  <c r="K394" i="5" s="1"/>
  <c r="GP199" i="1"/>
  <c r="GM199" i="1"/>
  <c r="CP128" i="1"/>
  <c r="O128" i="1" s="1"/>
  <c r="K305" i="5" s="1"/>
  <c r="AO162" i="1"/>
  <c r="F207" i="1"/>
  <c r="AO279" i="1"/>
  <c r="AF131" i="1"/>
  <c r="CY174" i="1"/>
  <c r="X174" i="1" s="1"/>
  <c r="CI118" i="1"/>
  <c r="AZ131" i="1"/>
  <c r="GO173" i="1"/>
  <c r="GM182" i="1"/>
  <c r="GO182" i="1"/>
  <c r="CY240" i="1"/>
  <c r="X240" i="1" s="1"/>
  <c r="T515" i="5" s="1"/>
  <c r="CZ240" i="1"/>
  <c r="Y240" i="1" s="1"/>
  <c r="AP162" i="1"/>
  <c r="F212" i="1"/>
  <c r="CP240" i="1"/>
  <c r="O240" i="1" s="1"/>
  <c r="GP200" i="1"/>
  <c r="AU237" i="1"/>
  <c r="F269" i="1"/>
  <c r="AH87" i="1"/>
  <c r="GM37" i="1"/>
  <c r="GM55" i="1"/>
  <c r="GN55" i="1"/>
  <c r="GM58" i="1"/>
  <c r="GN58" i="1"/>
  <c r="CY67" i="1"/>
  <c r="X67" i="1" s="1"/>
  <c r="CZ67" i="1"/>
  <c r="Y67" i="1" s="1"/>
  <c r="CP66" i="1"/>
  <c r="O66" i="1" s="1"/>
  <c r="K178" i="5" s="1"/>
  <c r="GK74" i="1"/>
  <c r="CZ74" i="1"/>
  <c r="Y74" i="1" s="1"/>
  <c r="V211" i="5" s="1"/>
  <c r="GM60" i="1"/>
  <c r="GN60" i="1"/>
  <c r="GM64" i="1"/>
  <c r="GN64" i="1"/>
  <c r="AB124" i="1"/>
  <c r="CR124" i="1"/>
  <c r="Q124" i="1" s="1"/>
  <c r="T118" i="1"/>
  <c r="F152" i="1"/>
  <c r="AK131" i="1"/>
  <c r="CP165" i="1"/>
  <c r="O165" i="1" s="1"/>
  <c r="AC203" i="1"/>
  <c r="GO177" i="1"/>
  <c r="GM177" i="1"/>
  <c r="GN78" i="1"/>
  <c r="GM78" i="1"/>
  <c r="BC118" i="1"/>
  <c r="F147" i="1"/>
  <c r="CP172" i="1"/>
  <c r="O172" i="1" s="1"/>
  <c r="K377" i="5" s="1"/>
  <c r="CY176" i="1"/>
  <c r="X176" i="1" s="1"/>
  <c r="GO194" i="1"/>
  <c r="GM194" i="1"/>
  <c r="GN125" i="1"/>
  <c r="GM125" i="1"/>
  <c r="V118" i="1"/>
  <c r="F154" i="1"/>
  <c r="GM175" i="1"/>
  <c r="GO175" i="1"/>
  <c r="BB162" i="1"/>
  <c r="F216" i="1"/>
  <c r="GM193" i="1"/>
  <c r="GO193" i="1"/>
  <c r="GM198" i="1"/>
  <c r="GP198" i="1"/>
  <c r="GM244" i="1"/>
  <c r="GO244" i="1"/>
  <c r="CB237" i="1"/>
  <c r="AS250" i="1"/>
  <c r="CZ243" i="1"/>
  <c r="Y243" i="1" s="1"/>
  <c r="V530" i="5" s="1"/>
  <c r="AQ237" i="1"/>
  <c r="F260" i="1"/>
  <c r="CJ237" i="1"/>
  <c r="BA250" i="1"/>
  <c r="AG237" i="1"/>
  <c r="T250" i="1"/>
  <c r="BY237" i="1"/>
  <c r="AP250" i="1"/>
  <c r="CI250" i="1"/>
  <c r="CP247" i="1"/>
  <c r="O247" i="1" s="1"/>
  <c r="K549" i="5" s="1"/>
  <c r="AF250" i="1"/>
  <c r="W221" i="5" l="1"/>
  <c r="W56" i="5"/>
  <c r="G386" i="5"/>
  <c r="O386" i="5" s="1"/>
  <c r="J31" i="5"/>
  <c r="P31" i="5" s="1"/>
  <c r="G539" i="5"/>
  <c r="O539" i="5" s="1"/>
  <c r="G56" i="5"/>
  <c r="O56" i="5" s="1"/>
  <c r="J322" i="5"/>
  <c r="P322" i="5" s="1"/>
  <c r="X550" i="5"/>
  <c r="G459" i="5"/>
  <c r="O459" i="5" s="1"/>
  <c r="W274" i="5"/>
  <c r="J242" i="5"/>
  <c r="P242" i="5" s="1"/>
  <c r="G426" i="5"/>
  <c r="O426" i="5" s="1"/>
  <c r="K280" i="5"/>
  <c r="X472" i="5"/>
  <c r="G285" i="5"/>
  <c r="O285" i="5" s="1"/>
  <c r="X405" i="5"/>
  <c r="K291" i="5"/>
  <c r="J136" i="5"/>
  <c r="P136" i="5" s="1"/>
  <c r="W170" i="5"/>
  <c r="X378" i="5"/>
  <c r="X482" i="5"/>
  <c r="W118" i="5"/>
  <c r="W253" i="5"/>
  <c r="L265" i="5"/>
  <c r="W210" i="5"/>
  <c r="X331" i="5"/>
  <c r="L559" i="5"/>
  <c r="X531" i="5"/>
  <c r="G306" i="5"/>
  <c r="O306" i="5" s="1"/>
  <c r="G170" i="5"/>
  <c r="O170" i="5" s="1"/>
  <c r="K142" i="5"/>
  <c r="X426" i="5"/>
  <c r="X386" i="5"/>
  <c r="H176" i="5"/>
  <c r="W136" i="5"/>
  <c r="G405" i="5"/>
  <c r="O405" i="5" s="1"/>
  <c r="J539" i="5"/>
  <c r="P539" i="5" s="1"/>
  <c r="K292" i="5"/>
  <c r="BA87" i="1"/>
  <c r="CJ26" i="1"/>
  <c r="T203" i="1"/>
  <c r="AG162" i="1"/>
  <c r="W181" i="5"/>
  <c r="G181" i="5"/>
  <c r="O181" i="5" s="1"/>
  <c r="K415" i="5"/>
  <c r="AJ237" i="1"/>
  <c r="W250" i="1"/>
  <c r="U203" i="1"/>
  <c r="AH162" i="1"/>
  <c r="G97" i="5"/>
  <c r="O97" i="5" s="1"/>
  <c r="W97" i="5"/>
  <c r="J56" i="5"/>
  <c r="P56" i="5" s="1"/>
  <c r="K528" i="5"/>
  <c r="T377" i="5"/>
  <c r="K374" i="5" s="1"/>
  <c r="X522" i="5"/>
  <c r="G522" i="5"/>
  <c r="O522" i="5" s="1"/>
  <c r="CP124" i="1"/>
  <c r="O124" i="1" s="1"/>
  <c r="K288" i="5"/>
  <c r="K217" i="5"/>
  <c r="T179" i="5"/>
  <c r="K175" i="5" s="1"/>
  <c r="GM174" i="1"/>
  <c r="T385" i="5"/>
  <c r="GM164" i="1"/>
  <c r="GM242" i="1"/>
  <c r="T523" i="5"/>
  <c r="GO197" i="1"/>
  <c r="T481" i="5"/>
  <c r="K478" i="5" s="1"/>
  <c r="GM201" i="1"/>
  <c r="GN52" i="1"/>
  <c r="CP74" i="1"/>
  <c r="O74" i="1" s="1"/>
  <c r="GM74" i="1" s="1"/>
  <c r="K213" i="5"/>
  <c r="GM191" i="1"/>
  <c r="GM195" i="1"/>
  <c r="K464" i="5"/>
  <c r="K283" i="5"/>
  <c r="GN122" i="1"/>
  <c r="GM122" i="1"/>
  <c r="K298" i="5"/>
  <c r="CP126" i="1"/>
  <c r="O126" i="1" s="1"/>
  <c r="J81" i="5"/>
  <c r="P81" i="5" s="1"/>
  <c r="X437" i="5"/>
  <c r="K479" i="5"/>
  <c r="GM187" i="1"/>
  <c r="T448" i="5"/>
  <c r="K444" i="5" s="1"/>
  <c r="J449" i="5" s="1"/>
  <c r="P449" i="5" s="1"/>
  <c r="W149" i="5"/>
  <c r="K202" i="5"/>
  <c r="CP71" i="1"/>
  <c r="O71" i="1" s="1"/>
  <c r="GM71" i="1" s="1"/>
  <c r="K452" i="5"/>
  <c r="J459" i="5" s="1"/>
  <c r="P459" i="5" s="1"/>
  <c r="CP188" i="1"/>
  <c r="O188" i="1" s="1"/>
  <c r="G355" i="5"/>
  <c r="O355" i="5" s="1"/>
  <c r="W108" i="5"/>
  <c r="J118" i="5"/>
  <c r="P118" i="5" s="1"/>
  <c r="K156" i="5"/>
  <c r="G472" i="5"/>
  <c r="O472" i="5" s="1"/>
  <c r="J405" i="5"/>
  <c r="P405" i="5" s="1"/>
  <c r="CP67" i="1"/>
  <c r="O67" i="1" s="1"/>
  <c r="K179" i="5" s="1"/>
  <c r="G449" i="5"/>
  <c r="O449" i="5" s="1"/>
  <c r="GM176" i="1"/>
  <c r="T396" i="5"/>
  <c r="K393" i="5" s="1"/>
  <c r="GM35" i="1"/>
  <c r="CP47" i="1"/>
  <c r="O47" i="1" s="1"/>
  <c r="K139" i="5"/>
  <c r="CP39" i="1"/>
  <c r="O39" i="1" s="1"/>
  <c r="K100" i="5"/>
  <c r="J437" i="5"/>
  <c r="P437" i="5" s="1"/>
  <c r="J361" i="5"/>
  <c r="P361" i="5" s="1"/>
  <c r="K155" i="5"/>
  <c r="GM173" i="1"/>
  <c r="T379" i="5"/>
  <c r="GN35" i="1"/>
  <c r="CD203" i="1"/>
  <c r="CD162" i="1" s="1"/>
  <c r="AF203" i="1"/>
  <c r="GN56" i="1"/>
  <c r="GM243" i="1"/>
  <c r="K518" i="5"/>
  <c r="J522" i="5" s="1"/>
  <c r="P522" i="5" s="1"/>
  <c r="AL131" i="1"/>
  <c r="GN50" i="1"/>
  <c r="GM45" i="1"/>
  <c r="GM34" i="1"/>
  <c r="AK250" i="1"/>
  <c r="AK237" i="1" s="1"/>
  <c r="T521" i="5"/>
  <c r="GO185" i="1"/>
  <c r="AL203" i="1"/>
  <c r="Y203" i="1" s="1"/>
  <c r="V377" i="5"/>
  <c r="K375" i="5" s="1"/>
  <c r="GN75" i="1"/>
  <c r="K159" i="5"/>
  <c r="GN28" i="1"/>
  <c r="GO248" i="1"/>
  <c r="AJ87" i="1"/>
  <c r="W87" i="1" s="1"/>
  <c r="AE87" i="1"/>
  <c r="AE26" i="1" s="1"/>
  <c r="W203" i="1"/>
  <c r="GN43" i="1"/>
  <c r="GN68" i="1"/>
  <c r="W306" i="5"/>
  <c r="K465" i="5"/>
  <c r="G232" i="5"/>
  <c r="O232" i="5" s="1"/>
  <c r="G253" i="5"/>
  <c r="O253" i="5" s="1"/>
  <c r="T341" i="5"/>
  <c r="K344" i="5" s="1"/>
  <c r="J347" i="5" s="1"/>
  <c r="P347" i="5" s="1"/>
  <c r="GO167" i="1"/>
  <c r="GM167" i="1"/>
  <c r="G210" i="5"/>
  <c r="O210" i="5" s="1"/>
  <c r="G397" i="5"/>
  <c r="O397" i="5" s="1"/>
  <c r="K547" i="5"/>
  <c r="J550" i="5" s="1"/>
  <c r="P550" i="5" s="1"/>
  <c r="K104" i="5"/>
  <c r="CP183" i="1"/>
  <c r="O183" i="1" s="1"/>
  <c r="K302" i="5"/>
  <c r="G416" i="5"/>
  <c r="O416" i="5" s="1"/>
  <c r="X416" i="5"/>
  <c r="K350" i="5"/>
  <c r="J355" i="5" s="1"/>
  <c r="P355" i="5" s="1"/>
  <c r="CP168" i="1"/>
  <c r="O168" i="1" s="1"/>
  <c r="J506" i="5"/>
  <c r="P506" i="5" s="1"/>
  <c r="CP246" i="1"/>
  <c r="O246" i="1" s="1"/>
  <c r="CP42" i="1"/>
  <c r="O42" i="1" s="1"/>
  <c r="K301" i="5"/>
  <c r="J306" i="5" s="1"/>
  <c r="P306" i="5" s="1"/>
  <c r="X459" i="5"/>
  <c r="CY38" i="1"/>
  <c r="X38" i="1" s="1"/>
  <c r="CZ38" i="1"/>
  <c r="Y38" i="1" s="1"/>
  <c r="V96" i="5" s="1"/>
  <c r="K94" i="5" s="1"/>
  <c r="J127" i="5"/>
  <c r="P127" i="5" s="1"/>
  <c r="G149" i="5"/>
  <c r="O149" i="5" s="1"/>
  <c r="AL250" i="1"/>
  <c r="Y250" i="1" s="1"/>
  <c r="V515" i="5"/>
  <c r="K519" i="5" s="1"/>
  <c r="GM56" i="1"/>
  <c r="GM67" i="1"/>
  <c r="V179" i="5"/>
  <c r="K176" i="5" s="1"/>
  <c r="J181" i="5" s="1"/>
  <c r="P181" i="5" s="1"/>
  <c r="GN164" i="1"/>
  <c r="GM50" i="1"/>
  <c r="GM75" i="1"/>
  <c r="AD87" i="1"/>
  <c r="Q87" i="1" s="1"/>
  <c r="GO243" i="1"/>
  <c r="T530" i="5"/>
  <c r="GM43" i="1"/>
  <c r="GM68" i="1"/>
  <c r="CZ180" i="1"/>
  <c r="Y180" i="1" s="1"/>
  <c r="V415" i="5" s="1"/>
  <c r="K413" i="5" s="1"/>
  <c r="CY180" i="1"/>
  <c r="X180" i="1" s="1"/>
  <c r="T415" i="5" s="1"/>
  <c r="K412" i="5" s="1"/>
  <c r="CP77" i="1"/>
  <c r="O77" i="1" s="1"/>
  <c r="K224" i="5"/>
  <c r="J232" i="5" s="1"/>
  <c r="P232" i="5" s="1"/>
  <c r="GN71" i="1"/>
  <c r="V200" i="5"/>
  <c r="K206" i="5" s="1"/>
  <c r="G378" i="5"/>
  <c r="O378" i="5" s="1"/>
  <c r="G531" i="5"/>
  <c r="O531" i="5" s="1"/>
  <c r="G15" i="5"/>
  <c r="K281" i="5"/>
  <c r="CP176" i="1"/>
  <c r="O176" i="1" s="1"/>
  <c r="K396" i="5" s="1"/>
  <c r="K419" i="5"/>
  <c r="J426" i="5" s="1"/>
  <c r="P426" i="5" s="1"/>
  <c r="CP181" i="1"/>
  <c r="O181" i="1" s="1"/>
  <c r="K269" i="5"/>
  <c r="J274" i="5" s="1"/>
  <c r="P274" i="5" s="1"/>
  <c r="CP120" i="1"/>
  <c r="O120" i="1" s="1"/>
  <c r="J190" i="5"/>
  <c r="P190" i="5" s="1"/>
  <c r="G17" i="5"/>
  <c r="J494" i="5"/>
  <c r="P494" i="5" s="1"/>
  <c r="X539" i="5"/>
  <c r="AD250" i="1"/>
  <c r="F105" i="1"/>
  <c r="AL237" i="1"/>
  <c r="X250" i="1"/>
  <c r="AL162" i="1"/>
  <c r="AF26" i="1"/>
  <c r="S87" i="1"/>
  <c r="AQ22" i="1"/>
  <c r="F289" i="1"/>
  <c r="AQ311" i="1"/>
  <c r="AJ26" i="1"/>
  <c r="CI237" i="1"/>
  <c r="AZ250" i="1"/>
  <c r="F270" i="1"/>
  <c r="BA237" i="1"/>
  <c r="GO172" i="1"/>
  <c r="GM172" i="1"/>
  <c r="GM66" i="1"/>
  <c r="GN66" i="1"/>
  <c r="AF237" i="1"/>
  <c r="S250" i="1"/>
  <c r="AC162" i="1"/>
  <c r="CH203" i="1"/>
  <c r="P203" i="1"/>
  <c r="CE203" i="1"/>
  <c r="CF203" i="1"/>
  <c r="CB203" i="1"/>
  <c r="GM189" i="1"/>
  <c r="GO189" i="1"/>
  <c r="V162" i="1"/>
  <c r="F226" i="1"/>
  <c r="U162" i="1"/>
  <c r="F225" i="1"/>
  <c r="U118" i="1"/>
  <c r="F153" i="1"/>
  <c r="AD26" i="1"/>
  <c r="AX118" i="1"/>
  <c r="F138" i="1"/>
  <c r="GM247" i="1"/>
  <c r="GO247" i="1"/>
  <c r="T237" i="1"/>
  <c r="F271" i="1"/>
  <c r="GM165" i="1"/>
  <c r="GO165" i="1"/>
  <c r="GN124" i="1"/>
  <c r="GM124" i="1"/>
  <c r="AF118" i="1"/>
  <c r="S131" i="1"/>
  <c r="GM128" i="1"/>
  <c r="GN128" i="1"/>
  <c r="GM171" i="1"/>
  <c r="GO171" i="1"/>
  <c r="CI162" i="1"/>
  <c r="AZ203" i="1"/>
  <c r="AZ279" i="1" s="1"/>
  <c r="CG162" i="1"/>
  <c r="AX203" i="1"/>
  <c r="AC118" i="1"/>
  <c r="P131" i="1"/>
  <c r="CF131" i="1"/>
  <c r="CH131" i="1"/>
  <c r="CE131" i="1"/>
  <c r="BC22" i="1"/>
  <c r="F295" i="1"/>
  <c r="BC311" i="1"/>
  <c r="AC237" i="1"/>
  <c r="P250" i="1"/>
  <c r="CF250" i="1"/>
  <c r="CE250" i="1"/>
  <c r="CH250" i="1"/>
  <c r="BA162" i="1"/>
  <c r="F223" i="1"/>
  <c r="AE162" i="1"/>
  <c r="R203" i="1"/>
  <c r="CP121" i="1"/>
  <c r="O121" i="1" s="1"/>
  <c r="AD131" i="1"/>
  <c r="GN31" i="1"/>
  <c r="GM31" i="1"/>
  <c r="W118" i="1"/>
  <c r="F155" i="1"/>
  <c r="W237" i="1"/>
  <c r="F274" i="1"/>
  <c r="GM197" i="1"/>
  <c r="AF162" i="1"/>
  <c r="S203" i="1"/>
  <c r="T162" i="1"/>
  <c r="F224" i="1"/>
  <c r="AK118" i="1"/>
  <c r="X131" i="1"/>
  <c r="AZ118" i="1"/>
  <c r="F142" i="1"/>
  <c r="AO22" i="1"/>
  <c r="AO311" i="1"/>
  <c r="F283" i="1"/>
  <c r="AL118" i="1"/>
  <c r="Y131" i="1"/>
  <c r="BA118" i="1"/>
  <c r="F151" i="1"/>
  <c r="AZ26" i="1"/>
  <c r="F98" i="1"/>
  <c r="R250" i="1"/>
  <c r="AE237" i="1"/>
  <c r="GM123" i="1"/>
  <c r="GN123" i="1"/>
  <c r="V26" i="1"/>
  <c r="F110" i="1"/>
  <c r="V279" i="1"/>
  <c r="AX237" i="1"/>
  <c r="F257" i="1"/>
  <c r="AS237" i="1"/>
  <c r="F267" i="1"/>
  <c r="AH26" i="1"/>
  <c r="U87" i="1"/>
  <c r="GM241" i="1"/>
  <c r="GO241" i="1"/>
  <c r="AQ162" i="1"/>
  <c r="F213" i="1"/>
  <c r="BA26" i="1"/>
  <c r="F107" i="1"/>
  <c r="BA279" i="1"/>
  <c r="GM245" i="1"/>
  <c r="GO245" i="1"/>
  <c r="AE118" i="1"/>
  <c r="R131" i="1"/>
  <c r="CY82" i="1"/>
  <c r="X82" i="1" s="1"/>
  <c r="CZ82" i="1"/>
  <c r="Y82" i="1" s="1"/>
  <c r="GN74" i="1"/>
  <c r="AG26" i="1"/>
  <c r="T87" i="1"/>
  <c r="W162" i="1"/>
  <c r="F227" i="1"/>
  <c r="GO174" i="1"/>
  <c r="U237" i="1"/>
  <c r="F272" i="1"/>
  <c r="GO242" i="1"/>
  <c r="AU203" i="1"/>
  <c r="AP237" i="1"/>
  <c r="F259" i="1"/>
  <c r="GM240" i="1"/>
  <c r="GO240" i="1"/>
  <c r="AD162" i="1"/>
  <c r="Q203" i="1"/>
  <c r="GM54" i="1"/>
  <c r="GN54" i="1"/>
  <c r="V237" i="1"/>
  <c r="F273" i="1"/>
  <c r="AP279" i="1"/>
  <c r="BB22" i="1"/>
  <c r="BB311" i="1"/>
  <c r="F292" i="1"/>
  <c r="AC87" i="1"/>
  <c r="G313" i="5" l="1"/>
  <c r="J285" i="5"/>
  <c r="P285" i="5" s="1"/>
  <c r="J416" i="5"/>
  <c r="P416" i="5" s="1"/>
  <c r="J149" i="5"/>
  <c r="P149" i="5" s="1"/>
  <c r="J295" i="5"/>
  <c r="P295" i="5" s="1"/>
  <c r="G13" i="5"/>
  <c r="G12" i="5"/>
  <c r="J482" i="5"/>
  <c r="P482" i="5" s="1"/>
  <c r="J472" i="5"/>
  <c r="P472" i="5" s="1"/>
  <c r="G559" i="5"/>
  <c r="G265" i="5"/>
  <c r="J108" i="5"/>
  <c r="P108" i="5" s="1"/>
  <c r="G11" i="5"/>
  <c r="K382" i="5"/>
  <c r="J386" i="5" s="1"/>
  <c r="P386" i="5" s="1"/>
  <c r="GN120" i="1"/>
  <c r="GM120" i="1"/>
  <c r="GN77" i="1"/>
  <c r="GM77" i="1"/>
  <c r="K527" i="5"/>
  <c r="J531" i="5" s="1"/>
  <c r="P531" i="5" s="1"/>
  <c r="J558" i="5" s="1"/>
  <c r="J378" i="5"/>
  <c r="P378" i="5" s="1"/>
  <c r="AD237" i="1"/>
  <c r="Q250" i="1"/>
  <c r="GM168" i="1"/>
  <c r="GO168" i="1"/>
  <c r="GO188" i="1"/>
  <c r="GM188" i="1"/>
  <c r="GN82" i="1"/>
  <c r="CB87" i="1" s="1"/>
  <c r="CB26" i="1" s="1"/>
  <c r="T252" i="5"/>
  <c r="K249" i="5" s="1"/>
  <c r="R87" i="1"/>
  <c r="GN42" i="1"/>
  <c r="GM42" i="1"/>
  <c r="GO183" i="1"/>
  <c r="GM183" i="1"/>
  <c r="AB87" i="1"/>
  <c r="GO176" i="1"/>
  <c r="T96" i="5"/>
  <c r="K93" i="5" s="1"/>
  <c r="J97" i="5" s="1"/>
  <c r="P97" i="5" s="1"/>
  <c r="GN38" i="1"/>
  <c r="GM38" i="1"/>
  <c r="GO246" i="1"/>
  <c r="CC250" i="1" s="1"/>
  <c r="GM246" i="1"/>
  <c r="CA250" i="1" s="1"/>
  <c r="GN39" i="1"/>
  <c r="GM39" i="1"/>
  <c r="GN47" i="1"/>
  <c r="GM47" i="1"/>
  <c r="AB250" i="1"/>
  <c r="AK203" i="1"/>
  <c r="GO180" i="1"/>
  <c r="AL87" i="1"/>
  <c r="V252" i="5"/>
  <c r="K250" i="5" s="1"/>
  <c r="AB203" i="1"/>
  <c r="AB162" i="1" s="1"/>
  <c r="GO181" i="1"/>
  <c r="GM181" i="1"/>
  <c r="J397" i="5"/>
  <c r="P397" i="5" s="1"/>
  <c r="J170" i="5"/>
  <c r="P170" i="5" s="1"/>
  <c r="G507" i="5"/>
  <c r="J210" i="5"/>
  <c r="P210" i="5" s="1"/>
  <c r="GM126" i="1"/>
  <c r="GN126" i="1"/>
  <c r="J221" i="5"/>
  <c r="P221" i="5" s="1"/>
  <c r="GN67" i="1"/>
  <c r="G558" i="5"/>
  <c r="GM180" i="1"/>
  <c r="CA203" i="1" s="1"/>
  <c r="AL26" i="1"/>
  <c r="Y87" i="1"/>
  <c r="AZ22" i="1"/>
  <c r="F290" i="1"/>
  <c r="AZ311" i="1"/>
  <c r="GM82" i="1"/>
  <c r="R26" i="1"/>
  <c r="F101" i="1"/>
  <c r="R279" i="1"/>
  <c r="BA22" i="1"/>
  <c r="BA311" i="1"/>
  <c r="F299" i="1"/>
  <c r="R237" i="1"/>
  <c r="F264" i="1"/>
  <c r="CE237" i="1"/>
  <c r="AV250" i="1"/>
  <c r="BC18" i="1"/>
  <c r="F327" i="1"/>
  <c r="R118" i="1"/>
  <c r="F145" i="1"/>
  <c r="AO18" i="1"/>
  <c r="F315" i="1"/>
  <c r="X118" i="1"/>
  <c r="F156" i="1"/>
  <c r="S162" i="1"/>
  <c r="F218" i="1"/>
  <c r="GM121" i="1"/>
  <c r="CA131" i="1" s="1"/>
  <c r="GN121" i="1"/>
  <c r="CB131" i="1" s="1"/>
  <c r="AB131" i="1"/>
  <c r="CF237" i="1"/>
  <c r="AW250" i="1"/>
  <c r="CF118" i="1"/>
  <c r="AW131" i="1"/>
  <c r="AX162" i="1"/>
  <c r="F210" i="1"/>
  <c r="CB162" i="1"/>
  <c r="AS203" i="1"/>
  <c r="CH162" i="1"/>
  <c r="AY203" i="1"/>
  <c r="AQ18" i="1"/>
  <c r="F321" i="1"/>
  <c r="S26" i="1"/>
  <c r="F102" i="1"/>
  <c r="S279" i="1"/>
  <c r="Y162" i="1"/>
  <c r="F229" i="1"/>
  <c r="AC26" i="1"/>
  <c r="CE87" i="1"/>
  <c r="P87" i="1"/>
  <c r="CF87" i="1"/>
  <c r="CH87" i="1"/>
  <c r="AP22" i="1"/>
  <c r="F288" i="1"/>
  <c r="AP311" i="1"/>
  <c r="O203" i="1"/>
  <c r="Y118" i="1"/>
  <c r="F157" i="1"/>
  <c r="AX279" i="1"/>
  <c r="P237" i="1"/>
  <c r="F253" i="1"/>
  <c r="P118" i="1"/>
  <c r="F134" i="1"/>
  <c r="CF162" i="1"/>
  <c r="AW203" i="1"/>
  <c r="Y237" i="1"/>
  <c r="F276" i="1"/>
  <c r="R162" i="1"/>
  <c r="F217" i="1"/>
  <c r="CH237" i="1"/>
  <c r="AY250" i="1"/>
  <c r="CE118" i="1"/>
  <c r="AV131" i="1"/>
  <c r="AZ162" i="1"/>
  <c r="F214" i="1"/>
  <c r="S118" i="1"/>
  <c r="F146" i="1"/>
  <c r="CC203" i="1"/>
  <c r="Q26" i="1"/>
  <c r="F99" i="1"/>
  <c r="CE162" i="1"/>
  <c r="AV203" i="1"/>
  <c r="S237" i="1"/>
  <c r="F265" i="1"/>
  <c r="AZ237" i="1"/>
  <c r="F261" i="1"/>
  <c r="W26" i="1"/>
  <c r="F111" i="1"/>
  <c r="W279" i="1"/>
  <c r="X237" i="1"/>
  <c r="F275" i="1"/>
  <c r="V22" i="1"/>
  <c r="F302" i="1"/>
  <c r="V311" i="1"/>
  <c r="P162" i="1"/>
  <c r="F206" i="1"/>
  <c r="AK87" i="1"/>
  <c r="Q162" i="1"/>
  <c r="F215" i="1"/>
  <c r="AU162" i="1"/>
  <c r="F222" i="1"/>
  <c r="AU279" i="1"/>
  <c r="T26" i="1"/>
  <c r="F108" i="1"/>
  <c r="T279" i="1"/>
  <c r="U26" i="1"/>
  <c r="F109" i="1"/>
  <c r="U279" i="1"/>
  <c r="BB18" i="1"/>
  <c r="F324" i="1"/>
  <c r="AD118" i="1"/>
  <c r="Q131" i="1"/>
  <c r="Q279" i="1" s="1"/>
  <c r="CH118" i="1"/>
  <c r="AY131" i="1"/>
  <c r="J313" i="5" l="1"/>
  <c r="J507" i="5"/>
  <c r="AR250" i="1"/>
  <c r="CA237" i="1"/>
  <c r="CC237" i="1"/>
  <c r="AT250" i="1"/>
  <c r="AR203" i="1"/>
  <c r="CA162" i="1"/>
  <c r="AS87" i="1"/>
  <c r="X203" i="1"/>
  <c r="AK162" i="1"/>
  <c r="AB26" i="1"/>
  <c r="O87" i="1"/>
  <c r="CA87" i="1"/>
  <c r="AR87" i="1" s="1"/>
  <c r="AB237" i="1"/>
  <c r="O250" i="1"/>
  <c r="J253" i="5"/>
  <c r="P253" i="5" s="1"/>
  <c r="J265" i="5" s="1"/>
  <c r="F262" i="1"/>
  <c r="Q237" i="1"/>
  <c r="G16" i="2"/>
  <c r="G18" i="2" s="1"/>
  <c r="I14" i="5"/>
  <c r="AK26" i="1"/>
  <c r="X87" i="1"/>
  <c r="AY118" i="1"/>
  <c r="F139" i="1"/>
  <c r="AU22" i="1"/>
  <c r="F298" i="1"/>
  <c r="AU311" i="1"/>
  <c r="O162" i="1"/>
  <c r="F205" i="1"/>
  <c r="CE26" i="1"/>
  <c r="AV87" i="1"/>
  <c r="S22" i="1"/>
  <c r="F294" i="1"/>
  <c r="S311" i="1"/>
  <c r="CA26" i="1"/>
  <c r="AT237" i="1"/>
  <c r="F268" i="1"/>
  <c r="T22" i="1"/>
  <c r="F300" i="1"/>
  <c r="T311" i="1"/>
  <c r="AV162" i="1"/>
  <c r="F208" i="1"/>
  <c r="AY237" i="1"/>
  <c r="F258" i="1"/>
  <c r="AX22" i="1"/>
  <c r="F286" i="1"/>
  <c r="AX311" i="1"/>
  <c r="CH26" i="1"/>
  <c r="AY87" i="1"/>
  <c r="AS162" i="1"/>
  <c r="F220" i="1"/>
  <c r="AW118" i="1"/>
  <c r="F137" i="1"/>
  <c r="AB118" i="1"/>
  <c r="O131" i="1"/>
  <c r="R22" i="1"/>
  <c r="F293" i="1"/>
  <c r="R311" i="1"/>
  <c r="AR162" i="1"/>
  <c r="F230" i="1"/>
  <c r="F231" i="1" s="1"/>
  <c r="AR237" i="1"/>
  <c r="F277" i="1"/>
  <c r="Q118" i="1"/>
  <c r="F143" i="1"/>
  <c r="U22" i="1"/>
  <c r="F301" i="1"/>
  <c r="I16" i="5" s="1"/>
  <c r="G16" i="5" s="1"/>
  <c r="U311" i="1"/>
  <c r="V18" i="1"/>
  <c r="F334" i="1"/>
  <c r="W22" i="1"/>
  <c r="W311" i="1"/>
  <c r="F303" i="1"/>
  <c r="CC162" i="1"/>
  <c r="AT203" i="1"/>
  <c r="AP18" i="1"/>
  <c r="F320" i="1"/>
  <c r="CF26" i="1"/>
  <c r="AW87" i="1"/>
  <c r="CB118" i="1"/>
  <c r="AS131" i="1"/>
  <c r="AV237" i="1"/>
  <c r="F255" i="1"/>
  <c r="Y26" i="1"/>
  <c r="F113" i="1"/>
  <c r="Y279" i="1"/>
  <c r="CA118" i="1"/>
  <c r="AR131" i="1"/>
  <c r="BA18" i="1"/>
  <c r="F331" i="1"/>
  <c r="AS26" i="1"/>
  <c r="F104" i="1"/>
  <c r="AS279" i="1"/>
  <c r="AZ18" i="1"/>
  <c r="F322" i="1"/>
  <c r="AV118" i="1"/>
  <c r="F136" i="1"/>
  <c r="P26" i="1"/>
  <c r="F90" i="1"/>
  <c r="P279" i="1"/>
  <c r="AW237" i="1"/>
  <c r="F256" i="1"/>
  <c r="Q22" i="1"/>
  <c r="Q311" i="1"/>
  <c r="F291" i="1"/>
  <c r="AW162" i="1"/>
  <c r="F209" i="1"/>
  <c r="AY162" i="1"/>
  <c r="F211" i="1"/>
  <c r="J559" i="5" l="1"/>
  <c r="O237" i="1"/>
  <c r="F252" i="1"/>
  <c r="F228" i="1"/>
  <c r="X162" i="1"/>
  <c r="O26" i="1"/>
  <c r="F89" i="1"/>
  <c r="J16" i="2"/>
  <c r="J18" i="2" s="1"/>
  <c r="I17" i="5"/>
  <c r="H16" i="2"/>
  <c r="H18" i="2" s="1"/>
  <c r="I15" i="5"/>
  <c r="AW26" i="1"/>
  <c r="F93" i="1"/>
  <c r="AW279" i="1"/>
  <c r="AT162" i="1"/>
  <c r="F221" i="1"/>
  <c r="AT279" i="1"/>
  <c r="R18" i="1"/>
  <c r="F325" i="1"/>
  <c r="AV26" i="1"/>
  <c r="F92" i="1"/>
  <c r="AV279" i="1"/>
  <c r="AU18" i="1"/>
  <c r="F330" i="1"/>
  <c r="Y22" i="1"/>
  <c r="F305" i="1"/>
  <c r="Y311" i="1"/>
  <c r="AY26" i="1"/>
  <c r="F95" i="1"/>
  <c r="AY279" i="1"/>
  <c r="S18" i="1"/>
  <c r="F326" i="1"/>
  <c r="X26" i="1"/>
  <c r="F112" i="1"/>
  <c r="X279" i="1"/>
  <c r="AS22" i="1"/>
  <c r="F296" i="1"/>
  <c r="AS311" i="1"/>
  <c r="AS118" i="1"/>
  <c r="F148" i="1"/>
  <c r="F232" i="1"/>
  <c r="F233" i="1" s="1"/>
  <c r="T18" i="1"/>
  <c r="F332" i="1"/>
  <c r="Q18" i="1"/>
  <c r="F323" i="1"/>
  <c r="P22" i="1"/>
  <c r="F282" i="1"/>
  <c r="P311" i="1"/>
  <c r="AR118" i="1"/>
  <c r="F158" i="1"/>
  <c r="W18" i="1"/>
  <c r="F335" i="1"/>
  <c r="U18" i="1"/>
  <c r="F333" i="1"/>
  <c r="O118" i="1"/>
  <c r="F133" i="1"/>
  <c r="O279" i="1"/>
  <c r="AX18" i="1"/>
  <c r="F318" i="1"/>
  <c r="AR26" i="1"/>
  <c r="F114" i="1"/>
  <c r="AR279" i="1"/>
  <c r="E16" i="2" l="1"/>
  <c r="E18" i="2" s="1"/>
  <c r="I12" i="5"/>
  <c r="O22" i="1"/>
  <c r="F281" i="1"/>
  <c r="O311" i="1"/>
  <c r="AS18" i="1"/>
  <c r="F328" i="1"/>
  <c r="AY22" i="1"/>
  <c r="F287" i="1"/>
  <c r="AY311" i="1"/>
  <c r="AV22" i="1"/>
  <c r="AV311" i="1"/>
  <c r="F284" i="1"/>
  <c r="AW22" i="1"/>
  <c r="F285" i="1"/>
  <c r="AW311" i="1"/>
  <c r="P18" i="1"/>
  <c r="F314" i="1"/>
  <c r="AT22" i="1"/>
  <c r="F297" i="1"/>
  <c r="AT311" i="1"/>
  <c r="AR22" i="1"/>
  <c r="F306" i="1"/>
  <c r="F307" i="1" s="1"/>
  <c r="J560" i="5" s="1"/>
  <c r="AR311" i="1"/>
  <c r="X22" i="1"/>
  <c r="F304" i="1"/>
  <c r="X311" i="1"/>
  <c r="Y18" i="1"/>
  <c r="F337" i="1"/>
  <c r="F16" i="2" l="1"/>
  <c r="F18" i="2" s="1"/>
  <c r="I13" i="5"/>
  <c r="X18" i="1"/>
  <c r="F336" i="1"/>
  <c r="F308" i="1"/>
  <c r="J561" i="5" s="1"/>
  <c r="O18" i="1"/>
  <c r="F313" i="1"/>
  <c r="AW18" i="1"/>
  <c r="F317" i="1"/>
  <c r="AV18" i="1"/>
  <c r="F316" i="1"/>
  <c r="AT18" i="1"/>
  <c r="F329" i="1"/>
  <c r="AR18" i="1"/>
  <c r="F338" i="1"/>
  <c r="AY18" i="1"/>
  <c r="F319" i="1"/>
  <c r="F309" i="1" l="1"/>
  <c r="I16" i="2"/>
  <c r="I18" i="2" s="1"/>
  <c r="J562" i="5" l="1"/>
  <c r="I11" i="5"/>
</calcChain>
</file>

<file path=xl/sharedStrings.xml><?xml version="1.0" encoding="utf-8"?>
<sst xmlns="http://schemas.openxmlformats.org/spreadsheetml/2006/main" count="10283" uniqueCount="1010">
  <si>
    <t>Smeta.RU  (495) 974-1589</t>
  </si>
  <si>
    <t>_PS_</t>
  </si>
  <si>
    <t>Smeta.RU</t>
  </si>
  <si>
    <t/>
  </si>
  <si>
    <t>Новый объект_(Копия)_(Копия)</t>
  </si>
  <si>
    <t>на капитальный ремонт помещений  учебных аудиторий 2-го этажа Корпуса К НИЯУ МИФИ по адресу: г.Москва,Каширское шоссе,д.31,стр.46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</si>
  <si>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</si>
  <si>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</si>
  <si>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</si>
  <si>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</si>
  <si>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</si>
  <si>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</si>
  <si>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</si>
  <si>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</si>
  <si>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</si>
  <si>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46-04-012-03</t>
  </si>
  <si>
    <t>Разборка деревянных заполнений проемов дверных и воротных (отбивка штукатурки откосов 24,86м2 входит в состав работ)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</si>
  <si>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</si>
  <si>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</si>
  <si>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</si>
  <si>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</si>
  <si>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</si>
  <si>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</si>
  <si>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</si>
  <si>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</si>
  <si>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</si>
  <si>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</si>
  <si>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</si>
  <si>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</si>
  <si>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</si>
  <si>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</si>
  <si>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</si>
  <si>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3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</si>
  <si>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</si>
  <si>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</si>
  <si>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</si>
  <si>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4</t>
  </si>
  <si>
    <t>65-33-1</t>
  </si>
  <si>
    <t>Смена жалюзийных решеток</t>
  </si>
  <si>
    <t>100 ШТ</t>
  </si>
  <si>
    <t>ФЕР-2001, 65-33-1, приказ Минстроя России №1039/пр от 30.12.2016г.</t>
  </si>
  <si>
    <t>Внтуренниие с/техработы: смена труб</t>
  </si>
  <si>
    <t>рФЕР-65</t>
  </si>
  <si>
    <t>4,1</t>
  </si>
  <si>
    <t>19.2.03.07-0028</t>
  </si>
  <si>
    <t>Решетки пластиковые вентиляционные прим.(согласно тех.заданию)</t>
  </si>
  <si>
    <t>шт.</t>
  </si>
  <si>
    <t>ФССЦ-2001, 19.2.03.07-0028, приказ Минстроя России №1039/пр от 30.12.2016г.</t>
  </si>
  <si>
    <t>5</t>
  </si>
  <si>
    <t>46-02-009-02</t>
  </si>
  <si>
    <t>Отбивка штукатурки с поверхностей стен</t>
  </si>
  <si>
    <t>ФЕР-2001, 46-02-009-02, приказ Минстроя России №1039/пр от 30.12.2016г.</t>
  </si>
  <si>
    <t>6</t>
  </si>
  <si>
    <t>15-01-049-04 прим</t>
  </si>
  <si>
    <t>Демонтаж школьной доски: Облицовка стен по готовому каркасу щитами-картинами из древесностружечных плит фанерованных шпоном</t>
  </si>
  <si>
    <t>ФЕР-2001, 15-01-049-04,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</si>
  <si>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</si>
  <si>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</si>
  <si>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</si>
  <si>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Отделочные работы</t>
  </si>
  <si>
    <t>ФЕР-15</t>
  </si>
  <si>
    <t>Поправка: Табл.2, п.2</t>
  </si>
  <si>
    <t>7</t>
  </si>
  <si>
    <t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t>
  </si>
  <si>
    <t>8</t>
  </si>
  <si>
    <t>17-01-002-04 прим.</t>
  </si>
  <si>
    <t>Демонтаж :Установка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</si>
  <si>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</si>
  <si>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</si>
  <si>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</si>
  <si>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</si>
  <si>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Водопровод и канализация - внутренние устройства</t>
  </si>
  <si>
    <t>ФЕР-17</t>
  </si>
  <si>
    <t>Поправка: МДС 81-36.2004, п.3.3.1.в</t>
  </si>
  <si>
    <t>9</t>
  </si>
  <si>
    <t>Установка гарнитуры туалетной: вешалок, подстаканников, поручней для ванн и т.д.</t>
  </si>
  <si>
    <t>9,1</t>
  </si>
  <si>
    <t>18.2.06.03-0001</t>
  </si>
  <si>
    <t>Вешалки-крючки однорожковые В-К стальные с гальванопокрытием  20 крючков прим.</t>
  </si>
  <si>
    <t>ФССЦ-2001, 18.2.06.03-0001, приказ Минстроя России №1039/пр от 30.12.2016г.</t>
  </si>
  <si>
    <t>10</t>
  </si>
  <si>
    <t>09-04-012-01</t>
  </si>
  <si>
    <t>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</si>
  <si>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</si>
  <si>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</si>
  <si>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)*1,25</t>
  </si>
  <si>
    <t>)*1,15</t>
  </si>
  <si>
    <t>Металлические конструкции</t>
  </si>
  <si>
    <t>ФЕР-09</t>
  </si>
  <si>
    <t>Поправка: МДС 81-35.2004, п.4.7</t>
  </si>
  <si>
    <t>10,1</t>
  </si>
  <si>
    <t>07.1.01.01-0020</t>
  </si>
  <si>
    <t>Дверь противопожарная металлическая однопольная ДПМ-01/60, размером 1000х2400 мм прим.</t>
  </si>
  <si>
    <t>ФССЦ-2001, 07.1.01.01-0020, приказ Минстроя России №1039/пр от 30.12.2016г.</t>
  </si>
  <si>
    <t>10,2</t>
  </si>
  <si>
    <t>07.1.01.01-0008</t>
  </si>
  <si>
    <t>Дверь противопожарная металлическая двупольная ДПМ-02/60, размером 1500х2400 мм в комплекте прим.</t>
  </si>
  <si>
    <t>ФССЦ-2001, 07.1.01.01-0008, приказ Минстроя России №1039/пр от 30.12.2016г.</t>
  </si>
  <si>
    <t>11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</si>
  <si>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</si>
  <si>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</si>
  <si>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</si>
  <si>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</si>
  <si>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11,1</t>
  </si>
  <si>
    <t>04.3.01.09</t>
  </si>
  <si>
    <t>Раствор готовый кладочный тяжелый цементный</t>
  </si>
  <si>
    <t>м3</t>
  </si>
  <si>
    <t>11,2</t>
  </si>
  <si>
    <t>04.3.02.13-0103</t>
  </si>
  <si>
    <t>Смесь сухая  цементно-песчаная "БИРСС 11" (марка М150), бездобавочная</t>
  </si>
  <si>
    <t>т</t>
  </si>
  <si>
    <t>ФССЦ-2001, 04.3.02.13-0103, приказ Минстроя России №1039/пр от 30.12.2016г.</t>
  </si>
  <si>
    <t>12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</si>
  <si>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</si>
  <si>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</si>
  <si>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</si>
  <si>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ФЕР-11</t>
  </si>
  <si>
    <t>13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</si>
  <si>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</si>
  <si>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</si>
  <si>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</si>
  <si>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</si>
  <si>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)*1,25*5</t>
  </si>
  <si>
    <t>)*1,15*5</t>
  </si>
  <si>
    <t>14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</si>
  <si>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</si>
  <si>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</si>
  <si>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</si>
  <si>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14,1</t>
  </si>
  <si>
    <t>01.6.03.04</t>
  </si>
  <si>
    <t>Линолеум на теплозвукоизолирующей подоснове</t>
  </si>
  <si>
    <t>14,2</t>
  </si>
  <si>
    <t>01.6.03.04-0101</t>
  </si>
  <si>
    <t>Линолеум коммерческий гетерогенный "ТАРКЕТТ TRAVERTINE" (толщина 2 мм, толщина защитного слоя 0,5 мм, класс 33/41, пож. безопасность Г1, В2, РП1, Д2, Т2)</t>
  </si>
  <si>
    <t>ФССЦ-2001, 01.6.03.04-0101, приказ Минстроя России №1039/пр от 30.12.2016г.</t>
  </si>
  <si>
    <t>14,3</t>
  </si>
  <si>
    <t>14.1.06.05</t>
  </si>
  <si>
    <t>Состав клеящий</t>
  </si>
  <si>
    <t>кг</t>
  </si>
  <si>
    <t>14,4</t>
  </si>
  <si>
    <t>14.1.02.03-0002</t>
  </si>
  <si>
    <t>Клей ПВА</t>
  </si>
  <si>
    <t>ФССЦ-2001, 14.1.02.03-0002, приказ Минстроя России №1039/пр от 30.12.2016г.</t>
  </si>
  <si>
    <t>15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</si>
  <si>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</si>
  <si>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</si>
  <si>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</si>
  <si>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15,1</t>
  </si>
  <si>
    <t>11.3.03.06</t>
  </si>
  <si>
    <t>Плинтуса для полов пластиковые</t>
  </si>
  <si>
    <t>м</t>
  </si>
  <si>
    <t>15,2</t>
  </si>
  <si>
    <t>11.3.03.06-0001</t>
  </si>
  <si>
    <t>Плинтуса для полов пластиковые, KronPlast Premium19х48 мм</t>
  </si>
  <si>
    <t>ФССЦ-2001, 11.3.03.06-0001, приказ Минстроя России №1039/пр от 30.12.2016г.</t>
  </si>
  <si>
    <t>15,3</t>
  </si>
  <si>
    <t>11.3.03.14</t>
  </si>
  <si>
    <t>Уголок наружный для пластикового плинтуса</t>
  </si>
  <si>
    <t>15,4</t>
  </si>
  <si>
    <t>11.3.03.14-0011</t>
  </si>
  <si>
    <t>Заглушки торцевая для пластикового плинтуса правая, высота 48 мм</t>
  </si>
  <si>
    <t>100 шт.</t>
  </si>
  <si>
    <t>ФССЦ-2001, 11.3.03.14-0011, приказ Минстроя России №1039/пр от 30.12.2016г.</t>
  </si>
  <si>
    <t>15,5</t>
  </si>
  <si>
    <t>11.3.03.14-0001</t>
  </si>
  <si>
    <t>Заглушка торцевая для пластикового плинтуса левая, высота 48 мм</t>
  </si>
  <si>
    <t>ФССЦ-2001, 11.3.03.14-0001, приказ Минстроя России №1039/пр от 30.12.2016г.</t>
  </si>
  <si>
    <t>15,6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</si>
  <si>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</si>
  <si>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</si>
  <si>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</si>
  <si>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15,7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</si>
  <si>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</si>
  <si>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</si>
  <si>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</si>
  <si>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15,8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</si>
  <si>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</si>
  <si>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</si>
  <si>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</si>
  <si>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15,9</t>
  </si>
  <si>
    <t>Уголок внутренний для пластикового плинтуса</t>
  </si>
  <si>
    <t>15,10</t>
  </si>
  <si>
    <t>Соединитель для пластикового плинтуса</t>
  </si>
  <si>
    <t>15,11</t>
  </si>
  <si>
    <t>Заглушка торцевая для пластикового плинтуса левая</t>
  </si>
  <si>
    <t>15,12</t>
  </si>
  <si>
    <t>Заглушка торцевая для пластикового плинтуса правая</t>
  </si>
  <si>
    <t>16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</si>
  <si>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</si>
  <si>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</si>
  <si>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</si>
  <si>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16,1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</si>
  <si>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</si>
  <si>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до 1,8 м</t>
  </si>
  <si>
    <t>ФССЦ-2001, 09.2.03.02-0002, приказ Минстроя России №1039/пр от 30.12.2016г.</t>
  </si>
  <si>
    <t>16,2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</si>
  <si>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</si>
  <si>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</si>
  <si>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</si>
  <si>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16,3</t>
  </si>
  <si>
    <t>09.2.03.02</t>
  </si>
  <si>
    <t>Профили стыкоперекрывающие из алюминиевых сплавов (порожки) с покрытием</t>
  </si>
  <si>
    <t>17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</si>
  <si>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</si>
  <si>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</si>
  <si>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</si>
  <si>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18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</si>
  <si>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</si>
  <si>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</si>
  <si>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</si>
  <si>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19</t>
  </si>
  <si>
    <t>61-1-2</t>
  </si>
  <si>
    <t>Сплошное выравнивание штукатурки стен цементно-известковым раствором при толщине намета до 10 мм</t>
  </si>
  <si>
    <t>ФЕР-2001, 61-1-2, приказ Минстроя России №1039/пр от 30.12.2016г.</t>
  </si>
  <si>
    <t>Штукатрурные работы</t>
  </si>
  <si>
    <t>рФЕР-61</t>
  </si>
  <si>
    <t>19,1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</si>
  <si>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</si>
  <si>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</si>
  <si>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</si>
  <si>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19,2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</si>
  <si>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</si>
  <si>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</si>
  <si>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</si>
  <si>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20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</si>
  <si>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</si>
  <si>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</si>
  <si>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</si>
  <si>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20,1</t>
  </si>
  <si>
    <t>14.4.01.21</t>
  </si>
  <si>
    <t>Грунтовка</t>
  </si>
  <si>
    <t>20,2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</si>
  <si>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</si>
  <si>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</si>
  <si>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</si>
  <si>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21</t>
  </si>
  <si>
    <t>15-04-005-03</t>
  </si>
  <si>
    <t>Окраска поливинилацетатными водоэмульсионными составами улучшенная по штукатурке стен  и дверных откосов</t>
  </si>
  <si>
    <t>ФЕР-2001, 15-04-005-03, приказ Минстроя России №1039/пр от 30.12.2016г.</t>
  </si>
  <si>
    <t>21,1</t>
  </si>
  <si>
    <t>14.3.02.01</t>
  </si>
  <si>
    <t>Краска водоэмульсионная</t>
  </si>
  <si>
    <t>21,2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</si>
  <si>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</si>
  <si>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</si>
  <si>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</si>
  <si>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22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</si>
  <si>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</si>
  <si>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</si>
  <si>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</si>
  <si>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23</t>
  </si>
  <si>
    <t>56-4-1</t>
  </si>
  <si>
    <t>Ремонт оконных коробок в каменных стенах при одном переплете</t>
  </si>
  <si>
    <t>ФЕРр-2001, 56-4-1, приказ Минстроя России №1039/пр от 30.12.2016г.</t>
  </si>
  <si>
    <t>Проемы</t>
  </si>
  <si>
    <t>рФЕР-56</t>
  </si>
  <si>
    <t>23,1</t>
  </si>
  <si>
    <t>01.7.07.07</t>
  </si>
  <si>
    <t>Строительный мусор</t>
  </si>
  <si>
    <t>24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</si>
  <si>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</si>
  <si>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</si>
  <si>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</si>
  <si>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</si>
  <si>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</si>
  <si>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25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</si>
  <si>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</si>
  <si>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</si>
  <si>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</si>
  <si>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</si>
  <si>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</si>
  <si>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</si>
  <si>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</si>
  <si>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26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</si>
  <si>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</si>
  <si>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</si>
  <si>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</si>
  <si>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</si>
  <si>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</si>
  <si>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</si>
  <si>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</si>
  <si>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</si>
  <si>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</si>
  <si>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</si>
  <si>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</si>
  <si>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</si>
  <si>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</si>
  <si>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</si>
  <si>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</si>
  <si>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</si>
  <si>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</si>
  <si>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</si>
  <si>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</si>
  <si>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</si>
  <si>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</si>
  <si>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</si>
  <si>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</si>
  <si>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</si>
  <si>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</si>
  <si>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</si>
  <si>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</si>
  <si>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</si>
  <si>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</si>
  <si>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</si>
  <si>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</si>
  <si>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</si>
  <si>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</si>
  <si>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</si>
  <si>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</si>
  <si>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</si>
  <si>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</si>
  <si>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</si>
  <si>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</si>
  <si>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</si>
  <si>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</si>
  <si>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</si>
  <si>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</si>
  <si>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</si>
  <si>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</si>
  <si>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</si>
  <si>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</si>
  <si>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</si>
  <si>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</si>
  <si>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</si>
  <si>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</si>
  <si>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</si>
  <si>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</si>
  <si>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</si>
  <si>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</si>
  <si>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</si>
  <si>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</si>
  <si>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</si>
  <si>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Отопление</t>
  </si>
  <si>
    <t>27</t>
  </si>
  <si>
    <t>65-19-1</t>
  </si>
  <si>
    <t>Демонтаж радиаторов весом до 80 кг</t>
  </si>
  <si>
    <t>ФЕР-2001, 65-19-1, приказ Минстроя России №1039/пр от 30.12.2016г.</t>
  </si>
  <si>
    <t>Внтуренниие с/техработы:  демонтаж, разборка, промывка</t>
  </si>
  <si>
    <t>28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</si>
  <si>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</si>
  <si>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</si>
  <si>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</si>
  <si>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</si>
  <si>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</si>
  <si>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</si>
  <si>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28,1</t>
  </si>
  <si>
    <t>18.5.10.05-0009</t>
  </si>
  <si>
    <t>Радиаторы биметаллические, марка «Rifar-A 500», количество секций 12, мощность 2304 Вт прим.</t>
  </si>
  <si>
    <t>ФССЦ-2001, 18.5.10.05-0009, приказ Минстроя России №1039/пр от 30.12.2016г.</t>
  </si>
  <si>
    <t>28,2</t>
  </si>
  <si>
    <t>18.5.10.06</t>
  </si>
  <si>
    <t>Радиаторы</t>
  </si>
  <si>
    <t>квт</t>
  </si>
  <si>
    <t>29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</si>
  <si>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</si>
  <si>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</si>
  <si>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ШТ</t>
  </si>
  <si>
    <t>ФЕР-2001, 16-05-001-01, приказ Минстроя России №1039/пр от 30.12.2016г.</t>
  </si>
  <si>
    <t>Трубопроводы внутренние</t>
  </si>
  <si>
    <t>ФЕР-16</t>
  </si>
  <si>
    <t>29,1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</si>
  <si>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</si>
  <si>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</si>
  <si>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</si>
  <si>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30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</si>
  <si>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</si>
  <si>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</si>
  <si>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</si>
  <si>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30,1</t>
  </si>
  <si>
    <t>14.4.02.04</t>
  </si>
  <si>
    <t>Краски для внутренних работ масляные готовые к применению</t>
  </si>
  <si>
    <t>30,2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</si>
  <si>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</si>
  <si>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</si>
  <si>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</si>
  <si>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31</t>
  </si>
  <si>
    <t>65-24-1</t>
  </si>
  <si>
    <t>Проверка на прогрев отопительных приборов с регулировкой</t>
  </si>
  <si>
    <t>ФЕР-2001, 65-24-1, приказ Минстроя России №1039/пр от 30.12.2016г.</t>
  </si>
  <si>
    <t>3 Электромонтажные работы</t>
  </si>
  <si>
    <t>32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</si>
  <si>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</si>
  <si>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</si>
  <si>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</si>
  <si>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</si>
  <si>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</si>
  <si>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33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</si>
  <si>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</si>
  <si>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</si>
  <si>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</si>
  <si>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</si>
  <si>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</si>
  <si>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</si>
  <si>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</si>
  <si>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</si>
  <si>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34</t>
  </si>
  <si>
    <t>м08-03-594-08</t>
  </si>
  <si>
    <t>Демонтаж :Светильник отдельно устанавливаемый на подвесах (штангах) с количеством ламп в светильнике до 4 (на склад для хранения)</t>
  </si>
  <si>
    <t>ФЕРм-2001, м08-03-594-08, приказ Минстроя России №1039/пр от 30.12.2016г.</t>
  </si>
  <si>
    <t>)*0,7</t>
  </si>
  <si>
    <t>Поправка: МДС 81-37.2004, п.3.2.1.1</t>
  </si>
  <si>
    <t>35</t>
  </si>
  <si>
    <t>м08-03-525-09 прим.</t>
  </si>
  <si>
    <t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t>
  </si>
  <si>
    <t>КОМПЛ</t>
  </si>
  <si>
    <t>ФЕРм-2001, м08-03-525-09, приказ Минстроя России №1039/пр от 30.12.2016г.</t>
  </si>
  <si>
    <t>)*0,6</t>
  </si>
  <si>
    <t>Поправка: МДС 81-37.2004, п.3.2.1.2</t>
  </si>
  <si>
    <t>36</t>
  </si>
  <si>
    <t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t>
  </si>
  <si>
    <t>37</t>
  </si>
  <si>
    <t>67-4-1</t>
  </si>
  <si>
    <t>Демонтаж выключателей, розеток</t>
  </si>
  <si>
    <t>ФЕР-2001, 67-4-1, приказ Минстроя России №1039/пр от 30.12.2016г.</t>
  </si>
  <si>
    <t>38</t>
  </si>
  <si>
    <t>69-1-2</t>
  </si>
  <si>
    <t>Пробивка отверстий в кирпичных стенах для  вручную при толщине стен в 1 кирпич</t>
  </si>
  <si>
    <t>ФЕР-2001, 69-1-2, приказ Минстроя России №1039/пр от 30.12.2016г.</t>
  </si>
  <si>
    <t>39</t>
  </si>
  <si>
    <t>м08-02-410-02 прим.</t>
  </si>
  <si>
    <t>Труба полиэтиленовая по основанию пола, диаметр до 50 мм</t>
  </si>
  <si>
    <t>ФЕРм-2001, м08-02-410-02, приказ Минстроя России №1039/пр от 30.12.2016г.</t>
  </si>
  <si>
    <t>39,1</t>
  </si>
  <si>
    <t>24.3.03.13-0304</t>
  </si>
  <si>
    <t>Трубы гладкие одностенные легкие из ПНД, диаметром 32 мм</t>
  </si>
  <si>
    <t>10 м</t>
  </si>
  <si>
    <t>ФССЦ-2001, 24.3.03.13-0304, приказ Минстроя России №1039/пр от 30.12.2016г.</t>
  </si>
  <si>
    <t>40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</si>
  <si>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</si>
  <si>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</si>
  <si>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</si>
  <si>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</si>
  <si>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</si>
  <si>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40,1</t>
  </si>
  <si>
    <t>20.5.02.04-0004</t>
  </si>
  <si>
    <t>Коробка ответвительная SchneiderElectrik 100x100x50мм прим.</t>
  </si>
  <si>
    <t>10 шт.</t>
  </si>
  <si>
    <t>ФССЦ-2001, 20.5.02.04-0004, приказ Минстроя России №1039/пр от 30.12.2016г.</t>
  </si>
  <si>
    <t>41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</si>
  <si>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</si>
  <si>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</si>
  <si>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</si>
  <si>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41,1</t>
  </si>
  <si>
    <t>20.2.05.04-0034</t>
  </si>
  <si>
    <t>Кабель-канал (короб)  Efapel 110x50 мм прим.</t>
  </si>
  <si>
    <t>ФССЦ-2001, 20.2.05.04-0034, приказ Минстроя России №1039/пр от 30.12.2016г.</t>
  </si>
  <si>
    <t>42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</si>
  <si>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</si>
  <si>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</si>
  <si>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</si>
  <si>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42,1</t>
  </si>
  <si>
    <t>24.3.03.05-0012</t>
  </si>
  <si>
    <t>Трубы гибкие гофрированные легкие из ПНД, серии BL, с зондом, диаметром 20 мм</t>
  </si>
  <si>
    <t>ФССЦ-2001, 24.3.03.05-0012, приказ Минстроя России №1039/пр от 30.12.2016г.</t>
  </si>
  <si>
    <t>43</t>
  </si>
  <si>
    <t>м08-02-399-02 прим.</t>
  </si>
  <si>
    <t>Провод в коробах, сечением до 35 мм2</t>
  </si>
  <si>
    <t>ФЕРм-2001, м08-02-399-02, приказ Минстроя России №1039/пр от 30.12.2016г.</t>
  </si>
  <si>
    <t>43,1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</si>
  <si>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</si>
  <si>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</si>
  <si>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</si>
  <si>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</si>
  <si>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</si>
  <si>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44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</si>
  <si>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</si>
  <si>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</si>
  <si>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</si>
  <si>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44,1</t>
  </si>
  <si>
    <t>45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</si>
  <si>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</si>
  <si>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</si>
  <si>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</si>
  <si>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45,1</t>
  </si>
  <si>
    <t>20.4.01.01-0011</t>
  </si>
  <si>
    <t>Выключатель двухклавишный для открытой проводки "EFAPEL" SBR(45х45мм),белый,с супортами прим.</t>
  </si>
  <si>
    <t>ФССЦ-2001, 20.4.01.01-0011, приказ Минстроя России №1039/пр от 30.12.2016г.</t>
  </si>
  <si>
    <t>46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</si>
  <si>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</si>
  <si>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</si>
  <si>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</si>
  <si>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46,1</t>
  </si>
  <si>
    <t>20.4.03.05-0004</t>
  </si>
  <si>
    <t>Розетка открытой проводки "EFAPEL" 220В2к+з,(45х45мм),белые с супортами в кабель-канал прим.</t>
  </si>
  <si>
    <t>ФССЦ-2001, 20.4.03.05-0004, приказ Минстроя России №1039/пр от 30.12.2016г.</t>
  </si>
  <si>
    <t>46,2</t>
  </si>
  <si>
    <t>20.4.03.05-0005</t>
  </si>
  <si>
    <t>Розетка  для открытой проводки (согласно тех.задания)</t>
  </si>
  <si>
    <t>ФССЦ-2001, 20.4.03.05-0005, приказ Минстроя России №1039/пр от 30.12.2016г.</t>
  </si>
  <si>
    <t>47</t>
  </si>
  <si>
    <t>м08-02-370-02 прим.</t>
  </si>
  <si>
    <t>Щиток до трех групп, устанавливаемый в нише цоколя</t>
  </si>
  <si>
    <t>ФЕРм-2001, м08-02-370-02, приказ Минстроя России №1039/пр от 30.12.2016г.</t>
  </si>
  <si>
    <t>47,1</t>
  </si>
  <si>
    <t>62.1.02.03-0003</t>
  </si>
  <si>
    <t>Щит навесной IEK ШРН-18э1 38,18 модулей ,IP31 с клемником(АВВ) с замком,материал корпуса металл прим.</t>
  </si>
  <si>
    <t>ФССЦ-2001, 62.1.02.03-0003, приказ Минстроя России №1039/пр от 30.12.2016г.</t>
  </si>
  <si>
    <t>48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</si>
  <si>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</si>
  <si>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</si>
  <si>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</si>
  <si>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48,1</t>
  </si>
  <si>
    <t>62.1.01.09-0050</t>
  </si>
  <si>
    <t>Выключатели автоматические АВВ 1Р 16А  прим.</t>
  </si>
  <si>
    <t>ФССЦ-2001, 62.1.01.09-0050, приказ Минстроя России №1039/пр от 30.12.2016г.</t>
  </si>
  <si>
    <t>48,2</t>
  </si>
  <si>
    <t>62.1.01.09-0049</t>
  </si>
  <si>
    <t>Выключатели автоматические «АВВ" 1Р 10А прим.</t>
  </si>
  <si>
    <t>ФССЦ-2001, 62.1.01.09-0049, приказ Минстроя России №1039/пр от 30.12.2016г.</t>
  </si>
  <si>
    <t>48,3</t>
  </si>
  <si>
    <t>62.1.01.09-0065</t>
  </si>
  <si>
    <t>Выключатели автоматические «АВВ" 3Р 10А прим.</t>
  </si>
  <si>
    <t>ФССЦ-2001, 62.1.01.09-0065, приказ Минстроя России №1039/пр от 30.12.2016г.</t>
  </si>
  <si>
    <t>48,4</t>
  </si>
  <si>
    <t>62.1.01.09-0067</t>
  </si>
  <si>
    <t>Выключатели автоматические  АВВ 3Р 25А прим.</t>
  </si>
  <si>
    <t>ФССЦ-2001, 62.1.01.09-0067, приказ Минстроя России №1039/пр от 30.12.2016г.</t>
  </si>
  <si>
    <t>48,5</t>
  </si>
  <si>
    <t>62.1.01.09-0051</t>
  </si>
  <si>
    <t>Выключатели автоматические «АВВ" 1Р 20А прим.</t>
  </si>
  <si>
    <t>ФССЦ-2001, 62.1.01.09-0051, приказ Минстроя России №1039/пр от 30.12.2016г.</t>
  </si>
  <si>
    <t>49</t>
  </si>
  <si>
    <t>м08-03-594-14 прим.</t>
  </si>
  <si>
    <t>Установка светильников 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</si>
  <si>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</si>
  <si>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49,1</t>
  </si>
  <si>
    <t>20.3.03.07-0099</t>
  </si>
  <si>
    <t>Светильник потолочный со светодиодными лампами  "Oskar LED"595х595х40мм,встраиваемые в подвесной потолок "Армстронг",36 Вт,3000Лм,IP40 прим.</t>
  </si>
  <si>
    <t>ФССЦ-2001, 20.3.03.07-0099, приказ Минстроя России №1039/пр от 30.12.2016г.</t>
  </si>
  <si>
    <t>50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</si>
  <si>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</si>
  <si>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</si>
  <si>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</si>
  <si>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</si>
  <si>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</si>
  <si>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</si>
  <si>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</si>
  <si>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</si>
  <si>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51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</si>
  <si>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</si>
  <si>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</si>
  <si>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</si>
  <si>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</si>
  <si>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52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</si>
  <si>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</si>
  <si>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</si>
  <si>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</si>
  <si>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53</t>
  </si>
  <si>
    <t>п01-12-021-02</t>
  </si>
  <si>
    <t>Испытание аппарата коммутационного напряжением до 35 кВ (Автоматические выключатели до 1000 В)</t>
  </si>
  <si>
    <t>испытание</t>
  </si>
  <si>
    <t>ФЕРп-2001, п01-12-021-02, приказ Минстроя России №1039/пр от 30.12.2016г.</t>
  </si>
  <si>
    <t>и1</t>
  </si>
  <si>
    <t>Итого</t>
  </si>
  <si>
    <t>и2</t>
  </si>
  <si>
    <t>НДС 18%</t>
  </si>
  <si>
    <t>и3</t>
  </si>
  <si>
    <t>4 АПС</t>
  </si>
  <si>
    <t>54</t>
  </si>
  <si>
    <t>м10-08-002-01</t>
  </si>
  <si>
    <t>Демонтаж:Монтаж извещателя ПС автоматического теплового электро-контактный, магнитоконтактный в нормальном исполнении</t>
  </si>
  <si>
    <t>ФЕРм-2001, м10-08-002-01, приказ Минстроя России №1039/пр от 30.12.2016г.</t>
  </si>
  <si>
    <t>55</t>
  </si>
  <si>
    <t>Монтаж извещателя ПС автоматического теплового электро-контактный, магнитоконтактный в нормальном исполнении</t>
  </si>
  <si>
    <t>55,1</t>
  </si>
  <si>
    <t>61.2.02.01-0072</t>
  </si>
  <si>
    <t>Извещатель пожарный дымовой ИП 212-41М (ДИП-41М) прим.</t>
  </si>
  <si>
    <t>ФССЦ-2001, 61.2.02.01-0072, приказ Минстроя России №1039/пр от 30.12.2016г.</t>
  </si>
  <si>
    <t>56</t>
  </si>
  <si>
    <t>м10-08-001-03</t>
  </si>
  <si>
    <t>Приборы ПС приемно-контрольные, пусковые, концентратор блок линейный</t>
  </si>
  <si>
    <t>10 лучей</t>
  </si>
  <si>
    <t>ФЕРм-2001, м10-08-001-03, приказ Минстроя России №1039/пр от 30.12.2016г.</t>
  </si>
  <si>
    <t>56,1</t>
  </si>
  <si>
    <t>61.2.07.04-0051</t>
  </si>
  <si>
    <t>Устройство контроля шлейфа УКШ-1</t>
  </si>
  <si>
    <t>ФССЦ-2001, 61.2.07.04-0051, приказ Минстроя России №1039/пр от 30.12.2016г.</t>
  </si>
  <si>
    <t>57</t>
  </si>
  <si>
    <t>57,1</t>
  </si>
  <si>
    <t>24.3.03.05-0011</t>
  </si>
  <si>
    <t>Трубы гибкие гофрированные легкие из ПНД, серии BL, с зондом, диаметром 16 мм</t>
  </si>
  <si>
    <t>ФССЦ-2001, 24.3.03.05-0011, приказ Минстроя России №1039/пр от 30.12.2016г.</t>
  </si>
  <si>
    <t>58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</si>
  <si>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</si>
  <si>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</si>
  <si>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</si>
  <si>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58,1</t>
  </si>
  <si>
    <t>21.1.08.01-0151</t>
  </si>
  <si>
    <t>ФССЦ-2001, 21.1.08.01-0151, приказ Минстроя России №1039/пр от 30.12.2016г.</t>
  </si>
  <si>
    <t>59</t>
  </si>
  <si>
    <t>м10-02-054-06</t>
  </si>
  <si>
    <t>Электрическая проверка и настройка оборудования</t>
  </si>
  <si>
    <t>ФЕРм-2001, м10-02-054-06,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</si>
  <si>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</si>
  <si>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</si>
  <si>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</si>
  <si>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</si>
  <si>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</si>
  <si>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</si>
  <si>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</si>
  <si>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</si>
  <si>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</si>
  <si>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</si>
  <si>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</si>
  <si>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</si>
  <si>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</si>
  <si>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</si>
  <si>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</si>
  <si>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</si>
  <si>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</si>
  <si>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</si>
  <si>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</si>
  <si>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</si>
  <si>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</si>
  <si>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</si>
  <si>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</si>
  <si>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</si>
  <si>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</si>
  <si>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</si>
  <si>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</si>
  <si>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</si>
  <si>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</si>
  <si>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</si>
  <si>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</si>
  <si>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</si>
  <si>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</si>
  <si>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</si>
  <si>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</si>
  <si>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</si>
  <si>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</si>
  <si>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</si>
  <si>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</si>
  <si>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</si>
  <si>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</si>
  <si>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</si>
  <si>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</si>
  <si>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</si>
  <si>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</si>
  <si>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</si>
  <si>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</si>
  <si>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</si>
  <si>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</si>
  <si>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</si>
  <si>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</si>
  <si>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</si>
  <si>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</si>
  <si>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</si>
  <si>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</si>
  <si>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</si>
  <si>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</si>
  <si>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</si>
  <si>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</si>
  <si>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</si>
  <si>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</si>
  <si>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</si>
  <si>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</si>
  <si>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</si>
  <si>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</si>
  <si>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</si>
  <si>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</si>
  <si>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</si>
  <si>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</si>
  <si>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</si>
  <si>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</si>
  <si>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</si>
  <si>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</si>
  <si>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</si>
  <si>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</si>
  <si>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</si>
  <si>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1-100-30</t>
  </si>
  <si>
    <t>Рабочий среднего разряда 3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</si>
  <si>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</si>
  <si>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</si>
  <si>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</si>
  <si>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</si>
  <si>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</si>
  <si>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</si>
  <si>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1-100-39</t>
  </si>
  <si>
    <t>Рабочий среднего разряда 3.9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</si>
  <si>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</si>
  <si>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</si>
  <si>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</si>
  <si>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01.7.02.10-0005</t>
  </si>
  <si>
    <t>ФССЦ-2001, 01.7.02.10-0005, приказ Минстроя России №1039/пр от 30.12.2016г.</t>
  </si>
  <si>
    <t>Бумага ролевая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</si>
  <si>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</si>
  <si>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</si>
  <si>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</si>
  <si>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01.7.20.08-0051</t>
  </si>
  <si>
    <t>ФССЦ-2001, 01.7.20.08-0051, приказ Минстроя России №1039/пр от 30.12.2016г.</t>
  </si>
  <si>
    <t>Ветошь</t>
  </si>
  <si>
    <t>14.4.03.17-0004</t>
  </si>
  <si>
    <t>ФССЦ-2001, 14.4.03.17-0004, приказ Минстроя России №1039/пр от 30.12.2016г.</t>
  </si>
  <si>
    <t>Лак масляный МА-592</t>
  </si>
  <si>
    <t>14.5.09.07-0031</t>
  </si>
  <si>
    <t>ФССЦ-2001, 14.5.09.07-0031, приказ Минстроя России №1039/пр от 30.12.2016г.</t>
  </si>
  <si>
    <t>Растворитель марки Р-4А</t>
  </si>
  <si>
    <t>1-100-40</t>
  </si>
  <si>
    <t>Рабочий среднего разряда 4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</si>
  <si>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</si>
  <si>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</si>
  <si>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</si>
  <si>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</si>
  <si>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</si>
  <si>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</si>
  <si>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</si>
  <si>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</si>
  <si>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</si>
  <si>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</si>
  <si>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</si>
  <si>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</si>
  <si>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</si>
  <si>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</si>
  <si>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</si>
  <si>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</si>
  <si>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</si>
  <si>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</si>
  <si>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</si>
  <si>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</si>
  <si>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</si>
  <si>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</si>
  <si>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</si>
  <si>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</si>
  <si>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</si>
  <si>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</si>
  <si>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</si>
  <si>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</si>
  <si>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</si>
  <si>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</si>
  <si>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</si>
  <si>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</si>
  <si>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</si>
  <si>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</si>
  <si>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</si>
  <si>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</si>
  <si>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</si>
  <si>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</si>
  <si>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</si>
  <si>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</si>
  <si>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</si>
  <si>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</si>
  <si>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</si>
  <si>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1-100-32</t>
  </si>
  <si>
    <t>Рабочий среднего разряда 3.2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</si>
  <si>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</si>
  <si>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</si>
  <si>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</si>
  <si>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</si>
  <si>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</si>
  <si>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</si>
  <si>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</si>
  <si>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</si>
  <si>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</si>
  <si>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</si>
  <si>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</si>
  <si>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</si>
  <si>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</si>
  <si>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</si>
  <si>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</si>
  <si>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</si>
  <si>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</si>
  <si>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</si>
  <si>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</si>
  <si>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</si>
  <si>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</si>
  <si>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</si>
  <si>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</si>
  <si>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</si>
  <si>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</si>
  <si>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</si>
  <si>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</si>
  <si>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1-100-35</t>
  </si>
  <si>
    <t>Рабочий среднего разряда 3.5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</si>
  <si>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</si>
  <si>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</si>
  <si>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</si>
  <si>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01.7.15.06-0111</t>
  </si>
  <si>
    <t>ФССЦ-2001, 01.7.15.06-0111, приказ Минстроя России №1039/пр от 30.12.2016г.</t>
  </si>
  <si>
    <t>Гвозди строительные</t>
  </si>
  <si>
    <t>01.7.15.14-0164</t>
  </si>
  <si>
    <t>ФССЦ-2001, 01.7.15.14-0164, приказ Минстроя России №1039/пр от 30.12.2016г.</t>
  </si>
  <si>
    <t>Шурупы с полукруглой головкой 3,5х35 мм</t>
  </si>
  <si>
    <t>11.1.03.01-0062</t>
  </si>
  <si>
    <t>ФССЦ-2001, 11.1.03.01-0062, приказ Минстроя России №1039/пр от 30.12.2016г.</t>
  </si>
  <si>
    <t>Бруски обрезные хвойных пород длиной 2-3,75 м, шириной 75-150 мм, толщиной 40-75 мм, II сорта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</si>
  <si>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</si>
  <si>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</si>
  <si>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</si>
  <si>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14.1.01.01-0003</t>
  </si>
  <si>
    <t>ФССЦ-2001, 14.1.01.01-0003, приказ Минстроя России №1039/пр от 30.12.2016г.</t>
  </si>
  <si>
    <t>Клей столярный сухой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</si>
  <si>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</si>
  <si>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</si>
  <si>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</si>
  <si>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</si>
  <si>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</si>
  <si>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</si>
  <si>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</si>
  <si>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</si>
  <si>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</si>
  <si>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1-100-21</t>
  </si>
  <si>
    <t>Рабочий среднего разряда 2.1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</si>
  <si>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</si>
  <si>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</si>
  <si>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</si>
  <si>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</si>
  <si>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</si>
  <si>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</si>
  <si>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</si>
  <si>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</si>
  <si>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</si>
  <si>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</si>
  <si>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</si>
  <si>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</si>
  <si>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компл.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</si>
  <si>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</si>
  <si>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</si>
  <si>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</si>
  <si>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</si>
  <si>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</si>
  <si>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</si>
  <si>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</si>
  <si>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</si>
  <si>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</si>
  <si>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</si>
  <si>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</si>
  <si>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</si>
  <si>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</si>
  <si>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</si>
  <si>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</si>
  <si>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</si>
  <si>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</si>
  <si>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</si>
  <si>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</si>
  <si>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</si>
  <si>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</si>
  <si>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</si>
  <si>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</si>
  <si>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</si>
  <si>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</si>
  <si>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</si>
  <si>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</si>
  <si>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</si>
  <si>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</si>
  <si>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</si>
  <si>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</si>
  <si>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</si>
  <si>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</si>
  <si>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</si>
  <si>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</si>
  <si>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</si>
  <si>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</si>
  <si>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</si>
  <si>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</si>
  <si>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</si>
  <si>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</si>
  <si>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</si>
  <si>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</si>
  <si>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</si>
  <si>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</si>
  <si>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</si>
  <si>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</si>
  <si>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</si>
  <si>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</si>
  <si>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</si>
  <si>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</si>
  <si>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</si>
  <si>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</si>
  <si>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</si>
  <si>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</si>
  <si>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</si>
  <si>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</si>
  <si>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</si>
  <si>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</si>
  <si>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</si>
  <si>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</si>
  <si>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</si>
  <si>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</si>
  <si>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</si>
  <si>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</si>
  <si>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</si>
  <si>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</si>
  <si>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</si>
  <si>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</si>
  <si>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</si>
  <si>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</si>
  <si>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</si>
  <si>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</si>
  <si>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</si>
  <si>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</si>
  <si>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</si>
  <si>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</si>
  <si>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</si>
  <si>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</si>
  <si>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</si>
  <si>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</si>
  <si>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</si>
  <si>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</si>
  <si>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</si>
  <si>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01.7.15.07-0152</t>
  </si>
  <si>
    <t>ФССЦ-2001, 01.7.15.07-0152, приказ Минстроя России №1039/пр от 30.12.2016г.</t>
  </si>
  <si>
    <t>Дюбель с шурупом 6/35 мм</t>
  </si>
  <si>
    <t>01.7.06.07-0001</t>
  </si>
  <si>
    <t>ФССЦ-2001, 01.7.06.07-0001, приказ Минстроя России №1039/пр от 30.12.2016г.</t>
  </si>
  <si>
    <t>Лента К226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</si>
  <si>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</si>
  <si>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</si>
  <si>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</si>
  <si>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</si>
  <si>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</si>
  <si>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</si>
  <si>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</si>
  <si>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</si>
  <si>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</si>
  <si>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</si>
  <si>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</si>
  <si>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</si>
  <si>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</si>
  <si>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</si>
  <si>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</si>
  <si>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</si>
  <si>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</si>
  <si>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</si>
  <si>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</si>
  <si>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</si>
  <si>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</si>
  <si>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</si>
  <si>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</si>
  <si>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</si>
  <si>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</si>
  <si>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</si>
  <si>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</si>
  <si>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</si>
  <si>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</si>
  <si>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</si>
  <si>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</si>
  <si>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</si>
  <si>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</si>
  <si>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</si>
  <si>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14.1.04.02-0002</t>
  </si>
  <si>
    <t>ФССЦ-2001, 14.1.04.02-0002, приказ Минстроя России №1039/пр от 30.12.2016г.</t>
  </si>
  <si>
    <t>Клей 88-СА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</si>
  <si>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</si>
  <si>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</si>
  <si>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</si>
  <si>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</si>
  <si>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</si>
  <si>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</si>
  <si>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1-100-50</t>
  </si>
  <si>
    <t>Рабочий среднего разряда 5</t>
  </si>
  <si>
    <t>19.2.03.09</t>
  </si>
  <si>
    <t>Решетки жалюзийные</t>
  </si>
  <si>
    <t>11.2.09.07</t>
  </si>
  <si>
    <t>Плиты древесностружечные</t>
  </si>
  <si>
    <t>01.7.15.07</t>
  </si>
  <si>
    <t>Дюбели распорные полиэтиленовые</t>
  </si>
  <si>
    <t>01.7.15.14</t>
  </si>
  <si>
    <t>Шурупы строительные</t>
  </si>
  <si>
    <t>18.2.06.04</t>
  </si>
  <si>
    <t>Гарнитура туалетная</t>
  </si>
  <si>
    <t>01.7.04.11</t>
  </si>
  <si>
    <t>Скобяные изделия</t>
  </si>
  <si>
    <t>07.1.01.03</t>
  </si>
  <si>
    <t>Блоки дверные металлические</t>
  </si>
  <si>
    <t>03.2.02.11</t>
  </si>
  <si>
    <t>Цемент</t>
  </si>
  <si>
    <t>18.1.01.01</t>
  </si>
  <si>
    <t>Арматура трубопроводная фланцевая</t>
  </si>
  <si>
    <t>23.8.03.12</t>
  </si>
  <si>
    <t>Фланцы стальные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</si>
  <si>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</si>
  <si>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</si>
  <si>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81-37.2004, п.3.2.1.1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кратковременного хранения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</si>
  <si>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</si>
  <si>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</si>
  <si>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</si>
  <si>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</si>
  <si>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</si>
  <si>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</si>
  <si>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</si>
  <si>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</si>
  <si>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</si>
  <si>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</si>
  <si>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</si>
  <si>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</si>
  <si>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</si>
  <si>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</si>
  <si>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</si>
  <si>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</si>
  <si>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</si>
  <si>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</si>
  <si>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</si>
  <si>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</si>
  <si>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</si>
  <si>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</si>
  <si>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</si>
  <si>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</si>
  <si>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</si>
  <si>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</si>
  <si>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</si>
  <si>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</si>
  <si>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</si>
  <si>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</si>
  <si>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</si>
  <si>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</si>
  <si>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</si>
  <si>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</si>
  <si>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СМЕТА</t>
  </si>
  <si>
    <t xml:space="preserve"> на ремонт  помещений учебных аудиторий №3, №8, №11, №12, №13, №15, №16 2-го этажа корпуса "К" НИЯУ МИФИ по адресу: г. Москва, Каширское шоссе, д.31, стр.46
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</si>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</sst>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62"/>
  <sheetViews>
    <sheetView tabSelected="1" zoomScale="70" zoomScaleNormal="70" workbookViewId="0">
      <selection activeCell="AL7" sqref="AL7"/>
    </sheetView>
  </sheetViews>
  <sheetFormatPr defaultRowHeight="12.75" x14ac:dyDescent="0.2"/>
  <cols>
    <col min="1" max="1" width="5.7109375" customWidth="1"/>
    <col min="2" max="2" width="19.5703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  <c r="I1" t="s">
        <v>1009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14.25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30" ht="15.75" x14ac:dyDescent="0.25">
      <c r="A4" s="12"/>
      <c r="B4" s="57" t="s">
        <v>1007</v>
      </c>
      <c r="C4" s="57"/>
      <c r="D4" s="57"/>
      <c r="E4" s="57"/>
      <c r="F4" s="57"/>
      <c r="G4" s="57"/>
      <c r="H4" s="57"/>
      <c r="I4" s="57"/>
      <c r="J4" s="57"/>
      <c r="K4" s="57"/>
      <c r="L4" s="12"/>
    </row>
    <row r="5" spans="1:30" ht="18" hidden="1" x14ac:dyDescent="0.25">
      <c r="A5" s="12"/>
      <c r="B5" s="58" t="str">
        <f>IF(Source!G20&lt;&gt;"Новая локальная смета", Source!G20, "")</f>
        <v/>
      </c>
      <c r="C5" s="58"/>
      <c r="D5" s="58"/>
      <c r="E5" s="58"/>
      <c r="F5" s="58"/>
      <c r="G5" s="58"/>
      <c r="H5" s="58"/>
      <c r="I5" s="58"/>
      <c r="J5" s="58"/>
      <c r="K5" s="58"/>
      <c r="L5" s="12"/>
    </row>
    <row r="6" spans="1:30" ht="14.25" hidden="1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30" ht="55.5" customHeight="1" x14ac:dyDescent="0.25">
      <c r="A7" s="11"/>
      <c r="B7" s="58" t="str">
        <f>IF(Source!G12&lt;&gt;"Новый объект", Source!G12, "")</f>
        <v xml:space="preserve"> на ремонт  помещений учебных аудиторий №3, №8, №11, №12, №13, №15, №16 2-го этажа корпуса "К" НИЯУ МИФИ по адресу: г. Москва, Каширское шоссе, д.31, стр.46
</v>
      </c>
      <c r="C7" s="58"/>
      <c r="D7" s="58"/>
      <c r="E7" s="58"/>
      <c r="F7" s="58"/>
      <c r="G7" s="58"/>
      <c r="H7" s="58"/>
      <c r="I7" s="58"/>
      <c r="J7" s="58"/>
      <c r="K7" s="58"/>
      <c r="L7" s="13"/>
      <c r="AD7" s="43" t="str">
        <f>IF(Source!G12&lt;&gt;"Новый объект", Source!G12, "")</f>
        <v xml:space="preserve"> на ремонт  помещений учебных аудиторий №3, №8, №11, №12, №13, №15, №16 2-го этажа корпуса "К" НИЯУ МИФИ по адресу: г. Москва, Каширское шоссе, д.31, стр.46
</v>
      </c>
    </row>
    <row r="8" spans="1:30" ht="9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30" ht="14.25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30" ht="14.25" x14ac:dyDescent="0.2">
      <c r="A10" s="11"/>
      <c r="B10" s="11"/>
      <c r="C10" s="11"/>
      <c r="D10" s="11"/>
      <c r="E10" s="14"/>
      <c r="F10" s="14"/>
      <c r="G10" s="59" t="s">
        <v>975</v>
      </c>
      <c r="H10" s="59"/>
      <c r="I10" s="59" t="s">
        <v>976</v>
      </c>
      <c r="J10" s="59"/>
      <c r="K10" s="11"/>
      <c r="L10" s="11"/>
    </row>
    <row r="11" spans="1:30" ht="15" x14ac:dyDescent="0.25">
      <c r="A11" s="11"/>
      <c r="B11" s="11"/>
      <c r="C11" s="51" t="s">
        <v>977</v>
      </c>
      <c r="D11" s="51"/>
      <c r="E11" s="51"/>
      <c r="F11" s="51"/>
      <c r="G11" s="52">
        <f>SUM(O22:O559)/1000</f>
        <v>425.43650000000002</v>
      </c>
      <c r="H11" s="52"/>
      <c r="I11" s="52">
        <f>(Source!F309/1000)</f>
        <v>3431.1044100000004</v>
      </c>
      <c r="J11" s="52"/>
      <c r="K11" s="53" t="s">
        <v>978</v>
      </c>
      <c r="L11" s="53"/>
    </row>
    <row r="12" spans="1:30" ht="14.25" x14ac:dyDescent="0.2">
      <c r="A12" s="11"/>
      <c r="B12" s="11"/>
      <c r="C12" s="56" t="s">
        <v>979</v>
      </c>
      <c r="D12" s="56"/>
      <c r="E12" s="56"/>
      <c r="F12" s="56"/>
      <c r="G12" s="52">
        <f>SUM(W22:W559)/1000</f>
        <v>283.41426000000007</v>
      </c>
      <c r="H12" s="52"/>
      <c r="I12" s="52">
        <f>(Source!F296)/1000</f>
        <v>1902.3396</v>
      </c>
      <c r="J12" s="52"/>
      <c r="K12" s="53" t="s">
        <v>978</v>
      </c>
      <c r="L12" s="53"/>
    </row>
    <row r="13" spans="1:30" ht="14.25" x14ac:dyDescent="0.2">
      <c r="A13" s="11"/>
      <c r="B13" s="11"/>
      <c r="C13" s="56" t="s">
        <v>980</v>
      </c>
      <c r="D13" s="56"/>
      <c r="E13" s="56"/>
      <c r="F13" s="56"/>
      <c r="G13" s="52">
        <f>SUM(X22:X559)/1000</f>
        <v>137.88922999999997</v>
      </c>
      <c r="H13" s="52"/>
      <c r="I13" s="52">
        <f>(Source!F297)/1000</f>
        <v>925.23689999999999</v>
      </c>
      <c r="J13" s="52"/>
      <c r="K13" s="53" t="s">
        <v>978</v>
      </c>
      <c r="L13" s="53"/>
    </row>
    <row r="14" spans="1:30" ht="14.25" x14ac:dyDescent="0.2">
      <c r="A14" s="11"/>
      <c r="B14" s="11"/>
      <c r="C14" s="56" t="s">
        <v>981</v>
      </c>
      <c r="D14" s="56"/>
      <c r="E14" s="56"/>
      <c r="F14" s="56"/>
      <c r="G14" s="52">
        <f>SUM(Y22:Y559)/1000</f>
        <v>0</v>
      </c>
      <c r="H14" s="52"/>
      <c r="I14" s="52">
        <f>(Source!F288)/1000</f>
        <v>0</v>
      </c>
      <c r="J14" s="52"/>
      <c r="K14" s="53" t="s">
        <v>978</v>
      </c>
      <c r="L14" s="53"/>
    </row>
    <row r="15" spans="1:30" ht="14.25" x14ac:dyDescent="0.2">
      <c r="A15" s="11"/>
      <c r="B15" s="11"/>
      <c r="C15" s="56" t="s">
        <v>982</v>
      </c>
      <c r="D15" s="56"/>
      <c r="E15" s="56"/>
      <c r="F15" s="56"/>
      <c r="G15" s="52">
        <f>SUM(Z22:Z559)/1000</f>
        <v>4.1330100000000005</v>
      </c>
      <c r="H15" s="52"/>
      <c r="I15" s="52">
        <f>(Source!F298+Source!F299)/1000</f>
        <v>80.139099999999999</v>
      </c>
      <c r="J15" s="52"/>
      <c r="K15" s="53" t="s">
        <v>978</v>
      </c>
      <c r="L15" s="53"/>
    </row>
    <row r="16" spans="1:30" ht="15" x14ac:dyDescent="0.25">
      <c r="A16" s="11"/>
      <c r="B16" s="11"/>
      <c r="C16" s="51" t="s">
        <v>983</v>
      </c>
      <c r="D16" s="51"/>
      <c r="E16" s="51"/>
      <c r="F16" s="51"/>
      <c r="G16" s="52">
        <f>I16</f>
        <v>3012.9210197500001</v>
      </c>
      <c r="H16" s="52"/>
      <c r="I16" s="52">
        <f>(Source!F301+Source!F302)</f>
        <v>3012.9210197500001</v>
      </c>
      <c r="J16" s="52"/>
      <c r="K16" s="53" t="s">
        <v>984</v>
      </c>
      <c r="L16" s="53"/>
    </row>
    <row r="17" spans="1:26" ht="15" x14ac:dyDescent="0.25">
      <c r="A17" s="11"/>
      <c r="B17" s="11"/>
      <c r="C17" s="51" t="s">
        <v>985</v>
      </c>
      <c r="D17" s="51"/>
      <c r="E17" s="51"/>
      <c r="F17" s="51"/>
      <c r="G17" s="52">
        <f>SUM(R22:R559)/1000</f>
        <v>28.119759999999996</v>
      </c>
      <c r="H17" s="52"/>
      <c r="I17" s="52">
        <f>(Source!F294+ Source!F293)/1000</f>
        <v>214.24770000000001</v>
      </c>
      <c r="J17" s="52"/>
      <c r="K17" s="53" t="s">
        <v>978</v>
      </c>
      <c r="L17" s="53"/>
    </row>
    <row r="18" spans="1:26" ht="14.25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26" ht="14.25" x14ac:dyDescent="0.2">
      <c r="A19" s="54" t="s">
        <v>998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</row>
    <row r="20" spans="1:26" ht="57" x14ac:dyDescent="0.2">
      <c r="A20" s="15" t="s">
        <v>986</v>
      </c>
      <c r="B20" s="15" t="s">
        <v>987</v>
      </c>
      <c r="C20" s="15" t="s">
        <v>988</v>
      </c>
      <c r="D20" s="15" t="s">
        <v>989</v>
      </c>
      <c r="E20" s="15" t="s">
        <v>990</v>
      </c>
      <c r="F20" s="15" t="s">
        <v>991</v>
      </c>
      <c r="G20" s="15" t="s">
        <v>992</v>
      </c>
      <c r="H20" s="15" t="s">
        <v>993</v>
      </c>
      <c r="I20" s="15" t="s">
        <v>994</v>
      </c>
      <c r="J20" s="15" t="s">
        <v>995</v>
      </c>
      <c r="K20" s="15" t="s">
        <v>996</v>
      </c>
      <c r="L20" s="15" t="s">
        <v>997</v>
      </c>
    </row>
    <row r="21" spans="1:26" ht="14.25" x14ac:dyDescent="0.2">
      <c r="A21" s="16">
        <v>1</v>
      </c>
      <c r="B21" s="16">
        <v>2</v>
      </c>
      <c r="C21" s="16">
        <v>3</v>
      </c>
      <c r="D21" s="16">
        <v>4</v>
      </c>
      <c r="E21" s="16">
        <v>5</v>
      </c>
      <c r="F21" s="16">
        <v>6</v>
      </c>
      <c r="G21" s="16">
        <v>7</v>
      </c>
      <c r="H21" s="16">
        <v>8</v>
      </c>
      <c r="I21" s="16">
        <v>9</v>
      </c>
      <c r="J21" s="16">
        <v>10</v>
      </c>
      <c r="K21" s="16">
        <v>11</v>
      </c>
      <c r="L21" s="17">
        <v>12</v>
      </c>
    </row>
    <row r="22" spans="1:26" ht="16.5" x14ac:dyDescent="0.25">
      <c r="A22" s="48" t="str">
        <f>CONCATENATE("Раздел: ",IF(Source!G24&lt;&gt;"Новый раздел", Source!G24, ""))</f>
        <v>Раздел: 1 Общестроительные работы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</row>
    <row r="23" spans="1:26" ht="57" x14ac:dyDescent="0.2">
      <c r="A23" s="38" t="str">
        <f>Source!E28</f>
        <v>1</v>
      </c>
      <c r="B23" s="39" t="str">
        <f>Source!F28</f>
        <v>46-04-012-03</v>
      </c>
      <c r="C23" s="39" t="str">
        <f>Source!G28</f>
        <v>Разборка деревянных заполнений проемов дверных и воротных (отбивка штукатурки откосов 24,86м2 входит в состав работ)</v>
      </c>
      <c r="D23" s="22" t="str">
        <f>Source!H28</f>
        <v>100 м2</v>
      </c>
      <c r="E23" s="10">
        <f>Source!I28</f>
        <v>0.20399999999999999</v>
      </c>
      <c r="F23" s="23">
        <f>Source!AL28+Source!AM28+Source!AO28</f>
        <v>1082.58</v>
      </c>
      <c r="G23" s="24"/>
      <c r="H23" s="23"/>
      <c r="I23" s="24" t="str">
        <f>Source!BO28</f>
        <v/>
      </c>
      <c r="J23" s="24"/>
      <c r="K23" s="23"/>
      <c r="L23" s="25"/>
      <c r="S23">
        <f>ROUND((Source!FX28/100)*((ROUND(Source!AF28*Source!I28, 2)+ROUND(Source!AE28*Source!I28, 2))), 2)</f>
        <v>190.88</v>
      </c>
      <c r="T23">
        <f>Source!X28</f>
        <v>1280.78</v>
      </c>
      <c r="U23">
        <f>ROUND((Source!FY28/100)*((ROUND(Source!AF28*Source!I28, 2)+ROUND(Source!AE28*Source!I28, 2))), 2)</f>
        <v>114.72</v>
      </c>
      <c r="V23">
        <f>Source!Y28</f>
        <v>776.23</v>
      </c>
    </row>
    <row r="24" spans="1:26" x14ac:dyDescent="0.2">
      <c r="C24" s="18" t="str">
        <f>"Объем: "&amp;Source!I28&amp;"=20,4/"&amp;"100"</f>
        <v>Объем: 0,204=20,4/100</v>
      </c>
    </row>
    <row r="25" spans="1:26" ht="14.25" x14ac:dyDescent="0.2">
      <c r="A25" s="38"/>
      <c r="B25" s="39"/>
      <c r="C25" s="39" t="s">
        <v>999</v>
      </c>
      <c r="D25" s="22"/>
      <c r="E25" s="10"/>
      <c r="F25" s="23">
        <f>Source!AO28</f>
        <v>840.63</v>
      </c>
      <c r="G25" s="24" t="str">
        <f>Source!DG28</f>
        <v/>
      </c>
      <c r="H25" s="23">
        <f>ROUND(Source!AF28*Source!I28, 2)</f>
        <v>171.49</v>
      </c>
      <c r="I25" s="24"/>
      <c r="J25" s="24">
        <f>IF(Source!BA28&lt;&gt; 0, Source!BA28, 1)</f>
        <v>6.71</v>
      </c>
      <c r="K25" s="23">
        <f>Source!S28</f>
        <v>1150.69</v>
      </c>
      <c r="L25" s="25"/>
      <c r="R25">
        <f>H25</f>
        <v>171.49</v>
      </c>
    </row>
    <row r="26" spans="1:26" ht="14.25" x14ac:dyDescent="0.2">
      <c r="A26" s="38"/>
      <c r="B26" s="39"/>
      <c r="C26" s="39" t="s">
        <v>301</v>
      </c>
      <c r="D26" s="22"/>
      <c r="E26" s="10"/>
      <c r="F26" s="23">
        <f>Source!AM28</f>
        <v>241.95</v>
      </c>
      <c r="G26" s="24" t="str">
        <f>Source!DE28</f>
        <v/>
      </c>
      <c r="H26" s="23">
        <f>ROUND(Source!AD28*Source!I28, 2)</f>
        <v>49.36</v>
      </c>
      <c r="I26" s="24"/>
      <c r="J26" s="24">
        <f>IF(Source!BB28&lt;&gt; 0, Source!BB28, 1)</f>
        <v>6.71</v>
      </c>
      <c r="K26" s="23">
        <f>Source!Q28</f>
        <v>331.19</v>
      </c>
      <c r="L26" s="25"/>
    </row>
    <row r="27" spans="1:26" ht="14.25" x14ac:dyDescent="0.2">
      <c r="A27" s="38"/>
      <c r="B27" s="39"/>
      <c r="C27" s="39" t="s">
        <v>1000</v>
      </c>
      <c r="D27" s="22"/>
      <c r="E27" s="10"/>
      <c r="F27" s="23">
        <f>Source!AN28</f>
        <v>104.49</v>
      </c>
      <c r="G27" s="24" t="str">
        <f>Source!DF28</f>
        <v/>
      </c>
      <c r="H27" s="26">
        <f>ROUND(Source!AE28*Source!I28, 2)</f>
        <v>21.32</v>
      </c>
      <c r="I27" s="24"/>
      <c r="J27" s="24">
        <f>IF(Source!BS28&lt;&gt; 0, Source!BS28, 1)</f>
        <v>6.71</v>
      </c>
      <c r="K27" s="26">
        <f>Source!R28</f>
        <v>143.03</v>
      </c>
      <c r="L27" s="25"/>
      <c r="R27">
        <f>H27</f>
        <v>21.32</v>
      </c>
    </row>
    <row r="28" spans="1:26" ht="14.25" x14ac:dyDescent="0.2">
      <c r="A28" s="38"/>
      <c r="B28" s="39"/>
      <c r="C28" s="39" t="s">
        <v>1001</v>
      </c>
      <c r="D28" s="22" t="s">
        <v>1002</v>
      </c>
      <c r="E28" s="10">
        <f>Source!BZ28</f>
        <v>110</v>
      </c>
      <c r="F28" s="49" t="str">
        <f>CONCATENATE(" )", Source!DL28, Source!FT28, "=", Source!FX28)</f>
        <v xml:space="preserve"> )*0,9=99</v>
      </c>
      <c r="G28" s="50"/>
      <c r="H28" s="23">
        <f>SUM(S23:S30)</f>
        <v>190.88</v>
      </c>
      <c r="I28" s="27"/>
      <c r="J28" s="21">
        <f>Source!AT28</f>
        <v>99</v>
      </c>
      <c r="K28" s="23">
        <f>SUM(T23:T30)</f>
        <v>1280.78</v>
      </c>
      <c r="L28" s="25"/>
    </row>
    <row r="29" spans="1:26" ht="14.25" x14ac:dyDescent="0.2">
      <c r="A29" s="38"/>
      <c r="B29" s="39"/>
      <c r="C29" s="39" t="s">
        <v>1003</v>
      </c>
      <c r="D29" s="22" t="s">
        <v>1002</v>
      </c>
      <c r="E29" s="10">
        <f>Source!CA28</f>
        <v>70</v>
      </c>
      <c r="F29" s="49" t="str">
        <f>CONCATENATE(" )", Source!DM28, Source!FU28, "=", Source!FY28)</f>
        <v xml:space="preserve"> )*0,85=59,5</v>
      </c>
      <c r="G29" s="50"/>
      <c r="H29" s="23">
        <f>SUM(U23:U30)</f>
        <v>114.72</v>
      </c>
      <c r="I29" s="27"/>
      <c r="J29" s="21">
        <f>Source!AU28</f>
        <v>60</v>
      </c>
      <c r="K29" s="23">
        <f>SUM(V23:V30)</f>
        <v>776.23</v>
      </c>
      <c r="L29" s="25"/>
    </row>
    <row r="30" spans="1:26" ht="14.25" x14ac:dyDescent="0.2">
      <c r="A30" s="40"/>
      <c r="B30" s="41"/>
      <c r="C30" s="41" t="s">
        <v>1004</v>
      </c>
      <c r="D30" s="28" t="s">
        <v>1005</v>
      </c>
      <c r="E30" s="29">
        <f>Source!AQ28</f>
        <v>103.91</v>
      </c>
      <c r="F30" s="30"/>
      <c r="G30" s="31" t="str">
        <f>Source!DI28</f>
        <v/>
      </c>
      <c r="H30" s="30"/>
      <c r="I30" s="31"/>
      <c r="J30" s="31"/>
      <c r="K30" s="30"/>
      <c r="L30" s="32">
        <f>Source!U28</f>
        <v>21.197639999999996</v>
      </c>
    </row>
    <row r="31" spans="1:26" ht="15" x14ac:dyDescent="0.25">
      <c r="G31" s="45">
        <f>H25+H26+H28+H29</f>
        <v>526.45000000000005</v>
      </c>
      <c r="H31" s="45"/>
      <c r="J31" s="45">
        <f>K25+K26+K28+K29</f>
        <v>3538.89</v>
      </c>
      <c r="K31" s="45"/>
      <c r="L31" s="33">
        <f>Source!U28</f>
        <v>21.197639999999996</v>
      </c>
      <c r="O31" s="19">
        <f>G31</f>
        <v>526.45000000000005</v>
      </c>
      <c r="P31" s="19">
        <f>J31</f>
        <v>3538.89</v>
      </c>
      <c r="Q31" s="19">
        <f>L31</f>
        <v>21.197639999999996</v>
      </c>
      <c r="W31">
        <f>IF(Source!BI28&lt;=1,H25+H26+H28+H29, 0)</f>
        <v>526.45000000000005</v>
      </c>
      <c r="X31">
        <f>IF(Source!BI28=2,H25+H26+H28+H29, 0)</f>
        <v>0</v>
      </c>
      <c r="Y31">
        <f>IF(Source!BI28=3,H25+H26+H28+H29, 0)</f>
        <v>0</v>
      </c>
      <c r="Z31">
        <f>IF(Source!BI28=4,H25+H26+H28+H29, 0)</f>
        <v>0</v>
      </c>
    </row>
    <row r="32" spans="1:26" ht="28.5" x14ac:dyDescent="0.2">
      <c r="A32" s="38" t="str">
        <f>Source!E29</f>
        <v>2</v>
      </c>
      <c r="B32" s="39" t="str">
        <f>Source!F29</f>
        <v>57-3-1</v>
      </c>
      <c r="C32" s="39" t="str">
        <f>Source!G29</f>
        <v>Разборка плинтусов деревянных и из пластмассовых материалов</v>
      </c>
      <c r="D32" s="22" t="str">
        <f>Source!H29</f>
        <v>100 м</v>
      </c>
      <c r="E32" s="10">
        <f>Source!I29</f>
        <v>1.9148000000000001</v>
      </c>
      <c r="F32" s="23">
        <f>Source!AL29+Source!AM29+Source!AO29</f>
        <v>29.41</v>
      </c>
      <c r="G32" s="24"/>
      <c r="H32" s="23"/>
      <c r="I32" s="24" t="str">
        <f>Source!BO29</f>
        <v/>
      </c>
      <c r="J32" s="24"/>
      <c r="K32" s="23"/>
      <c r="L32" s="25"/>
      <c r="S32">
        <f>ROUND((Source!FX29/100)*((ROUND(Source!AF29*Source!I29, 2)+ROUND(Source!AE29*Source!I29, 2))), 2)</f>
        <v>45.05</v>
      </c>
      <c r="T32">
        <f>Source!X29</f>
        <v>302.3</v>
      </c>
      <c r="U32">
        <f>ROUND((Source!FY29/100)*((ROUND(Source!AF29*Source!I29, 2)+ROUND(Source!AE29*Source!I29, 2))), 2)</f>
        <v>38.29</v>
      </c>
      <c r="V32">
        <f>Source!Y29</f>
        <v>256.95</v>
      </c>
    </row>
    <row r="33" spans="1:26" ht="14.25" x14ac:dyDescent="0.2">
      <c r="A33" s="38"/>
      <c r="B33" s="39"/>
      <c r="C33" s="39" t="s">
        <v>999</v>
      </c>
      <c r="D33" s="22"/>
      <c r="E33" s="10"/>
      <c r="F33" s="23">
        <f>Source!AO29</f>
        <v>29.41</v>
      </c>
      <c r="G33" s="24" t="str">
        <f>Source!DG29</f>
        <v/>
      </c>
      <c r="H33" s="23">
        <f>ROUND(Source!AF29*Source!I29, 2)</f>
        <v>56.31</v>
      </c>
      <c r="I33" s="24"/>
      <c r="J33" s="24">
        <f>IF(Source!BA29&lt;&gt; 0, Source!BA29, 1)</f>
        <v>6.71</v>
      </c>
      <c r="K33" s="23">
        <f>Source!S29</f>
        <v>377.87</v>
      </c>
      <c r="L33" s="25"/>
      <c r="R33">
        <f>H33</f>
        <v>56.31</v>
      </c>
    </row>
    <row r="34" spans="1:26" ht="14.25" x14ac:dyDescent="0.2">
      <c r="A34" s="38"/>
      <c r="B34" s="39"/>
      <c r="C34" s="39" t="s">
        <v>1001</v>
      </c>
      <c r="D34" s="22" t="s">
        <v>1002</v>
      </c>
      <c r="E34" s="10">
        <f>Source!BZ29</f>
        <v>80</v>
      </c>
      <c r="F34" s="42"/>
      <c r="G34" s="24"/>
      <c r="H34" s="23">
        <f>SUM(S32:S36)</f>
        <v>45.05</v>
      </c>
      <c r="I34" s="27"/>
      <c r="J34" s="21">
        <f>Source!AT29</f>
        <v>80</v>
      </c>
      <c r="K34" s="23">
        <f>SUM(T32:T36)</f>
        <v>302.3</v>
      </c>
      <c r="L34" s="25"/>
    </row>
    <row r="35" spans="1:26" ht="14.25" x14ac:dyDescent="0.2">
      <c r="A35" s="38"/>
      <c r="B35" s="39"/>
      <c r="C35" s="39" t="s">
        <v>1003</v>
      </c>
      <c r="D35" s="22" t="s">
        <v>1002</v>
      </c>
      <c r="E35" s="10">
        <f>Source!CA29</f>
        <v>68</v>
      </c>
      <c r="F35" s="42"/>
      <c r="G35" s="24"/>
      <c r="H35" s="23">
        <f>SUM(U32:U36)</f>
        <v>38.29</v>
      </c>
      <c r="I35" s="27"/>
      <c r="J35" s="21">
        <f>Source!AU29</f>
        <v>68</v>
      </c>
      <c r="K35" s="23">
        <f>SUM(V32:V36)</f>
        <v>256.95</v>
      </c>
      <c r="L35" s="25"/>
    </row>
    <row r="36" spans="1:26" ht="14.25" x14ac:dyDescent="0.2">
      <c r="A36" s="40"/>
      <c r="B36" s="41"/>
      <c r="C36" s="41" t="s">
        <v>1004</v>
      </c>
      <c r="D36" s="28" t="s">
        <v>1005</v>
      </c>
      <c r="E36" s="29">
        <f>Source!AQ29</f>
        <v>3.77</v>
      </c>
      <c r="F36" s="30"/>
      <c r="G36" s="31" t="str">
        <f>Source!DI29</f>
        <v/>
      </c>
      <c r="H36" s="30"/>
      <c r="I36" s="31"/>
      <c r="J36" s="31"/>
      <c r="K36" s="30"/>
      <c r="L36" s="32">
        <f>Source!U29</f>
        <v>7.2187960000000002</v>
      </c>
    </row>
    <row r="37" spans="1:26" ht="15" x14ac:dyDescent="0.25">
      <c r="G37" s="45">
        <f>H33+H34+H35</f>
        <v>139.65</v>
      </c>
      <c r="H37" s="45"/>
      <c r="J37" s="45">
        <f>K33+K34+K35</f>
        <v>937.12000000000012</v>
      </c>
      <c r="K37" s="45"/>
      <c r="L37" s="33">
        <f>Source!U29</f>
        <v>7.2187960000000002</v>
      </c>
      <c r="O37" s="19">
        <f>G37</f>
        <v>139.65</v>
      </c>
      <c r="P37" s="19">
        <f>J37</f>
        <v>937.12000000000012</v>
      </c>
      <c r="Q37" s="19">
        <f>L37</f>
        <v>7.2187960000000002</v>
      </c>
      <c r="W37">
        <f>IF(Source!BI29&lt;=1,H33+H34+H35, 0)</f>
        <v>139.65</v>
      </c>
      <c r="X37">
        <f>IF(Source!BI29=2,H33+H34+H35, 0)</f>
        <v>0</v>
      </c>
      <c r="Y37">
        <f>IF(Source!BI29=3,H33+H34+H35, 0)</f>
        <v>0</v>
      </c>
      <c r="Z37">
        <f>IF(Source!BI29=4,H33+H34+H35, 0)</f>
        <v>0</v>
      </c>
    </row>
    <row r="38" spans="1:26" ht="28.5" x14ac:dyDescent="0.2">
      <c r="A38" s="38" t="str">
        <f>Source!E30</f>
        <v>3</v>
      </c>
      <c r="B38" s="39" t="str">
        <f>Source!F30</f>
        <v>57-2-1</v>
      </c>
      <c r="C38" s="39" t="str">
        <f>Source!G30</f>
        <v>Разборка покрытий полов из линолеума и релина</v>
      </c>
      <c r="D38" s="22" t="str">
        <f>Source!H30</f>
        <v>100 м2</v>
      </c>
      <c r="E38" s="10">
        <f>Source!I30</f>
        <v>3.3180000000000001</v>
      </c>
      <c r="F38" s="23">
        <f>Source!AL30+Source!AM30+Source!AO30</f>
        <v>92.9</v>
      </c>
      <c r="G38" s="24"/>
      <c r="H38" s="23"/>
      <c r="I38" s="24" t="str">
        <f>Source!BO30</f>
        <v/>
      </c>
      <c r="J38" s="24"/>
      <c r="K38" s="23"/>
      <c r="L38" s="25"/>
      <c r="S38">
        <f>ROUND((Source!FX30/100)*((ROUND(Source!AF30*Source!I30, 2)+ROUND(Source!AE30*Source!I30, 2))), 2)</f>
        <v>240.49</v>
      </c>
      <c r="T38">
        <f>Source!X30</f>
        <v>1613.67</v>
      </c>
      <c r="U38">
        <f>ROUND((Source!FY30/100)*((ROUND(Source!AF30*Source!I30, 2)+ROUND(Source!AE30*Source!I30, 2))), 2)</f>
        <v>204.41</v>
      </c>
      <c r="V38">
        <f>Source!Y30</f>
        <v>1371.62</v>
      </c>
    </row>
    <row r="39" spans="1:26" x14ac:dyDescent="0.2">
      <c r="C39" s="18" t="str">
        <f>"Объем: "&amp;Source!I30&amp;"=331,8/"&amp;"100"</f>
        <v>Объем: 3,318=331,8/100</v>
      </c>
    </row>
    <row r="40" spans="1:26" ht="14.25" x14ac:dyDescent="0.2">
      <c r="A40" s="38"/>
      <c r="B40" s="39"/>
      <c r="C40" s="39" t="s">
        <v>999</v>
      </c>
      <c r="D40" s="22"/>
      <c r="E40" s="10"/>
      <c r="F40" s="23">
        <f>Source!AO30</f>
        <v>88.84</v>
      </c>
      <c r="G40" s="24" t="str">
        <f>Source!DG30</f>
        <v/>
      </c>
      <c r="H40" s="23">
        <f>ROUND(Source!AF30*Source!I30, 2)</f>
        <v>294.77</v>
      </c>
      <c r="I40" s="24"/>
      <c r="J40" s="24">
        <f>IF(Source!BA30&lt;&gt; 0, Source!BA30, 1)</f>
        <v>6.71</v>
      </c>
      <c r="K40" s="23">
        <f>Source!S30</f>
        <v>1977.91</v>
      </c>
      <c r="L40" s="25"/>
      <c r="R40">
        <f>H40</f>
        <v>294.77</v>
      </c>
    </row>
    <row r="41" spans="1:26" ht="14.25" x14ac:dyDescent="0.2">
      <c r="A41" s="38"/>
      <c r="B41" s="39"/>
      <c r="C41" s="39" t="s">
        <v>301</v>
      </c>
      <c r="D41" s="22"/>
      <c r="E41" s="10"/>
      <c r="F41" s="23">
        <f>Source!AM30</f>
        <v>4.0599999999999996</v>
      </c>
      <c r="G41" s="24" t="str">
        <f>Source!DE30</f>
        <v/>
      </c>
      <c r="H41" s="23">
        <f>ROUND(Source!AD30*Source!I30, 2)</f>
        <v>13.47</v>
      </c>
      <c r="I41" s="24"/>
      <c r="J41" s="24">
        <f>IF(Source!BB30&lt;&gt; 0, Source!BB30, 1)</f>
        <v>6.71</v>
      </c>
      <c r="K41" s="23">
        <f>Source!Q30</f>
        <v>90.39</v>
      </c>
      <c r="L41" s="25"/>
    </row>
    <row r="42" spans="1:26" ht="14.25" x14ac:dyDescent="0.2">
      <c r="A42" s="38"/>
      <c r="B42" s="39"/>
      <c r="C42" s="39" t="s">
        <v>1000</v>
      </c>
      <c r="D42" s="22"/>
      <c r="E42" s="10"/>
      <c r="F42" s="23">
        <f>Source!AN30</f>
        <v>1.76</v>
      </c>
      <c r="G42" s="24" t="str">
        <f>Source!DF30</f>
        <v/>
      </c>
      <c r="H42" s="26">
        <f>ROUND(Source!AE30*Source!I30, 2)</f>
        <v>5.84</v>
      </c>
      <c r="I42" s="24"/>
      <c r="J42" s="24">
        <f>IF(Source!BS30&lt;&gt; 0, Source!BS30, 1)</f>
        <v>6.71</v>
      </c>
      <c r="K42" s="26">
        <f>Source!R30</f>
        <v>39.18</v>
      </c>
      <c r="L42" s="25"/>
      <c r="R42">
        <f>H42</f>
        <v>5.84</v>
      </c>
    </row>
    <row r="43" spans="1:26" ht="14.25" x14ac:dyDescent="0.2">
      <c r="A43" s="38"/>
      <c r="B43" s="39"/>
      <c r="C43" s="39" t="s">
        <v>1001</v>
      </c>
      <c r="D43" s="22" t="s">
        <v>1002</v>
      </c>
      <c r="E43" s="10">
        <f>Source!BZ30</f>
        <v>80</v>
      </c>
      <c r="F43" s="42"/>
      <c r="G43" s="24"/>
      <c r="H43" s="23">
        <f>SUM(S38:S45)</f>
        <v>240.49</v>
      </c>
      <c r="I43" s="27"/>
      <c r="J43" s="21">
        <f>Source!AT30</f>
        <v>80</v>
      </c>
      <c r="K43" s="23">
        <f>SUM(T38:T45)</f>
        <v>1613.67</v>
      </c>
      <c r="L43" s="25"/>
    </row>
    <row r="44" spans="1:26" ht="14.25" x14ac:dyDescent="0.2">
      <c r="A44" s="38"/>
      <c r="B44" s="39"/>
      <c r="C44" s="39" t="s">
        <v>1003</v>
      </c>
      <c r="D44" s="22" t="s">
        <v>1002</v>
      </c>
      <c r="E44" s="10">
        <f>Source!CA30</f>
        <v>68</v>
      </c>
      <c r="F44" s="42"/>
      <c r="G44" s="24"/>
      <c r="H44" s="23">
        <f>SUM(U38:U45)</f>
        <v>204.41</v>
      </c>
      <c r="I44" s="27"/>
      <c r="J44" s="21">
        <f>Source!AU30</f>
        <v>68</v>
      </c>
      <c r="K44" s="23">
        <f>SUM(V38:V45)</f>
        <v>1371.62</v>
      </c>
      <c r="L44" s="25"/>
    </row>
    <row r="45" spans="1:26" ht="14.25" x14ac:dyDescent="0.2">
      <c r="A45" s="40"/>
      <c r="B45" s="41"/>
      <c r="C45" s="41" t="s">
        <v>1004</v>
      </c>
      <c r="D45" s="28" t="s">
        <v>1005</v>
      </c>
      <c r="E45" s="29">
        <f>Source!AQ30</f>
        <v>11.39</v>
      </c>
      <c r="F45" s="30"/>
      <c r="G45" s="31" t="str">
        <f>Source!DI30</f>
        <v/>
      </c>
      <c r="H45" s="30"/>
      <c r="I45" s="31"/>
      <c r="J45" s="31"/>
      <c r="K45" s="30"/>
      <c r="L45" s="32">
        <f>Source!U30</f>
        <v>37.792020000000001</v>
      </c>
    </row>
    <row r="46" spans="1:26" ht="15" x14ac:dyDescent="0.25">
      <c r="G46" s="45">
        <f>H40+H41+H43+H44</f>
        <v>753.14</v>
      </c>
      <c r="H46" s="45"/>
      <c r="J46" s="45">
        <f>K40+K41+K43+K44</f>
        <v>5053.59</v>
      </c>
      <c r="K46" s="45"/>
      <c r="L46" s="33">
        <f>Source!U30</f>
        <v>37.792020000000001</v>
      </c>
      <c r="O46" s="19">
        <f>G46</f>
        <v>753.14</v>
      </c>
      <c r="P46" s="19">
        <f>J46</f>
        <v>5053.59</v>
      </c>
      <c r="Q46" s="19">
        <f>L46</f>
        <v>37.792020000000001</v>
      </c>
      <c r="W46">
        <f>IF(Source!BI30&lt;=1,H40+H41+H43+H44, 0)</f>
        <v>753.14</v>
      </c>
      <c r="X46">
        <f>IF(Source!BI30=2,H40+H41+H43+H44, 0)</f>
        <v>0</v>
      </c>
      <c r="Y46">
        <f>IF(Source!BI30=3,H40+H41+H43+H44, 0)</f>
        <v>0</v>
      </c>
      <c r="Z46">
        <f>IF(Source!BI30=4,H40+H41+H43+H44, 0)</f>
        <v>0</v>
      </c>
    </row>
    <row r="47" spans="1:26" ht="14.25" x14ac:dyDescent="0.2">
      <c r="A47" s="38" t="str">
        <f>Source!E31</f>
        <v>4</v>
      </c>
      <c r="B47" s="39" t="str">
        <f>Source!F31</f>
        <v>65-33-1</v>
      </c>
      <c r="C47" s="39" t="str">
        <f>Source!G31</f>
        <v>Смена жалюзийных решеток</v>
      </c>
      <c r="D47" s="22" t="str">
        <f>Source!H31</f>
        <v>100 ШТ</v>
      </c>
      <c r="E47" s="10">
        <f>Source!I31</f>
        <v>0.13</v>
      </c>
      <c r="F47" s="23">
        <f>Source!AL31+Source!AM31+Source!AO31</f>
        <v>430.86</v>
      </c>
      <c r="G47" s="24"/>
      <c r="H47" s="23"/>
      <c r="I47" s="24" t="str">
        <f>Source!BO31</f>
        <v/>
      </c>
      <c r="J47" s="24"/>
      <c r="K47" s="23"/>
      <c r="L47" s="25"/>
      <c r="S47">
        <f>ROUND((Source!FX31/100)*((ROUND(Source!AF31*Source!I31, 2)+ROUND(Source!AE31*Source!I31, 2))), 2)</f>
        <v>52.78</v>
      </c>
      <c r="T47">
        <f>Source!X31</f>
        <v>354.12</v>
      </c>
      <c r="U47">
        <f>ROUND((Source!FY31/100)*((ROUND(Source!AF31*Source!I31, 2)+ROUND(Source!AE31*Source!I31, 2))), 2)</f>
        <v>30.74</v>
      </c>
      <c r="V47">
        <f>Source!Y31</f>
        <v>206.29</v>
      </c>
    </row>
    <row r="48" spans="1:26" ht="14.25" x14ac:dyDescent="0.2">
      <c r="A48" s="38"/>
      <c r="B48" s="39"/>
      <c r="C48" s="39" t="s">
        <v>999</v>
      </c>
      <c r="D48" s="22"/>
      <c r="E48" s="10"/>
      <c r="F48" s="23">
        <f>Source!AO31</f>
        <v>394</v>
      </c>
      <c r="G48" s="24" t="str">
        <f>Source!DG31</f>
        <v/>
      </c>
      <c r="H48" s="23">
        <f>ROUND(Source!AF31*Source!I31, 2)</f>
        <v>51.22</v>
      </c>
      <c r="I48" s="24"/>
      <c r="J48" s="24">
        <f>IF(Source!BA31&lt;&gt; 0, Source!BA31, 1)</f>
        <v>6.71</v>
      </c>
      <c r="K48" s="23">
        <f>Source!S31</f>
        <v>343.69</v>
      </c>
      <c r="L48" s="25"/>
      <c r="R48">
        <f>H48</f>
        <v>51.22</v>
      </c>
    </row>
    <row r="49" spans="1:26" ht="14.25" x14ac:dyDescent="0.2">
      <c r="A49" s="38"/>
      <c r="B49" s="39"/>
      <c r="C49" s="39" t="s">
        <v>301</v>
      </c>
      <c r="D49" s="22"/>
      <c r="E49" s="10"/>
      <c r="F49" s="23">
        <f>Source!AM31</f>
        <v>0.31</v>
      </c>
      <c r="G49" s="24" t="str">
        <f>Source!DE31</f>
        <v/>
      </c>
      <c r="H49" s="23">
        <f>ROUND(Source!AD31*Source!I31, 2)</f>
        <v>0.04</v>
      </c>
      <c r="I49" s="24"/>
      <c r="J49" s="24">
        <f>IF(Source!BB31&lt;&gt; 0, Source!BB31, 1)</f>
        <v>6.71</v>
      </c>
      <c r="K49" s="23">
        <f>Source!Q31</f>
        <v>0.27</v>
      </c>
      <c r="L49" s="25"/>
    </row>
    <row r="50" spans="1:26" ht="14.25" x14ac:dyDescent="0.2">
      <c r="A50" s="38"/>
      <c r="B50" s="39"/>
      <c r="C50" s="39" t="s">
        <v>1000</v>
      </c>
      <c r="D50" s="22"/>
      <c r="E50" s="10"/>
      <c r="F50" s="23">
        <f>Source!AN31</f>
        <v>0.14000000000000001</v>
      </c>
      <c r="G50" s="24" t="str">
        <f>Source!DF31</f>
        <v/>
      </c>
      <c r="H50" s="26">
        <f>ROUND(Source!AE31*Source!I31, 2)</f>
        <v>0.02</v>
      </c>
      <c r="I50" s="24"/>
      <c r="J50" s="24">
        <f>IF(Source!BS31&lt;&gt; 0, Source!BS31, 1)</f>
        <v>6.71</v>
      </c>
      <c r="K50" s="26">
        <f>Source!R31</f>
        <v>0.12</v>
      </c>
      <c r="L50" s="25"/>
      <c r="R50">
        <f>H50</f>
        <v>0.02</v>
      </c>
    </row>
    <row r="51" spans="1:26" ht="14.25" x14ac:dyDescent="0.2">
      <c r="A51" s="38"/>
      <c r="B51" s="39"/>
      <c r="C51" s="39" t="s">
        <v>1006</v>
      </c>
      <c r="D51" s="22"/>
      <c r="E51" s="10"/>
      <c r="F51" s="23">
        <f>Source!AL31</f>
        <v>36.549999999999997</v>
      </c>
      <c r="G51" s="24" t="str">
        <f>Source!DD31</f>
        <v/>
      </c>
      <c r="H51" s="23">
        <f>ROUND(Source!AC31*Source!I31, 2)</f>
        <v>4.75</v>
      </c>
      <c r="I51" s="24"/>
      <c r="J51" s="24">
        <f>IF(Source!BC31&lt;&gt; 0, Source!BC31, 1)</f>
        <v>6.71</v>
      </c>
      <c r="K51" s="23">
        <f>Source!P31</f>
        <v>31.88</v>
      </c>
      <c r="L51" s="25"/>
    </row>
    <row r="52" spans="1:26" ht="14.25" x14ac:dyDescent="0.2">
      <c r="A52" s="38"/>
      <c r="B52" s="39"/>
      <c r="C52" s="39" t="s">
        <v>1001</v>
      </c>
      <c r="D52" s="22" t="s">
        <v>1002</v>
      </c>
      <c r="E52" s="10">
        <f>Source!BZ31</f>
        <v>103</v>
      </c>
      <c r="F52" s="42"/>
      <c r="G52" s="24"/>
      <c r="H52" s="23">
        <f>SUM(S47:S55)</f>
        <v>52.78</v>
      </c>
      <c r="I52" s="27"/>
      <c r="J52" s="21">
        <f>Source!AT31</f>
        <v>103</v>
      </c>
      <c r="K52" s="23">
        <f>SUM(T47:T55)</f>
        <v>354.12</v>
      </c>
      <c r="L52" s="25"/>
    </row>
    <row r="53" spans="1:26" ht="14.25" x14ac:dyDescent="0.2">
      <c r="A53" s="38"/>
      <c r="B53" s="39"/>
      <c r="C53" s="39" t="s">
        <v>1003</v>
      </c>
      <c r="D53" s="22" t="s">
        <v>1002</v>
      </c>
      <c r="E53" s="10">
        <f>Source!CA31</f>
        <v>60</v>
      </c>
      <c r="F53" s="42"/>
      <c r="G53" s="24"/>
      <c r="H53" s="23">
        <f>SUM(U47:U55)</f>
        <v>30.74</v>
      </c>
      <c r="I53" s="27"/>
      <c r="J53" s="21">
        <f>Source!AU31</f>
        <v>60</v>
      </c>
      <c r="K53" s="23">
        <f>SUM(V47:V55)</f>
        <v>206.29</v>
      </c>
      <c r="L53" s="25"/>
    </row>
    <row r="54" spans="1:26" ht="14.25" x14ac:dyDescent="0.2">
      <c r="A54" s="38"/>
      <c r="B54" s="39"/>
      <c r="C54" s="39" t="s">
        <v>1004</v>
      </c>
      <c r="D54" s="22" t="s">
        <v>1005</v>
      </c>
      <c r="E54" s="10">
        <f>Source!AQ31</f>
        <v>46.19</v>
      </c>
      <c r="F54" s="23"/>
      <c r="G54" s="24" t="str">
        <f>Source!DI31</f>
        <v/>
      </c>
      <c r="H54" s="23"/>
      <c r="I54" s="24"/>
      <c r="J54" s="24"/>
      <c r="K54" s="23"/>
      <c r="L54" s="34">
        <f>Source!U31</f>
        <v>6.0046999999999997</v>
      </c>
    </row>
    <row r="55" spans="1:26" ht="28.5" x14ac:dyDescent="0.2">
      <c r="A55" s="40" t="str">
        <f>Source!E32</f>
        <v>4,1</v>
      </c>
      <c r="B55" s="41" t="str">
        <f>Source!F32</f>
        <v>19.2.03.07-0028</v>
      </c>
      <c r="C55" s="41" t="str">
        <f>Source!G32</f>
        <v>Решетки пластиковые вентиляционные прим.(согласно тех.заданию)</v>
      </c>
      <c r="D55" s="28" t="str">
        <f>Source!H32</f>
        <v>шт.</v>
      </c>
      <c r="E55" s="29">
        <f>Source!I32</f>
        <v>13</v>
      </c>
      <c r="F55" s="30">
        <f>Source!AL32+Source!AM32+Source!AO32</f>
        <v>956.29</v>
      </c>
      <c r="G55" s="35" t="s">
        <v>3</v>
      </c>
      <c r="H55" s="30">
        <f>ROUND(Source!AC32*Source!I32, 2)+ROUND(Source!AD32*Source!I32, 2)+ROUND(Source!AF32*Source!I32, 2)</f>
        <v>12431.77</v>
      </c>
      <c r="I55" s="31"/>
      <c r="J55" s="31">
        <f>IF(Source!BC32&lt;&gt; 0, Source!BC32, 1)</f>
        <v>6.71</v>
      </c>
      <c r="K55" s="30">
        <f>Source!O32</f>
        <v>83417.179999999993</v>
      </c>
      <c r="L55" s="36"/>
      <c r="S55">
        <f>ROUND((Source!FX32/100)*((ROUND(Source!AF32*Source!I32, 2)+ROUND(Source!AE32*Source!I32, 2))), 2)</f>
        <v>0</v>
      </c>
      <c r="T55">
        <f>Source!X32</f>
        <v>0</v>
      </c>
      <c r="U55">
        <f>ROUND((Source!FY32/100)*((ROUND(Source!AF32*Source!I32, 2)+ROUND(Source!AE32*Source!I32, 2))), 2)</f>
        <v>0</v>
      </c>
      <c r="V55">
        <f>Source!Y32</f>
        <v>0</v>
      </c>
      <c r="W55">
        <f>IF(Source!BI32&lt;=1,H55, 0)</f>
        <v>12431.77</v>
      </c>
      <c r="X55">
        <f>IF(Source!BI32=2,H55, 0)</f>
        <v>0</v>
      </c>
      <c r="Y55">
        <f>IF(Source!BI32=3,H55, 0)</f>
        <v>0</v>
      </c>
      <c r="Z55">
        <f>IF(Source!BI32=4,H55, 0)</f>
        <v>0</v>
      </c>
    </row>
    <row r="56" spans="1:26" ht="15" x14ac:dyDescent="0.25">
      <c r="G56" s="45">
        <f>H48+H49+H51+H52+H53+SUM(H55:H55)</f>
        <v>12571.300000000001</v>
      </c>
      <c r="H56" s="45"/>
      <c r="J56" s="45">
        <f>K48+K49+K51+K52+K53+SUM(K55:K55)</f>
        <v>84353.43</v>
      </c>
      <c r="K56" s="45"/>
      <c r="L56" s="33">
        <f>Source!U31</f>
        <v>6.0046999999999997</v>
      </c>
      <c r="O56" s="19">
        <f>G56</f>
        <v>12571.300000000001</v>
      </c>
      <c r="P56" s="19">
        <f>J56</f>
        <v>84353.43</v>
      </c>
      <c r="Q56" s="19">
        <f>L56</f>
        <v>6.0046999999999997</v>
      </c>
      <c r="W56">
        <f>IF(Source!BI31&lt;=1,H48+H49+H51+H52+H53, 0)</f>
        <v>139.53</v>
      </c>
      <c r="X56">
        <f>IF(Source!BI31=2,H48+H49+H51+H52+H53, 0)</f>
        <v>0</v>
      </c>
      <c r="Y56">
        <f>IF(Source!BI31=3,H48+H49+H51+H52+H53, 0)</f>
        <v>0</v>
      </c>
      <c r="Z56">
        <f>IF(Source!BI31=4,H48+H49+H51+H52+H53, 0)</f>
        <v>0</v>
      </c>
    </row>
    <row r="57" spans="1:26" ht="28.5" x14ac:dyDescent="0.2">
      <c r="A57" s="38" t="str">
        <f>Source!E33</f>
        <v>5</v>
      </c>
      <c r="B57" s="39" t="str">
        <f>Source!F33</f>
        <v>46-02-009-02</v>
      </c>
      <c r="C57" s="39" t="str">
        <f>Source!G33</f>
        <v>Отбивка штукатурки с поверхностей стен</v>
      </c>
      <c r="D57" s="22" t="str">
        <f>Source!H33</f>
        <v>100 м2</v>
      </c>
      <c r="E57" s="10">
        <f>Source!I33</f>
        <v>1.6897</v>
      </c>
      <c r="F57" s="23">
        <f>Source!AL33+Source!AM33+Source!AO33</f>
        <v>178</v>
      </c>
      <c r="G57" s="24"/>
      <c r="H57" s="23"/>
      <c r="I57" s="24" t="str">
        <f>Source!BO33</f>
        <v/>
      </c>
      <c r="J57" s="24"/>
      <c r="K57" s="23"/>
      <c r="L57" s="25"/>
      <c r="S57">
        <f>ROUND((Source!FX33/100)*((ROUND(Source!AF33*Source!I33, 2)+ROUND(Source!AE33*Source!I33, 2))), 2)</f>
        <v>297.76</v>
      </c>
      <c r="T57">
        <f>Source!X33</f>
        <v>1997.96</v>
      </c>
      <c r="U57">
        <f>ROUND((Source!FY33/100)*((ROUND(Source!AF33*Source!I33, 2)+ROUND(Source!AE33*Source!I33, 2))), 2)</f>
        <v>178.96</v>
      </c>
      <c r="V57">
        <f>Source!Y33</f>
        <v>1210.8800000000001</v>
      </c>
    </row>
    <row r="58" spans="1:26" x14ac:dyDescent="0.2">
      <c r="C58" s="18" t="str">
        <f>"Объем: "&amp;Source!I33&amp;"=168,97/"&amp;"100"</f>
        <v>Объем: 1,6897=168,97/100</v>
      </c>
    </row>
    <row r="59" spans="1:26" ht="14.25" x14ac:dyDescent="0.2">
      <c r="A59" s="38"/>
      <c r="B59" s="39"/>
      <c r="C59" s="39" t="s">
        <v>999</v>
      </c>
      <c r="D59" s="22"/>
      <c r="E59" s="10"/>
      <c r="F59" s="23">
        <f>Source!AO33</f>
        <v>178</v>
      </c>
      <c r="G59" s="24" t="str">
        <f>Source!DG33</f>
        <v/>
      </c>
      <c r="H59" s="23">
        <f>ROUND(Source!AF33*Source!I33, 2)</f>
        <v>300.77</v>
      </c>
      <c r="I59" s="24"/>
      <c r="J59" s="24">
        <f>IF(Source!BA33&lt;&gt; 0, Source!BA33, 1)</f>
        <v>6.71</v>
      </c>
      <c r="K59" s="23">
        <f>Source!S33</f>
        <v>2018.14</v>
      </c>
      <c r="L59" s="25"/>
      <c r="R59">
        <f>H59</f>
        <v>300.77</v>
      </c>
    </row>
    <row r="60" spans="1:26" ht="14.25" x14ac:dyDescent="0.2">
      <c r="A60" s="38"/>
      <c r="B60" s="39"/>
      <c r="C60" s="39" t="s">
        <v>1001</v>
      </c>
      <c r="D60" s="22" t="s">
        <v>1002</v>
      </c>
      <c r="E60" s="10">
        <f>Source!BZ33</f>
        <v>110</v>
      </c>
      <c r="F60" s="49" t="str">
        <f>CONCATENATE(" )", Source!DL33, Source!FT33, "=", Source!FX33)</f>
        <v xml:space="preserve"> )*0,9=99</v>
      </c>
      <c r="G60" s="50"/>
      <c r="H60" s="23">
        <f>SUM(S57:S62)</f>
        <v>297.76</v>
      </c>
      <c r="I60" s="27"/>
      <c r="J60" s="21">
        <f>Source!AT33</f>
        <v>99</v>
      </c>
      <c r="K60" s="23">
        <f>SUM(T57:T62)</f>
        <v>1997.96</v>
      </c>
      <c r="L60" s="25"/>
    </row>
    <row r="61" spans="1:26" ht="14.25" x14ac:dyDescent="0.2">
      <c r="A61" s="38"/>
      <c r="B61" s="39"/>
      <c r="C61" s="39" t="s">
        <v>1003</v>
      </c>
      <c r="D61" s="22" t="s">
        <v>1002</v>
      </c>
      <c r="E61" s="10">
        <f>Source!CA33</f>
        <v>70</v>
      </c>
      <c r="F61" s="49" t="str">
        <f>CONCATENATE(" )", Source!DM33, Source!FU33, "=", Source!FY33)</f>
        <v xml:space="preserve"> )*0,85=59,5</v>
      </c>
      <c r="G61" s="50"/>
      <c r="H61" s="23">
        <f>SUM(U57:U62)</f>
        <v>178.96</v>
      </c>
      <c r="I61" s="27"/>
      <c r="J61" s="21">
        <f>Source!AU33</f>
        <v>60</v>
      </c>
      <c r="K61" s="23">
        <f>SUM(V57:V62)</f>
        <v>1210.8800000000001</v>
      </c>
      <c r="L61" s="25"/>
    </row>
    <row r="62" spans="1:26" ht="14.25" x14ac:dyDescent="0.2">
      <c r="A62" s="40"/>
      <c r="B62" s="41"/>
      <c r="C62" s="41" t="s">
        <v>1004</v>
      </c>
      <c r="D62" s="28" t="s">
        <v>1005</v>
      </c>
      <c r="E62" s="29">
        <f>Source!AQ33</f>
        <v>22.82</v>
      </c>
      <c r="F62" s="30"/>
      <c r="G62" s="31" t="str">
        <f>Source!DI33</f>
        <v/>
      </c>
      <c r="H62" s="30"/>
      <c r="I62" s="31"/>
      <c r="J62" s="31"/>
      <c r="K62" s="30"/>
      <c r="L62" s="32">
        <f>Source!U33</f>
        <v>38.558954</v>
      </c>
    </row>
    <row r="63" spans="1:26" ht="15" x14ac:dyDescent="0.25">
      <c r="G63" s="45">
        <f>H59+H60+H61</f>
        <v>777.49</v>
      </c>
      <c r="H63" s="45"/>
      <c r="J63" s="45">
        <f>K59+K60+K61</f>
        <v>5226.9800000000005</v>
      </c>
      <c r="K63" s="45"/>
      <c r="L63" s="33">
        <f>Source!U33</f>
        <v>38.558954</v>
      </c>
      <c r="O63" s="19">
        <f>G63</f>
        <v>777.49</v>
      </c>
      <c r="P63" s="19">
        <f>J63</f>
        <v>5226.9800000000005</v>
      </c>
      <c r="Q63" s="19">
        <f>L63</f>
        <v>38.558954</v>
      </c>
      <c r="W63">
        <f>IF(Source!BI33&lt;=1,H59+H60+H61, 0)</f>
        <v>777.49</v>
      </c>
      <c r="X63">
        <f>IF(Source!BI33=2,H59+H60+H61, 0)</f>
        <v>0</v>
      </c>
      <c r="Y63">
        <f>IF(Source!BI33=3,H59+H60+H61, 0)</f>
        <v>0</v>
      </c>
      <c r="Z63">
        <f>IF(Source!BI33=4,H59+H60+H61, 0)</f>
        <v>0</v>
      </c>
    </row>
    <row r="64" spans="1:26" ht="57" x14ac:dyDescent="0.2">
      <c r="A64" s="38" t="str">
        <f>Source!E34</f>
        <v>6</v>
      </c>
      <c r="B64" s="39" t="str">
        <f>Source!F34</f>
        <v>15-01-049-04 прим</v>
      </c>
      <c r="C64" s="39" t="str">
        <f>Source!G34</f>
        <v>Демонтаж школьной доски: Облицовка стен по готовому каркасу щитами-картинами из древесностружечных плит фанерованных шпоном</v>
      </c>
      <c r="D64" s="22" t="str">
        <f>Source!H34</f>
        <v>100 м2</v>
      </c>
      <c r="E64" s="10">
        <f>Source!I34</f>
        <v>0.315</v>
      </c>
      <c r="F64" s="23">
        <f>Source!AL34+Source!AM34+Source!AO34</f>
        <v>686.77</v>
      </c>
      <c r="G64" s="24"/>
      <c r="H64" s="23"/>
      <c r="I64" s="24" t="str">
        <f>Source!BO34</f>
        <v/>
      </c>
      <c r="J64" s="24"/>
      <c r="K64" s="23"/>
      <c r="L64" s="25"/>
      <c r="S64">
        <f>ROUND((Source!FX34/100)*((ROUND(Source!AF34*Source!I34, 2)+ROUND(Source!AE34*Source!I34, 2))), 2)</f>
        <v>118.63</v>
      </c>
      <c r="T64">
        <f>Source!X34</f>
        <v>800.14</v>
      </c>
      <c r="U64">
        <f>ROUND((Source!FY34/100)*((ROUND(Source!AF34*Source!I34, 2)+ROUND(Source!AE34*Source!I34, 2))), 2)</f>
        <v>58.69</v>
      </c>
      <c r="V64">
        <f>Source!Y34</f>
        <v>395.86</v>
      </c>
    </row>
    <row r="65" spans="1:26" x14ac:dyDescent="0.2">
      <c r="C65" s="18" t="str">
        <f>"Объем: "&amp;Source!I34&amp;"=31,5/"&amp;"100"</f>
        <v>Объем: 0,315=31,5/100</v>
      </c>
    </row>
    <row r="66" spans="1:26" ht="14.25" x14ac:dyDescent="0.2">
      <c r="A66" s="38"/>
      <c r="B66" s="39"/>
      <c r="C66" s="39" t="s">
        <v>999</v>
      </c>
      <c r="D66" s="22"/>
      <c r="E66" s="10"/>
      <c r="F66" s="23">
        <f>Source!AO34</f>
        <v>481.21</v>
      </c>
      <c r="G66" s="24" t="str">
        <f>Source!DG34</f>
        <v>)*0,8</v>
      </c>
      <c r="H66" s="23">
        <f>ROUND(Source!AF34*Source!I34, 2)</f>
        <v>121.27</v>
      </c>
      <c r="I66" s="24"/>
      <c r="J66" s="24">
        <f>IF(Source!BA34&lt;&gt; 0, Source!BA34, 1)</f>
        <v>6.71</v>
      </c>
      <c r="K66" s="23">
        <f>Source!S34</f>
        <v>813.69</v>
      </c>
      <c r="L66" s="25"/>
      <c r="R66">
        <f>H66</f>
        <v>121.27</v>
      </c>
    </row>
    <row r="67" spans="1:26" ht="14.25" x14ac:dyDescent="0.2">
      <c r="A67" s="38"/>
      <c r="B67" s="39"/>
      <c r="C67" s="39" t="s">
        <v>301</v>
      </c>
      <c r="D67" s="22"/>
      <c r="E67" s="10"/>
      <c r="F67" s="23">
        <f>Source!AM34</f>
        <v>85.73</v>
      </c>
      <c r="G67" s="24" t="str">
        <f>Source!DE34</f>
        <v>)*0,8</v>
      </c>
      <c r="H67" s="23">
        <f>ROUND(Source!AD34*Source!I34, 2)</f>
        <v>21.6</v>
      </c>
      <c r="I67" s="24"/>
      <c r="J67" s="24">
        <f>IF(Source!BB34&lt;&gt; 0, Source!BB34, 1)</f>
        <v>6.71</v>
      </c>
      <c r="K67" s="23">
        <f>Source!Q34</f>
        <v>144.94999999999999</v>
      </c>
      <c r="L67" s="25"/>
    </row>
    <row r="68" spans="1:26" ht="14.25" x14ac:dyDescent="0.2">
      <c r="A68" s="38"/>
      <c r="B68" s="39"/>
      <c r="C68" s="39" t="s">
        <v>1000</v>
      </c>
      <c r="D68" s="22"/>
      <c r="E68" s="10"/>
      <c r="F68" s="23">
        <f>Source!AN34</f>
        <v>16.89</v>
      </c>
      <c r="G68" s="24" t="str">
        <f>Source!DF34</f>
        <v>)*0,8</v>
      </c>
      <c r="H68" s="26">
        <f>ROUND(Source!AE34*Source!I34, 2)</f>
        <v>4.26</v>
      </c>
      <c r="I68" s="24"/>
      <c r="J68" s="24">
        <f>IF(Source!BS34&lt;&gt; 0, Source!BS34, 1)</f>
        <v>6.71</v>
      </c>
      <c r="K68" s="26">
        <f>Source!R34</f>
        <v>28.56</v>
      </c>
      <c r="L68" s="25"/>
      <c r="R68">
        <f>H68</f>
        <v>4.26</v>
      </c>
    </row>
    <row r="69" spans="1:26" ht="14.25" x14ac:dyDescent="0.2">
      <c r="A69" s="38"/>
      <c r="B69" s="39"/>
      <c r="C69" s="39" t="s">
        <v>1001</v>
      </c>
      <c r="D69" s="22" t="s">
        <v>1002</v>
      </c>
      <c r="E69" s="10">
        <f>Source!BZ34</f>
        <v>105</v>
      </c>
      <c r="F69" s="49" t="str">
        <f>CONCATENATE(" )", Source!DL34, Source!FT34, "=", Source!FX34)</f>
        <v xml:space="preserve"> )*0,9=94,5</v>
      </c>
      <c r="G69" s="50"/>
      <c r="H69" s="23">
        <f>SUM(S64:S71)</f>
        <v>118.63</v>
      </c>
      <c r="I69" s="27"/>
      <c r="J69" s="21">
        <f>Source!AT34</f>
        <v>95</v>
      </c>
      <c r="K69" s="23">
        <f>SUM(T64:T71)</f>
        <v>800.14</v>
      </c>
      <c r="L69" s="25"/>
    </row>
    <row r="70" spans="1:26" ht="14.25" x14ac:dyDescent="0.2">
      <c r="A70" s="38"/>
      <c r="B70" s="39"/>
      <c r="C70" s="39" t="s">
        <v>1003</v>
      </c>
      <c r="D70" s="22" t="s">
        <v>1002</v>
      </c>
      <c r="E70" s="10">
        <f>Source!CA34</f>
        <v>55</v>
      </c>
      <c r="F70" s="49" t="str">
        <f>CONCATENATE(" )", Source!DM34, Source!FU34, "=", Source!FY34)</f>
        <v xml:space="preserve"> )*0,85=46,75</v>
      </c>
      <c r="G70" s="50"/>
      <c r="H70" s="23">
        <f>SUM(U64:U71)</f>
        <v>58.69</v>
      </c>
      <c r="I70" s="27"/>
      <c r="J70" s="21">
        <f>Source!AU34</f>
        <v>47</v>
      </c>
      <c r="K70" s="23">
        <f>SUM(V64:V71)</f>
        <v>395.86</v>
      </c>
      <c r="L70" s="25"/>
    </row>
    <row r="71" spans="1:26" ht="14.25" x14ac:dyDescent="0.2">
      <c r="A71" s="40"/>
      <c r="B71" s="41"/>
      <c r="C71" s="41" t="s">
        <v>1004</v>
      </c>
      <c r="D71" s="28" t="s">
        <v>1005</v>
      </c>
      <c r="E71" s="29">
        <f>Source!AQ34</f>
        <v>50.6</v>
      </c>
      <c r="F71" s="30"/>
      <c r="G71" s="31" t="str">
        <f>Source!DI34</f>
        <v>)*0,8</v>
      </c>
      <c r="H71" s="30"/>
      <c r="I71" s="31"/>
      <c r="J71" s="31"/>
      <c r="K71" s="30"/>
      <c r="L71" s="32">
        <f>Source!U34</f>
        <v>12.751200000000001</v>
      </c>
    </row>
    <row r="72" spans="1:26" ht="15" x14ac:dyDescent="0.25">
      <c r="G72" s="45">
        <f>H66+H67+H69+H70</f>
        <v>320.19</v>
      </c>
      <c r="H72" s="45"/>
      <c r="J72" s="45">
        <f>K66+K67+K69+K70</f>
        <v>2154.6400000000003</v>
      </c>
      <c r="K72" s="45"/>
      <c r="L72" s="33">
        <f>Source!U34</f>
        <v>12.751200000000001</v>
      </c>
      <c r="O72" s="19">
        <f>G72</f>
        <v>320.19</v>
      </c>
      <c r="P72" s="19">
        <f>J72</f>
        <v>2154.6400000000003</v>
      </c>
      <c r="Q72" s="19">
        <f>L72</f>
        <v>12.751200000000001</v>
      </c>
      <c r="W72">
        <f>IF(Source!BI34&lt;=1,H66+H67+H69+H70, 0)</f>
        <v>320.19</v>
      </c>
      <c r="X72">
        <f>IF(Source!BI34=2,H66+H67+H69+H70, 0)</f>
        <v>0</v>
      </c>
      <c r="Y72">
        <f>IF(Source!BI34=3,H66+H67+H69+H70, 0)</f>
        <v>0</v>
      </c>
      <c r="Z72">
        <f>IF(Source!BI34=4,H66+H67+H69+H70, 0)</f>
        <v>0</v>
      </c>
    </row>
    <row r="73" spans="1:26" ht="85.5" x14ac:dyDescent="0.2">
      <c r="A73" s="38" t="str">
        <f>Source!E35</f>
        <v>7</v>
      </c>
      <c r="B73" s="39" t="str">
        <f>Source!F35</f>
        <v>15-01-049-04 прим</v>
      </c>
      <c r="C73" s="39" t="str">
        <f>Source!G35</f>
        <v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v>
      </c>
      <c r="D73" s="22" t="str">
        <f>Source!H35</f>
        <v>100 м2</v>
      </c>
      <c r="E73" s="10">
        <f>Source!I35</f>
        <v>0.315</v>
      </c>
      <c r="F73" s="23">
        <f>Source!AL35+Source!AM35+Source!AO35</f>
        <v>686.77</v>
      </c>
      <c r="G73" s="24"/>
      <c r="H73" s="23"/>
      <c r="I73" s="24" t="str">
        <f>Source!BO35</f>
        <v/>
      </c>
      <c r="J73" s="24"/>
      <c r="K73" s="23"/>
      <c r="L73" s="25"/>
      <c r="S73">
        <f>ROUND((Source!FX35/100)*((ROUND(Source!AF35*Source!I35, 2)+ROUND(Source!AE35*Source!I35, 2))), 2)</f>
        <v>118.63</v>
      </c>
      <c r="T73">
        <f>Source!X35</f>
        <v>800.14</v>
      </c>
      <c r="U73">
        <f>ROUND((Source!FY35/100)*((ROUND(Source!AF35*Source!I35, 2)+ROUND(Source!AE35*Source!I35, 2))), 2)</f>
        <v>58.69</v>
      </c>
      <c r="V73">
        <f>Source!Y35</f>
        <v>395.86</v>
      </c>
    </row>
    <row r="74" spans="1:26" x14ac:dyDescent="0.2">
      <c r="C74" s="18" t="str">
        <f>"Объем: "&amp;Source!I35&amp;"=31,5/"&amp;"100"</f>
        <v>Объем: 0,315=31,5/100</v>
      </c>
    </row>
    <row r="75" spans="1:26" ht="14.25" x14ac:dyDescent="0.2">
      <c r="A75" s="38"/>
      <c r="B75" s="39"/>
      <c r="C75" s="39" t="s">
        <v>999</v>
      </c>
      <c r="D75" s="22"/>
      <c r="E75" s="10"/>
      <c r="F75" s="23">
        <f>Source!AO35</f>
        <v>481.21</v>
      </c>
      <c r="G75" s="24" t="str">
        <f>Source!DG35</f>
        <v>)*0,8</v>
      </c>
      <c r="H75" s="23">
        <f>ROUND(Source!AF35*Source!I35, 2)</f>
        <v>121.27</v>
      </c>
      <c r="I75" s="24"/>
      <c r="J75" s="24">
        <f>IF(Source!BA35&lt;&gt; 0, Source!BA35, 1)</f>
        <v>6.71</v>
      </c>
      <c r="K75" s="23">
        <f>Source!S35</f>
        <v>813.69</v>
      </c>
      <c r="L75" s="25"/>
      <c r="R75">
        <f>H75</f>
        <v>121.27</v>
      </c>
    </row>
    <row r="76" spans="1:26" ht="14.25" x14ac:dyDescent="0.2">
      <c r="A76" s="38"/>
      <c r="B76" s="39"/>
      <c r="C76" s="39" t="s">
        <v>301</v>
      </c>
      <c r="D76" s="22"/>
      <c r="E76" s="10"/>
      <c r="F76" s="23">
        <f>Source!AM35</f>
        <v>85.73</v>
      </c>
      <c r="G76" s="24" t="str">
        <f>Source!DE35</f>
        <v>)*0,8</v>
      </c>
      <c r="H76" s="23">
        <f>ROUND(Source!AD35*Source!I35, 2)</f>
        <v>21.6</v>
      </c>
      <c r="I76" s="24"/>
      <c r="J76" s="24">
        <f>IF(Source!BB35&lt;&gt; 0, Source!BB35, 1)</f>
        <v>6.71</v>
      </c>
      <c r="K76" s="23">
        <f>Source!Q35</f>
        <v>144.94999999999999</v>
      </c>
      <c r="L76" s="25"/>
    </row>
    <row r="77" spans="1:26" ht="14.25" x14ac:dyDescent="0.2">
      <c r="A77" s="38"/>
      <c r="B77" s="39"/>
      <c r="C77" s="39" t="s">
        <v>1000</v>
      </c>
      <c r="D77" s="22"/>
      <c r="E77" s="10"/>
      <c r="F77" s="23">
        <f>Source!AN35</f>
        <v>16.89</v>
      </c>
      <c r="G77" s="24" t="str">
        <f>Source!DF35</f>
        <v>)*0,8</v>
      </c>
      <c r="H77" s="26">
        <f>ROUND(Source!AE35*Source!I35, 2)</f>
        <v>4.26</v>
      </c>
      <c r="I77" s="24"/>
      <c r="J77" s="24">
        <f>IF(Source!BS35&lt;&gt; 0, Source!BS35, 1)</f>
        <v>6.71</v>
      </c>
      <c r="K77" s="26">
        <f>Source!R35</f>
        <v>28.56</v>
      </c>
      <c r="L77" s="25"/>
      <c r="R77">
        <f>H77</f>
        <v>4.26</v>
      </c>
    </row>
    <row r="78" spans="1:26" ht="14.25" x14ac:dyDescent="0.2">
      <c r="A78" s="38"/>
      <c r="B78" s="39"/>
      <c r="C78" s="39" t="s">
        <v>1001</v>
      </c>
      <c r="D78" s="22" t="s">
        <v>1002</v>
      </c>
      <c r="E78" s="10">
        <f>Source!BZ35</f>
        <v>105</v>
      </c>
      <c r="F78" s="49" t="str">
        <f>CONCATENATE(" )", Source!DL35, Source!FT35, "=", Source!FX35)</f>
        <v xml:space="preserve"> )*0,9=94,5</v>
      </c>
      <c r="G78" s="50"/>
      <c r="H78" s="23">
        <f>SUM(S73:S80)</f>
        <v>118.63</v>
      </c>
      <c r="I78" s="27"/>
      <c r="J78" s="21">
        <f>Source!AT35</f>
        <v>95</v>
      </c>
      <c r="K78" s="23">
        <f>SUM(T73:T80)</f>
        <v>800.14</v>
      </c>
      <c r="L78" s="25"/>
    </row>
    <row r="79" spans="1:26" ht="14.25" x14ac:dyDescent="0.2">
      <c r="A79" s="38"/>
      <c r="B79" s="39"/>
      <c r="C79" s="39" t="s">
        <v>1003</v>
      </c>
      <c r="D79" s="22" t="s">
        <v>1002</v>
      </c>
      <c r="E79" s="10">
        <f>Source!CA35</f>
        <v>55</v>
      </c>
      <c r="F79" s="49" t="str">
        <f>CONCATENATE(" )", Source!DM35, Source!FU35, "=", Source!FY35)</f>
        <v xml:space="preserve"> )*0,85=46,75</v>
      </c>
      <c r="G79" s="50"/>
      <c r="H79" s="23">
        <f>SUM(U73:U80)</f>
        <v>58.69</v>
      </c>
      <c r="I79" s="27"/>
      <c r="J79" s="21">
        <f>Source!AU35</f>
        <v>47</v>
      </c>
      <c r="K79" s="23">
        <f>SUM(V73:V80)</f>
        <v>395.86</v>
      </c>
      <c r="L79" s="25"/>
    </row>
    <row r="80" spans="1:26" ht="14.25" x14ac:dyDescent="0.2">
      <c r="A80" s="40"/>
      <c r="B80" s="41"/>
      <c r="C80" s="41" t="s">
        <v>1004</v>
      </c>
      <c r="D80" s="28" t="s">
        <v>1005</v>
      </c>
      <c r="E80" s="29">
        <f>Source!AQ35</f>
        <v>50.6</v>
      </c>
      <c r="F80" s="30"/>
      <c r="G80" s="31" t="str">
        <f>Source!DI35</f>
        <v>)*0,8</v>
      </c>
      <c r="H80" s="30"/>
      <c r="I80" s="31"/>
      <c r="J80" s="31"/>
      <c r="K80" s="30"/>
      <c r="L80" s="32">
        <f>Source!U35</f>
        <v>12.751200000000001</v>
      </c>
    </row>
    <row r="81" spans="1:26" ht="15" x14ac:dyDescent="0.25">
      <c r="G81" s="45">
        <f>H75+H76+H78+H79</f>
        <v>320.19</v>
      </c>
      <c r="H81" s="45"/>
      <c r="J81" s="45">
        <f>K75+K76+K78+K79</f>
        <v>2154.6400000000003</v>
      </c>
      <c r="K81" s="45"/>
      <c r="L81" s="33">
        <f>Source!U35</f>
        <v>12.751200000000001</v>
      </c>
      <c r="O81" s="19">
        <f>G81</f>
        <v>320.19</v>
      </c>
      <c r="P81" s="19">
        <f>J81</f>
        <v>2154.6400000000003</v>
      </c>
      <c r="Q81" s="19">
        <f>L81</f>
        <v>12.751200000000001</v>
      </c>
      <c r="W81">
        <f>IF(Source!BI35&lt;=1,H75+H76+H78+H79, 0)</f>
        <v>320.19</v>
      </c>
      <c r="X81">
        <f>IF(Source!BI35=2,H75+H76+H78+H79, 0)</f>
        <v>0</v>
      </c>
      <c r="Y81">
        <f>IF(Source!BI35=3,H75+H76+H78+H79, 0)</f>
        <v>0</v>
      </c>
      <c r="Z81">
        <f>IF(Source!BI35=4,H75+H76+H78+H79, 0)</f>
        <v>0</v>
      </c>
    </row>
    <row r="82" spans="1:26" ht="42.75" x14ac:dyDescent="0.2">
      <c r="A82" s="38" t="str">
        <f>Source!E36</f>
        <v>8</v>
      </c>
      <c r="B82" s="39" t="str">
        <f>Source!F36</f>
        <v>17-01-002-04 прим.</v>
      </c>
      <c r="C82" s="39" t="str">
        <f>Source!G36</f>
        <v>Демонтаж :Установка гарнитуры туалетной: вешалок, подстаканников, поручней для ванн и т.д.</v>
      </c>
      <c r="D82" s="22" t="str">
        <f>Source!H36</f>
        <v>10 ШТ</v>
      </c>
      <c r="E82" s="10">
        <f>Source!I36</f>
        <v>0.7</v>
      </c>
      <c r="F82" s="23">
        <f>Source!AL36+Source!AM36+Source!AO36</f>
        <v>27.540000000000003</v>
      </c>
      <c r="G82" s="24"/>
      <c r="H82" s="23"/>
      <c r="I82" s="24" t="str">
        <f>Source!BO36</f>
        <v/>
      </c>
      <c r="J82" s="24"/>
      <c r="K82" s="23"/>
      <c r="L82" s="25"/>
      <c r="S82">
        <f>ROUND((Source!FX36/100)*((ROUND(Source!AF36*Source!I36, 2)+ROUND(Source!AE36*Source!I36, 2))), 2)</f>
        <v>8.6999999999999993</v>
      </c>
      <c r="T82">
        <f>Source!X36</f>
        <v>58.22</v>
      </c>
      <c r="U82">
        <f>ROUND((Source!FY36/100)*((ROUND(Source!AF36*Source!I36, 2)+ROUND(Source!AE36*Source!I36, 2))), 2)</f>
        <v>5.33</v>
      </c>
      <c r="V82">
        <f>Source!Y36</f>
        <v>35.950000000000003</v>
      </c>
    </row>
    <row r="83" spans="1:26" x14ac:dyDescent="0.2">
      <c r="C83" s="18" t="str">
        <f>"Объем: "&amp;Source!I36&amp;"=7/"&amp;"10"</f>
        <v>Объем: 0,7=7/10</v>
      </c>
    </row>
    <row r="84" spans="1:26" ht="14.25" x14ac:dyDescent="0.2">
      <c r="A84" s="38"/>
      <c r="B84" s="39"/>
      <c r="C84" s="39" t="s">
        <v>999</v>
      </c>
      <c r="D84" s="22"/>
      <c r="E84" s="10"/>
      <c r="F84" s="23">
        <f>Source!AO36</f>
        <v>26.94</v>
      </c>
      <c r="G84" s="24" t="str">
        <f>Source!DG36</f>
        <v>)*0,4</v>
      </c>
      <c r="H84" s="23">
        <f>ROUND(Source!AF36*Source!I36, 2)</f>
        <v>7.55</v>
      </c>
      <c r="I84" s="24"/>
      <c r="J84" s="24">
        <f>IF(Source!BA36&lt;&gt; 0, Source!BA36, 1)</f>
        <v>6.71</v>
      </c>
      <c r="K84" s="23">
        <f>Source!S36</f>
        <v>50.63</v>
      </c>
      <c r="L84" s="25"/>
      <c r="R84">
        <f>H84</f>
        <v>7.55</v>
      </c>
    </row>
    <row r="85" spans="1:26" ht="14.25" x14ac:dyDescent="0.2">
      <c r="A85" s="38"/>
      <c r="B85" s="39"/>
      <c r="C85" s="39" t="s">
        <v>1001</v>
      </c>
      <c r="D85" s="22" t="s">
        <v>1002</v>
      </c>
      <c r="E85" s="10">
        <f>Source!BZ36</f>
        <v>128</v>
      </c>
      <c r="F85" s="49" t="str">
        <f>CONCATENATE(" )", Source!DL36, Source!FT36, "=", Source!FX36)</f>
        <v xml:space="preserve"> )*0,9=115,2</v>
      </c>
      <c r="G85" s="50"/>
      <c r="H85" s="23">
        <f>SUM(S82:S87)</f>
        <v>8.6999999999999993</v>
      </c>
      <c r="I85" s="27"/>
      <c r="J85" s="21">
        <f>Source!AT36</f>
        <v>115</v>
      </c>
      <c r="K85" s="23">
        <f>SUM(T82:T87)</f>
        <v>58.22</v>
      </c>
      <c r="L85" s="25"/>
    </row>
    <row r="86" spans="1:26" ht="14.25" x14ac:dyDescent="0.2">
      <c r="A86" s="38"/>
      <c r="B86" s="39"/>
      <c r="C86" s="39" t="s">
        <v>1003</v>
      </c>
      <c r="D86" s="22" t="s">
        <v>1002</v>
      </c>
      <c r="E86" s="10">
        <f>Source!CA36</f>
        <v>83</v>
      </c>
      <c r="F86" s="49" t="str">
        <f>CONCATENATE(" )", Source!DM36, Source!FU36, "=", Source!FY36)</f>
        <v xml:space="preserve"> )*0,85=70,55</v>
      </c>
      <c r="G86" s="50"/>
      <c r="H86" s="23">
        <f>SUM(U82:U87)</f>
        <v>5.33</v>
      </c>
      <c r="I86" s="27"/>
      <c r="J86" s="21">
        <f>Source!AU36</f>
        <v>71</v>
      </c>
      <c r="K86" s="23">
        <f>SUM(V82:V87)</f>
        <v>35.950000000000003</v>
      </c>
      <c r="L86" s="25"/>
    </row>
    <row r="87" spans="1:26" ht="14.25" x14ac:dyDescent="0.2">
      <c r="A87" s="40"/>
      <c r="B87" s="41"/>
      <c r="C87" s="41" t="s">
        <v>1004</v>
      </c>
      <c r="D87" s="28" t="s">
        <v>1005</v>
      </c>
      <c r="E87" s="29">
        <f>Source!AQ36</f>
        <v>2.8</v>
      </c>
      <c r="F87" s="30"/>
      <c r="G87" s="31" t="str">
        <f>Source!DI36</f>
        <v>)*0,4</v>
      </c>
      <c r="H87" s="30"/>
      <c r="I87" s="31"/>
      <c r="J87" s="31"/>
      <c r="K87" s="30"/>
      <c r="L87" s="32">
        <f>Source!U36</f>
        <v>0.78399999999999992</v>
      </c>
    </row>
    <row r="88" spans="1:26" ht="15" x14ac:dyDescent="0.25">
      <c r="G88" s="45">
        <f>H84+H85+H86</f>
        <v>21.58</v>
      </c>
      <c r="H88" s="45"/>
      <c r="J88" s="45">
        <f>K84+K85+K86</f>
        <v>144.80000000000001</v>
      </c>
      <c r="K88" s="45"/>
      <c r="L88" s="33">
        <f>Source!U36</f>
        <v>0.78399999999999992</v>
      </c>
      <c r="O88" s="19">
        <f>G88</f>
        <v>21.58</v>
      </c>
      <c r="P88" s="19">
        <f>J88</f>
        <v>144.80000000000001</v>
      </c>
      <c r="Q88" s="19">
        <f>L88</f>
        <v>0.78399999999999992</v>
      </c>
      <c r="W88">
        <f>IF(Source!BI36&lt;=1,H84+H85+H86, 0)</f>
        <v>21.58</v>
      </c>
      <c r="X88">
        <f>IF(Source!BI36=2,H84+H85+H86, 0)</f>
        <v>0</v>
      </c>
      <c r="Y88">
        <f>IF(Source!BI36=3,H84+H85+H86, 0)</f>
        <v>0</v>
      </c>
      <c r="Z88">
        <f>IF(Source!BI36=4,H84+H85+H86, 0)</f>
        <v>0</v>
      </c>
    </row>
    <row r="89" spans="1:26" ht="42.75" x14ac:dyDescent="0.2">
      <c r="A89" s="38" t="str">
        <f>Source!E37</f>
        <v>9</v>
      </c>
      <c r="B89" s="39" t="str">
        <f>Source!F37</f>
        <v>17-01-002-04 прим.</v>
      </c>
      <c r="C89" s="39" t="str">
        <f>Source!G37</f>
        <v>Установка гарнитуры туалетной: вешалок, подстаканников, поручней для ванн и т.д.</v>
      </c>
      <c r="D89" s="22" t="str">
        <f>Source!H37</f>
        <v>10 ШТ</v>
      </c>
      <c r="E89" s="10">
        <f>Source!I37</f>
        <v>0.7</v>
      </c>
      <c r="F89" s="23">
        <f>Source!AL37+Source!AM37+Source!AO37</f>
        <v>27.540000000000003</v>
      </c>
      <c r="G89" s="24"/>
      <c r="H89" s="23"/>
      <c r="I89" s="24" t="str">
        <f>Source!BO37</f>
        <v/>
      </c>
      <c r="J89" s="24"/>
      <c r="K89" s="23"/>
      <c r="L89" s="25"/>
      <c r="S89">
        <f>ROUND((Source!FX37/100)*((ROUND(Source!AF37*Source!I37, 2)+ROUND(Source!AE37*Source!I37, 2))), 2)</f>
        <v>21.73</v>
      </c>
      <c r="T89">
        <f>Source!X37</f>
        <v>145.52000000000001</v>
      </c>
      <c r="U89">
        <f>ROUND((Source!FY37/100)*((ROUND(Source!AF37*Source!I37, 2)+ROUND(Source!AE37*Source!I37, 2))), 2)</f>
        <v>13.31</v>
      </c>
      <c r="V89">
        <f>Source!Y37</f>
        <v>89.84</v>
      </c>
    </row>
    <row r="90" spans="1:26" x14ac:dyDescent="0.2">
      <c r="C90" s="18" t="str">
        <f>"Объем: "&amp;Source!I37&amp;"=7/"&amp;"10"</f>
        <v>Объем: 0,7=7/10</v>
      </c>
    </row>
    <row r="91" spans="1:26" ht="14.25" x14ac:dyDescent="0.2">
      <c r="A91" s="38"/>
      <c r="B91" s="39"/>
      <c r="C91" s="39" t="s">
        <v>999</v>
      </c>
      <c r="D91" s="22"/>
      <c r="E91" s="10"/>
      <c r="F91" s="23">
        <f>Source!AO37</f>
        <v>26.94</v>
      </c>
      <c r="G91" s="24" t="str">
        <f>Source!DG37</f>
        <v/>
      </c>
      <c r="H91" s="23">
        <f>ROUND(Source!AF37*Source!I37, 2)</f>
        <v>18.86</v>
      </c>
      <c r="I91" s="24"/>
      <c r="J91" s="24">
        <f>IF(Source!BA37&lt;&gt; 0, Source!BA37, 1)</f>
        <v>6.71</v>
      </c>
      <c r="K91" s="23">
        <f>Source!S37</f>
        <v>126.54</v>
      </c>
      <c r="L91" s="25"/>
      <c r="R91">
        <f>H91</f>
        <v>18.86</v>
      </c>
    </row>
    <row r="92" spans="1:26" ht="14.25" x14ac:dyDescent="0.2">
      <c r="A92" s="38"/>
      <c r="B92" s="39"/>
      <c r="C92" s="39" t="s">
        <v>1006</v>
      </c>
      <c r="D92" s="22"/>
      <c r="E92" s="10"/>
      <c r="F92" s="23">
        <f>Source!AL37</f>
        <v>0.6</v>
      </c>
      <c r="G92" s="24" t="str">
        <f>Source!DD37</f>
        <v/>
      </c>
      <c r="H92" s="23">
        <f>ROUND(Source!AC37*Source!I37, 2)</f>
        <v>0.42</v>
      </c>
      <c r="I92" s="24"/>
      <c r="J92" s="24">
        <f>IF(Source!BC37&lt;&gt; 0, Source!BC37, 1)</f>
        <v>6.71</v>
      </c>
      <c r="K92" s="23">
        <f>Source!P37</f>
        <v>2.82</v>
      </c>
      <c r="L92" s="25"/>
    </row>
    <row r="93" spans="1:26" ht="14.25" x14ac:dyDescent="0.2">
      <c r="A93" s="38"/>
      <c r="B93" s="39"/>
      <c r="C93" s="39" t="s">
        <v>1001</v>
      </c>
      <c r="D93" s="22" t="s">
        <v>1002</v>
      </c>
      <c r="E93" s="10">
        <f>Source!BZ37</f>
        <v>128</v>
      </c>
      <c r="F93" s="49" t="str">
        <f>CONCATENATE(" )", Source!DL37, Source!FT37, "=", Source!FX37)</f>
        <v xml:space="preserve"> )*0,9=115,2</v>
      </c>
      <c r="G93" s="50"/>
      <c r="H93" s="23">
        <f>SUM(S89:S96)</f>
        <v>21.73</v>
      </c>
      <c r="I93" s="27"/>
      <c r="J93" s="21">
        <f>Source!AT37</f>
        <v>115</v>
      </c>
      <c r="K93" s="23">
        <f>SUM(T89:T96)</f>
        <v>145.52000000000001</v>
      </c>
      <c r="L93" s="25"/>
    </row>
    <row r="94" spans="1:26" ht="14.25" x14ac:dyDescent="0.2">
      <c r="A94" s="38"/>
      <c r="B94" s="39"/>
      <c r="C94" s="39" t="s">
        <v>1003</v>
      </c>
      <c r="D94" s="22" t="s">
        <v>1002</v>
      </c>
      <c r="E94" s="10">
        <f>Source!CA37</f>
        <v>83</v>
      </c>
      <c r="F94" s="49" t="str">
        <f>CONCATENATE(" )", Source!DM37, Source!FU37, "=", Source!FY37)</f>
        <v xml:space="preserve"> )*0,85=70,55</v>
      </c>
      <c r="G94" s="50"/>
      <c r="H94" s="23">
        <f>SUM(U89:U96)</f>
        <v>13.31</v>
      </c>
      <c r="I94" s="27"/>
      <c r="J94" s="21">
        <f>Source!AU37</f>
        <v>71</v>
      </c>
      <c r="K94" s="23">
        <f>SUM(V89:V96)</f>
        <v>89.84</v>
      </c>
      <c r="L94" s="25"/>
    </row>
    <row r="95" spans="1:26" ht="14.25" x14ac:dyDescent="0.2">
      <c r="A95" s="38"/>
      <c r="B95" s="39"/>
      <c r="C95" s="39" t="s">
        <v>1004</v>
      </c>
      <c r="D95" s="22" t="s">
        <v>1005</v>
      </c>
      <c r="E95" s="10">
        <f>Source!AQ37</f>
        <v>2.8</v>
      </c>
      <c r="F95" s="23"/>
      <c r="G95" s="24" t="str">
        <f>Source!DI37</f>
        <v/>
      </c>
      <c r="H95" s="23"/>
      <c r="I95" s="24"/>
      <c r="J95" s="24"/>
      <c r="K95" s="23"/>
      <c r="L95" s="34">
        <f>Source!U37</f>
        <v>1.9599999999999997</v>
      </c>
    </row>
    <row r="96" spans="1:26" ht="42.75" x14ac:dyDescent="0.2">
      <c r="A96" s="40" t="str">
        <f>Source!E38</f>
        <v>9,1</v>
      </c>
      <c r="B96" s="41" t="str">
        <f>Source!F38</f>
        <v>18.2.06.03-0001</v>
      </c>
      <c r="C96" s="41" t="str">
        <f>Source!G38</f>
        <v>Вешалки-крючки однорожковые В-К стальные с гальванопокрытием  20 крючков прим.</v>
      </c>
      <c r="D96" s="28" t="str">
        <f>Source!H38</f>
        <v>шт.</v>
      </c>
      <c r="E96" s="29">
        <f>Source!I38</f>
        <v>7</v>
      </c>
      <c r="F96" s="30">
        <f>Source!AL38+Source!AM38+Source!AO38</f>
        <v>3.74</v>
      </c>
      <c r="G96" s="35" t="s">
        <v>3</v>
      </c>
      <c r="H96" s="30">
        <f>ROUND(Source!AC38*Source!I38, 2)+ROUND(Source!AD38*Source!I38, 2)+ROUND(Source!AF38*Source!I38, 2)</f>
        <v>26.18</v>
      </c>
      <c r="I96" s="31"/>
      <c r="J96" s="31">
        <f>IF(Source!BC38&lt;&gt; 0, Source!BC38, 1)</f>
        <v>6.71</v>
      </c>
      <c r="K96" s="30">
        <f>Source!O38</f>
        <v>175.67</v>
      </c>
      <c r="L96" s="36"/>
      <c r="S96">
        <f>ROUND((Source!FX38/100)*((ROUND(Source!AF38*Source!I38, 2)+ROUND(Source!AE38*Source!I38, 2))), 2)</f>
        <v>0</v>
      </c>
      <c r="T96">
        <f>Source!X38</f>
        <v>0</v>
      </c>
      <c r="U96">
        <f>ROUND((Source!FY38/100)*((ROUND(Source!AF38*Source!I38, 2)+ROUND(Source!AE38*Source!I38, 2))), 2)</f>
        <v>0</v>
      </c>
      <c r="V96">
        <f>Source!Y38</f>
        <v>0</v>
      </c>
      <c r="W96">
        <f>IF(Source!BI38&lt;=1,H96, 0)</f>
        <v>26.18</v>
      </c>
      <c r="X96">
        <f>IF(Source!BI38=2,H96, 0)</f>
        <v>0</v>
      </c>
      <c r="Y96">
        <f>IF(Source!BI38=3,H96, 0)</f>
        <v>0</v>
      </c>
      <c r="Z96">
        <f>IF(Source!BI38=4,H96, 0)</f>
        <v>0</v>
      </c>
    </row>
    <row r="97" spans="1:26" ht="15" x14ac:dyDescent="0.25">
      <c r="G97" s="45">
        <f>H91+H92+H93+H94+SUM(H96:H96)</f>
        <v>80.5</v>
      </c>
      <c r="H97" s="45"/>
      <c r="J97" s="45">
        <f>K91+K92+K93+K94+SUM(K96:K96)</f>
        <v>540.39</v>
      </c>
      <c r="K97" s="45"/>
      <c r="L97" s="33">
        <f>Source!U37</f>
        <v>1.9599999999999997</v>
      </c>
      <c r="O97" s="19">
        <f>G97</f>
        <v>80.5</v>
      </c>
      <c r="P97" s="19">
        <f>J97</f>
        <v>540.39</v>
      </c>
      <c r="Q97" s="19">
        <f>L97</f>
        <v>1.9599999999999997</v>
      </c>
      <c r="W97">
        <f>IF(Source!BI37&lt;=1,H91+H92+H93+H94, 0)</f>
        <v>54.320000000000007</v>
      </c>
      <c r="X97">
        <f>IF(Source!BI37=2,H91+H92+H93+H94, 0)</f>
        <v>0</v>
      </c>
      <c r="Y97">
        <f>IF(Source!BI37=3,H91+H92+H93+H94, 0)</f>
        <v>0</v>
      </c>
      <c r="Z97">
        <f>IF(Source!BI37=4,H91+H92+H93+H94, 0)</f>
        <v>0</v>
      </c>
    </row>
    <row r="98" spans="1:26" ht="28.5" x14ac:dyDescent="0.2">
      <c r="A98" s="38" t="str">
        <f>Source!E39</f>
        <v>10</v>
      </c>
      <c r="B98" s="39" t="str">
        <f>Source!F39</f>
        <v>09-04-012-01</v>
      </c>
      <c r="C98" s="39" t="str">
        <f>Source!G39</f>
        <v>Установка металлических дверных блоков в готовые проемы</v>
      </c>
      <c r="D98" s="22" t="str">
        <f>Source!H39</f>
        <v>м2</v>
      </c>
      <c r="E98" s="10">
        <f>Source!I39</f>
        <v>20.399999999999999</v>
      </c>
      <c r="F98" s="23">
        <f>Source!AL39+Source!AM39+Source!AO39</f>
        <v>63.94</v>
      </c>
      <c r="G98" s="24"/>
      <c r="H98" s="23"/>
      <c r="I98" s="24" t="str">
        <f>Source!BO39</f>
        <v/>
      </c>
      <c r="J98" s="24"/>
      <c r="K98" s="23"/>
      <c r="L98" s="25"/>
      <c r="S98">
        <f>ROUND((Source!FX39/100)*((ROUND(Source!AF39*Source!I39, 2)+ROUND(Source!AE39*Source!I39, 2))), 2)</f>
        <v>493.07</v>
      </c>
      <c r="T98">
        <f>Source!X39</f>
        <v>3308.53</v>
      </c>
      <c r="U98">
        <f>ROUND((Source!FY39/100)*((ROUND(Source!AF39*Source!I39, 2)+ROUND(Source!AE39*Source!I39, 2))), 2)</f>
        <v>439.81</v>
      </c>
      <c r="V98">
        <f>Source!Y39</f>
        <v>2940.92</v>
      </c>
    </row>
    <row r="99" spans="1:26" ht="14.25" x14ac:dyDescent="0.2">
      <c r="A99" s="38"/>
      <c r="B99" s="39"/>
      <c r="C99" s="39" t="s">
        <v>999</v>
      </c>
      <c r="D99" s="22"/>
      <c r="E99" s="10"/>
      <c r="F99" s="23">
        <f>Source!AO39</f>
        <v>23.81</v>
      </c>
      <c r="G99" s="24" t="str">
        <f>Source!DG39</f>
        <v>)*1,15</v>
      </c>
      <c r="H99" s="23">
        <f>ROUND(Source!AF39*Source!I39, 2)</f>
        <v>558.54999999999995</v>
      </c>
      <c r="I99" s="24"/>
      <c r="J99" s="24">
        <f>IF(Source!BA39&lt;&gt; 0, Source!BA39, 1)</f>
        <v>6.71</v>
      </c>
      <c r="K99" s="23">
        <f>Source!S39</f>
        <v>3747.88</v>
      </c>
      <c r="L99" s="25"/>
      <c r="R99">
        <f>H99</f>
        <v>558.54999999999995</v>
      </c>
    </row>
    <row r="100" spans="1:26" ht="14.25" x14ac:dyDescent="0.2">
      <c r="A100" s="38"/>
      <c r="B100" s="39"/>
      <c r="C100" s="39" t="s">
        <v>301</v>
      </c>
      <c r="D100" s="22"/>
      <c r="E100" s="10"/>
      <c r="F100" s="23">
        <f>Source!AM39</f>
        <v>14.41</v>
      </c>
      <c r="G100" s="24" t="str">
        <f>Source!DE39</f>
        <v>)*1,25</v>
      </c>
      <c r="H100" s="23">
        <f>ROUND(Source!AD39*Source!I39, 2)</f>
        <v>367.4</v>
      </c>
      <c r="I100" s="24"/>
      <c r="J100" s="24">
        <f>IF(Source!BB39&lt;&gt; 0, Source!BB39, 1)</f>
        <v>6.71</v>
      </c>
      <c r="K100" s="23">
        <f>Source!Q39</f>
        <v>2465.2800000000002</v>
      </c>
      <c r="L100" s="25"/>
    </row>
    <row r="101" spans="1:26" ht="14.25" x14ac:dyDescent="0.2">
      <c r="A101" s="38"/>
      <c r="B101" s="39"/>
      <c r="C101" s="39" t="s">
        <v>1000</v>
      </c>
      <c r="D101" s="22"/>
      <c r="E101" s="10"/>
      <c r="F101" s="23">
        <f>Source!AN39</f>
        <v>1.97</v>
      </c>
      <c r="G101" s="24" t="str">
        <f>Source!DF39</f>
        <v>)*1,25</v>
      </c>
      <c r="H101" s="26">
        <f>ROUND(Source!AE39*Source!I39, 2)</f>
        <v>50.18</v>
      </c>
      <c r="I101" s="24"/>
      <c r="J101" s="24">
        <f>IF(Source!BS39&lt;&gt; 0, Source!BS39, 1)</f>
        <v>6.71</v>
      </c>
      <c r="K101" s="26">
        <f>Source!R39</f>
        <v>336.73</v>
      </c>
      <c r="L101" s="25"/>
      <c r="R101">
        <f>H101</f>
        <v>50.18</v>
      </c>
    </row>
    <row r="102" spans="1:26" ht="14.25" x14ac:dyDescent="0.2">
      <c r="A102" s="38"/>
      <c r="B102" s="39"/>
      <c r="C102" s="39" t="s">
        <v>1006</v>
      </c>
      <c r="D102" s="22"/>
      <c r="E102" s="10"/>
      <c r="F102" s="23">
        <f>Source!AL39</f>
        <v>25.72</v>
      </c>
      <c r="G102" s="24" t="str">
        <f>Source!DD39</f>
        <v/>
      </c>
      <c r="H102" s="23">
        <f>ROUND(Source!AC39*Source!I39, 2)</f>
        <v>524.69000000000005</v>
      </c>
      <c r="I102" s="24"/>
      <c r="J102" s="24">
        <f>IF(Source!BC39&lt;&gt; 0, Source!BC39, 1)</f>
        <v>6.71</v>
      </c>
      <c r="K102" s="23">
        <f>Source!P39</f>
        <v>3520.66</v>
      </c>
      <c r="L102" s="25"/>
    </row>
    <row r="103" spans="1:26" ht="14.25" x14ac:dyDescent="0.2">
      <c r="A103" s="38"/>
      <c r="B103" s="39"/>
      <c r="C103" s="39" t="s">
        <v>1001</v>
      </c>
      <c r="D103" s="22" t="s">
        <v>1002</v>
      </c>
      <c r="E103" s="10">
        <f>Source!BZ39</f>
        <v>90</v>
      </c>
      <c r="F103" s="49" t="str">
        <f>CONCATENATE(" )", Source!DL39, Source!FT39, "=", Source!FX39)</f>
        <v xml:space="preserve"> )*0,9=81</v>
      </c>
      <c r="G103" s="50"/>
      <c r="H103" s="23">
        <f>SUM(S98:S107)</f>
        <v>493.07</v>
      </c>
      <c r="I103" s="27"/>
      <c r="J103" s="21">
        <f>Source!AT39</f>
        <v>81</v>
      </c>
      <c r="K103" s="23">
        <f>SUM(T98:T107)</f>
        <v>3308.53</v>
      </c>
      <c r="L103" s="25"/>
    </row>
    <row r="104" spans="1:26" ht="14.25" x14ac:dyDescent="0.2">
      <c r="A104" s="38"/>
      <c r="B104" s="39"/>
      <c r="C104" s="39" t="s">
        <v>1003</v>
      </c>
      <c r="D104" s="22" t="s">
        <v>1002</v>
      </c>
      <c r="E104" s="10">
        <f>Source!CA39</f>
        <v>85</v>
      </c>
      <c r="F104" s="49" t="str">
        <f>CONCATENATE(" )", Source!DM39, Source!FU39, "=", Source!FY39)</f>
        <v xml:space="preserve"> )*0,85=72,25</v>
      </c>
      <c r="G104" s="50"/>
      <c r="H104" s="23">
        <f>SUM(U98:U107)</f>
        <v>439.81</v>
      </c>
      <c r="I104" s="27"/>
      <c r="J104" s="21">
        <f>Source!AU39</f>
        <v>72</v>
      </c>
      <c r="K104" s="23">
        <f>SUM(V98:V107)</f>
        <v>2940.92</v>
      </c>
      <c r="L104" s="25"/>
    </row>
    <row r="105" spans="1:26" ht="14.25" x14ac:dyDescent="0.2">
      <c r="A105" s="38"/>
      <c r="B105" s="39"/>
      <c r="C105" s="39" t="s">
        <v>1004</v>
      </c>
      <c r="D105" s="22" t="s">
        <v>1005</v>
      </c>
      <c r="E105" s="10">
        <f>Source!AQ39</f>
        <v>2.4</v>
      </c>
      <c r="F105" s="23"/>
      <c r="G105" s="24" t="str">
        <f>Source!DI39</f>
        <v>)*1,15</v>
      </c>
      <c r="H105" s="23"/>
      <c r="I105" s="24"/>
      <c r="J105" s="24"/>
      <c r="K105" s="23"/>
      <c r="L105" s="34">
        <f>Source!U39</f>
        <v>56.303999999999995</v>
      </c>
    </row>
    <row r="106" spans="1:26" ht="42.75" x14ac:dyDescent="0.2">
      <c r="A106" s="38" t="str">
        <f>Source!E40</f>
        <v>10,1</v>
      </c>
      <c r="B106" s="39" t="str">
        <f>Source!F40</f>
        <v>07.1.01.01-0020</v>
      </c>
      <c r="C106" s="39" t="str">
        <f>Source!G40</f>
        <v>Дверь противопожарная металлическая однопольная ДПМ-01/60, размером 1000х2400 мм прим.</v>
      </c>
      <c r="D106" s="22" t="str">
        <f>Source!H40</f>
        <v>шт.</v>
      </c>
      <c r="E106" s="10">
        <f>Source!I40</f>
        <v>4</v>
      </c>
      <c r="F106" s="23">
        <f>Source!AL40+Source!AM40+Source!AO40</f>
        <v>3104.96</v>
      </c>
      <c r="G106" s="37" t="s">
        <v>3</v>
      </c>
      <c r="H106" s="23">
        <f>ROUND(Source!AC40*Source!I40, 2)+ROUND(Source!AD40*Source!I40, 2)+ROUND(Source!AF40*Source!I40, 2)</f>
        <v>12419.84</v>
      </c>
      <c r="I106" s="24"/>
      <c r="J106" s="24">
        <f>IF(Source!BC40&lt;&gt; 0, Source!BC40, 1)</f>
        <v>6.71</v>
      </c>
      <c r="K106" s="23">
        <f>Source!O40</f>
        <v>83337.13</v>
      </c>
      <c r="L106" s="25"/>
      <c r="S106">
        <f>ROUND((Source!FX40/100)*((ROUND(Source!AF40*Source!I40, 2)+ROUND(Source!AE40*Source!I40, 2))), 2)</f>
        <v>0</v>
      </c>
      <c r="T106">
        <f>Source!X40</f>
        <v>0</v>
      </c>
      <c r="U106">
        <f>ROUND((Source!FY40/100)*((ROUND(Source!AF40*Source!I40, 2)+ROUND(Source!AE40*Source!I40, 2))), 2)</f>
        <v>0</v>
      </c>
      <c r="V106">
        <f>Source!Y40</f>
        <v>0</v>
      </c>
      <c r="W106">
        <f>IF(Source!BI40&lt;=1,H106, 0)</f>
        <v>12419.84</v>
      </c>
      <c r="X106">
        <f>IF(Source!BI40=2,H106, 0)</f>
        <v>0</v>
      </c>
      <c r="Y106">
        <f>IF(Source!BI40=3,H106, 0)</f>
        <v>0</v>
      </c>
      <c r="Z106">
        <f>IF(Source!BI40=4,H106, 0)</f>
        <v>0</v>
      </c>
    </row>
    <row r="107" spans="1:26" ht="57" x14ac:dyDescent="0.2">
      <c r="A107" s="40" t="str">
        <f>Source!E41</f>
        <v>10,2</v>
      </c>
      <c r="B107" s="41" t="str">
        <f>Source!F41</f>
        <v>07.1.01.01-0008</v>
      </c>
      <c r="C107" s="41" t="str">
        <f>Source!G41</f>
        <v>Дверь противопожарная металлическая двупольная ДПМ-02/60, размером 1500х2400 мм в комплекте прим.</v>
      </c>
      <c r="D107" s="28" t="str">
        <f>Source!H41</f>
        <v>шт.</v>
      </c>
      <c r="E107" s="29">
        <f>Source!I41</f>
        <v>3</v>
      </c>
      <c r="F107" s="30">
        <f>Source!AL41+Source!AM41+Source!AO41</f>
        <v>5451.21</v>
      </c>
      <c r="G107" s="35" t="s">
        <v>3</v>
      </c>
      <c r="H107" s="30">
        <f>ROUND(Source!AC41*Source!I41, 2)+ROUND(Source!AD41*Source!I41, 2)+ROUND(Source!AF41*Source!I41, 2)</f>
        <v>16353.63</v>
      </c>
      <c r="I107" s="31"/>
      <c r="J107" s="31">
        <f>IF(Source!BC41&lt;&gt; 0, Source!BC41, 1)</f>
        <v>6.71</v>
      </c>
      <c r="K107" s="30">
        <f>Source!O41</f>
        <v>109732.86</v>
      </c>
      <c r="L107" s="36"/>
      <c r="S107">
        <f>ROUND((Source!FX41/100)*((ROUND(Source!AF41*Source!I41, 2)+ROUND(Source!AE41*Source!I41, 2))), 2)</f>
        <v>0</v>
      </c>
      <c r="T107">
        <f>Source!X41</f>
        <v>0</v>
      </c>
      <c r="U107">
        <f>ROUND((Source!FY41/100)*((ROUND(Source!AF41*Source!I41, 2)+ROUND(Source!AE41*Source!I41, 2))), 2)</f>
        <v>0</v>
      </c>
      <c r="V107">
        <f>Source!Y41</f>
        <v>0</v>
      </c>
      <c r="W107">
        <f>IF(Source!BI41&lt;=1,H107, 0)</f>
        <v>16353.63</v>
      </c>
      <c r="X107">
        <f>IF(Source!BI41=2,H107, 0)</f>
        <v>0</v>
      </c>
      <c r="Y107">
        <f>IF(Source!BI41=3,H107, 0)</f>
        <v>0</v>
      </c>
      <c r="Z107">
        <f>IF(Source!BI41=4,H107, 0)</f>
        <v>0</v>
      </c>
    </row>
    <row r="108" spans="1:26" ht="15" x14ac:dyDescent="0.25">
      <c r="G108" s="45">
        <f>H99+H100+H102+H103+H104+SUM(H106:H107)</f>
        <v>31156.99</v>
      </c>
      <c r="H108" s="45"/>
      <c r="J108" s="45">
        <f>K99+K100+K102+K103+K104+SUM(K106:K107)</f>
        <v>209053.25999999998</v>
      </c>
      <c r="K108" s="45"/>
      <c r="L108" s="33">
        <f>Source!U39</f>
        <v>56.303999999999995</v>
      </c>
      <c r="O108" s="19">
        <f>G108</f>
        <v>31156.99</v>
      </c>
      <c r="P108" s="19">
        <f>J108</f>
        <v>209053.25999999998</v>
      </c>
      <c r="Q108" s="19">
        <f>L108</f>
        <v>56.303999999999995</v>
      </c>
      <c r="W108">
        <f>IF(Source!BI39&lt;=1,H99+H100+H102+H103+H104, 0)</f>
        <v>2383.52</v>
      </c>
      <c r="X108">
        <f>IF(Source!BI39=2,H99+H100+H102+H103+H104, 0)</f>
        <v>0</v>
      </c>
      <c r="Y108">
        <f>IF(Source!BI39=3,H99+H100+H102+H103+H104, 0)</f>
        <v>0</v>
      </c>
      <c r="Z108">
        <f>IF(Source!BI39=4,H99+H100+H102+H103+H104, 0)</f>
        <v>0</v>
      </c>
    </row>
    <row r="109" spans="1:26" ht="28.5" x14ac:dyDescent="0.2">
      <c r="A109" s="38" t="str">
        <f>Source!E42</f>
        <v>11</v>
      </c>
      <c r="B109" s="39" t="str">
        <f>Source!F42</f>
        <v>57-10-3</v>
      </c>
      <c r="C109" s="39" t="str">
        <f>Source!G42</f>
        <v>Заделка выбоин в полах цементных площадью до 1,0 м2</v>
      </c>
      <c r="D109" s="22" t="str">
        <f>Source!H42</f>
        <v>100 мест</v>
      </c>
      <c r="E109" s="10">
        <f>Source!I42</f>
        <v>0.43</v>
      </c>
      <c r="F109" s="23">
        <f>Source!AL42+Source!AM42+Source!AO42</f>
        <v>1106.8800000000001</v>
      </c>
      <c r="G109" s="24"/>
      <c r="H109" s="23"/>
      <c r="I109" s="24" t="str">
        <f>Source!BO42</f>
        <v/>
      </c>
      <c r="J109" s="24"/>
      <c r="K109" s="23"/>
      <c r="L109" s="25"/>
      <c r="S109">
        <f>ROUND((Source!FX42/100)*((ROUND(Source!AF42*Source!I42, 2)+ROUND(Source!AE42*Source!I42, 2))), 2)</f>
        <v>364.53</v>
      </c>
      <c r="T109">
        <f>Source!X42</f>
        <v>2445.9899999999998</v>
      </c>
      <c r="U109">
        <f>ROUND((Source!FY42/100)*((ROUND(Source!AF42*Source!I42, 2)+ROUND(Source!AE42*Source!I42, 2))), 2)</f>
        <v>309.85000000000002</v>
      </c>
      <c r="V109">
        <f>Source!Y42</f>
        <v>2079.09</v>
      </c>
    </row>
    <row r="110" spans="1:26" ht="14.25" x14ac:dyDescent="0.2">
      <c r="A110" s="38"/>
      <c r="B110" s="39"/>
      <c r="C110" s="39" t="s">
        <v>999</v>
      </c>
      <c r="D110" s="22"/>
      <c r="E110" s="10"/>
      <c r="F110" s="23">
        <f>Source!AO42</f>
        <v>1059.68</v>
      </c>
      <c r="G110" s="24" t="str">
        <f>Source!DG42</f>
        <v/>
      </c>
      <c r="H110" s="23">
        <f>ROUND(Source!AF42*Source!I42, 2)</f>
        <v>455.66</v>
      </c>
      <c r="I110" s="24"/>
      <c r="J110" s="24">
        <f>IF(Source!BA42&lt;&gt; 0, Source!BA42, 1)</f>
        <v>6.71</v>
      </c>
      <c r="K110" s="23">
        <f>Source!S42</f>
        <v>3057.49</v>
      </c>
      <c r="L110" s="25"/>
      <c r="R110">
        <f>H110</f>
        <v>455.66</v>
      </c>
    </row>
    <row r="111" spans="1:26" ht="14.25" x14ac:dyDescent="0.2">
      <c r="A111" s="38"/>
      <c r="B111" s="39"/>
      <c r="C111" s="39" t="s">
        <v>301</v>
      </c>
      <c r="D111" s="22"/>
      <c r="E111" s="10"/>
      <c r="F111" s="23">
        <f>Source!AM42</f>
        <v>46.96</v>
      </c>
      <c r="G111" s="24" t="str">
        <f>Source!DE42</f>
        <v/>
      </c>
      <c r="H111" s="23">
        <f>ROUND(Source!AD42*Source!I42, 2)</f>
        <v>20.190000000000001</v>
      </c>
      <c r="I111" s="24"/>
      <c r="J111" s="24">
        <f>IF(Source!BB42&lt;&gt; 0, Source!BB42, 1)</f>
        <v>6.71</v>
      </c>
      <c r="K111" s="23">
        <f>Source!Q42</f>
        <v>135.49</v>
      </c>
      <c r="L111" s="25"/>
    </row>
    <row r="112" spans="1:26" ht="14.25" x14ac:dyDescent="0.2">
      <c r="A112" s="38"/>
      <c r="B112" s="39"/>
      <c r="C112" s="39" t="s">
        <v>1006</v>
      </c>
      <c r="D112" s="22"/>
      <c r="E112" s="10"/>
      <c r="F112" s="23">
        <f>Source!AL42</f>
        <v>0.24</v>
      </c>
      <c r="G112" s="24" t="str">
        <f>Source!DD42</f>
        <v/>
      </c>
      <c r="H112" s="23">
        <f>ROUND(Source!AC42*Source!I42, 2)</f>
        <v>0.1</v>
      </c>
      <c r="I112" s="24"/>
      <c r="J112" s="24">
        <f>IF(Source!BC42&lt;&gt; 0, Source!BC42, 1)</f>
        <v>6.71</v>
      </c>
      <c r="K112" s="23">
        <f>Source!P42</f>
        <v>0.69</v>
      </c>
      <c r="L112" s="25"/>
    </row>
    <row r="113" spans="1:26" ht="14.25" x14ac:dyDescent="0.2">
      <c r="A113" s="38"/>
      <c r="B113" s="39"/>
      <c r="C113" s="39" t="s">
        <v>1001</v>
      </c>
      <c r="D113" s="22" t="s">
        <v>1002</v>
      </c>
      <c r="E113" s="10">
        <f>Source!BZ42</f>
        <v>80</v>
      </c>
      <c r="F113" s="42"/>
      <c r="G113" s="24"/>
      <c r="H113" s="23">
        <f>SUM(S109:S117)</f>
        <v>364.53</v>
      </c>
      <c r="I113" s="27"/>
      <c r="J113" s="21">
        <f>Source!AT42</f>
        <v>80</v>
      </c>
      <c r="K113" s="23">
        <f>SUM(T109:T117)</f>
        <v>2445.9899999999998</v>
      </c>
      <c r="L113" s="25"/>
    </row>
    <row r="114" spans="1:26" ht="14.25" x14ac:dyDescent="0.2">
      <c r="A114" s="38"/>
      <c r="B114" s="39"/>
      <c r="C114" s="39" t="s">
        <v>1003</v>
      </c>
      <c r="D114" s="22" t="s">
        <v>1002</v>
      </c>
      <c r="E114" s="10">
        <f>Source!CA42</f>
        <v>68</v>
      </c>
      <c r="F114" s="42"/>
      <c r="G114" s="24"/>
      <c r="H114" s="23">
        <f>SUM(U109:U117)</f>
        <v>309.85000000000002</v>
      </c>
      <c r="I114" s="27"/>
      <c r="J114" s="21">
        <f>Source!AU42</f>
        <v>68</v>
      </c>
      <c r="K114" s="23">
        <f>SUM(V109:V117)</f>
        <v>2079.09</v>
      </c>
      <c r="L114" s="25"/>
    </row>
    <row r="115" spans="1:26" ht="14.25" x14ac:dyDescent="0.2">
      <c r="A115" s="38"/>
      <c r="B115" s="39"/>
      <c r="C115" s="39" t="s">
        <v>1004</v>
      </c>
      <c r="D115" s="22" t="s">
        <v>1005</v>
      </c>
      <c r="E115" s="10">
        <f>Source!AQ42</f>
        <v>124.23</v>
      </c>
      <c r="F115" s="23"/>
      <c r="G115" s="24" t="str">
        <f>Source!DI42</f>
        <v/>
      </c>
      <c r="H115" s="23"/>
      <c r="I115" s="24"/>
      <c r="J115" s="24"/>
      <c r="K115" s="23"/>
      <c r="L115" s="34">
        <f>Source!U42</f>
        <v>53.418900000000001</v>
      </c>
    </row>
    <row r="116" spans="1:26" ht="28.5" x14ac:dyDescent="0.2">
      <c r="A116" s="38" t="str">
        <f>Source!E43</f>
        <v>11,1</v>
      </c>
      <c r="B116" s="39" t="str">
        <f>Source!F43</f>
        <v>04.3.01.09</v>
      </c>
      <c r="C116" s="39" t="str">
        <f>Source!G43</f>
        <v>Раствор готовый кладочный тяжелый цементный</v>
      </c>
      <c r="D116" s="22" t="str">
        <f>Source!H43</f>
        <v>м3</v>
      </c>
      <c r="E116" s="10">
        <f>Source!I43</f>
        <v>0.92020000000000002</v>
      </c>
      <c r="F116" s="23">
        <f>Source!AL43+Source!AM43+Source!AO43</f>
        <v>0</v>
      </c>
      <c r="G116" s="37" t="s">
        <v>3</v>
      </c>
      <c r="H116" s="23">
        <f>ROUND(Source!AC43*Source!I43, 2)+ROUND(Source!AD43*Source!I43, 2)+ROUND(Source!AF43*Source!I43, 2)</f>
        <v>0</v>
      </c>
      <c r="I116" s="24"/>
      <c r="J116" s="24">
        <f>IF(Source!BC43&lt;&gt; 0, Source!BC43, 1)</f>
        <v>6.71</v>
      </c>
      <c r="K116" s="23">
        <f>Source!O43</f>
        <v>0</v>
      </c>
      <c r="L116" s="25"/>
      <c r="S116">
        <f>ROUND((Source!FX43/100)*((ROUND(Source!AF43*Source!I43, 2)+ROUND(Source!AE43*Source!I43, 2))), 2)</f>
        <v>0</v>
      </c>
      <c r="T116">
        <f>Source!X43</f>
        <v>0</v>
      </c>
      <c r="U116">
        <f>ROUND((Source!FY43/100)*((ROUND(Source!AF43*Source!I43, 2)+ROUND(Source!AE43*Source!I43, 2))), 2)</f>
        <v>0</v>
      </c>
      <c r="V116">
        <f>Source!Y43</f>
        <v>0</v>
      </c>
      <c r="W116">
        <f>IF(Source!BI43&lt;=1,H116, 0)</f>
        <v>0</v>
      </c>
      <c r="X116">
        <f>IF(Source!BI43=2,H116, 0)</f>
        <v>0</v>
      </c>
      <c r="Y116">
        <f>IF(Source!BI43=3,H116, 0)</f>
        <v>0</v>
      </c>
      <c r="Z116">
        <f>IF(Source!BI43=4,H116, 0)</f>
        <v>0</v>
      </c>
    </row>
    <row r="117" spans="1:26" ht="42.75" x14ac:dyDescent="0.2">
      <c r="A117" s="40" t="str">
        <f>Source!E44</f>
        <v>11,2</v>
      </c>
      <c r="B117" s="41" t="str">
        <f>Source!F44</f>
        <v>04.3.02.13-0103</v>
      </c>
      <c r="C117" s="41" t="str">
        <f>Source!G44</f>
        <v>Смесь сухая  цементно-песчаная "БИРСС 11" (марка М150), бездобавочная</v>
      </c>
      <c r="D117" s="28" t="str">
        <f>Source!H44</f>
        <v>т</v>
      </c>
      <c r="E117" s="29">
        <f>Source!I44</f>
        <v>1.9965390000000001</v>
      </c>
      <c r="F117" s="30">
        <f>Source!AL44+Source!AM44+Source!AO44</f>
        <v>728.14</v>
      </c>
      <c r="G117" s="35" t="s">
        <v>3</v>
      </c>
      <c r="H117" s="30">
        <f>ROUND(Source!AC44*Source!I44, 2)+ROUND(Source!AD44*Source!I44, 2)+ROUND(Source!AF44*Source!I44, 2)</f>
        <v>1453.76</v>
      </c>
      <c r="I117" s="31"/>
      <c r="J117" s="31">
        <f>IF(Source!BC44&lt;&gt; 0, Source!BC44, 1)</f>
        <v>6.71</v>
      </c>
      <c r="K117" s="30">
        <f>Source!O44</f>
        <v>9754.73</v>
      </c>
      <c r="L117" s="36"/>
      <c r="S117">
        <f>ROUND((Source!FX44/100)*((ROUND(Source!AF44*Source!I44, 2)+ROUND(Source!AE44*Source!I44, 2))), 2)</f>
        <v>0</v>
      </c>
      <c r="T117">
        <f>Source!X44</f>
        <v>0</v>
      </c>
      <c r="U117">
        <f>ROUND((Source!FY44/100)*((ROUND(Source!AF44*Source!I44, 2)+ROUND(Source!AE44*Source!I44, 2))), 2)</f>
        <v>0</v>
      </c>
      <c r="V117">
        <f>Source!Y44</f>
        <v>0</v>
      </c>
      <c r="W117">
        <f>IF(Source!BI44&lt;=1,H117, 0)</f>
        <v>1453.76</v>
      </c>
      <c r="X117">
        <f>IF(Source!BI44=2,H117, 0)</f>
        <v>0</v>
      </c>
      <c r="Y117">
        <f>IF(Source!BI44=3,H117, 0)</f>
        <v>0</v>
      </c>
      <c r="Z117">
        <f>IF(Source!BI44=4,H117, 0)</f>
        <v>0</v>
      </c>
    </row>
    <row r="118" spans="1:26" ht="15" x14ac:dyDescent="0.25">
      <c r="G118" s="45">
        <f>H110+H111+H112+H113+H114+SUM(H116:H117)</f>
        <v>2604.09</v>
      </c>
      <c r="H118" s="45"/>
      <c r="J118" s="45">
        <f>K110+K111+K112+K113+K114+SUM(K116:K117)</f>
        <v>17473.48</v>
      </c>
      <c r="K118" s="45"/>
      <c r="L118" s="33">
        <f>Source!U42</f>
        <v>53.418900000000001</v>
      </c>
      <c r="O118" s="19">
        <f>G118</f>
        <v>2604.09</v>
      </c>
      <c r="P118" s="19">
        <f>J118</f>
        <v>17473.48</v>
      </c>
      <c r="Q118" s="19">
        <f>L118</f>
        <v>53.418900000000001</v>
      </c>
      <c r="W118">
        <f>IF(Source!BI42&lt;=1,H110+H111+H112+H113+H114, 0)</f>
        <v>1150.33</v>
      </c>
      <c r="X118">
        <f>IF(Source!BI42=2,H110+H111+H112+H113+H114, 0)</f>
        <v>0</v>
      </c>
      <c r="Y118">
        <f>IF(Source!BI42=3,H110+H111+H112+H113+H114, 0)</f>
        <v>0</v>
      </c>
      <c r="Z118">
        <f>IF(Source!BI42=4,H110+H111+H112+H113+H114, 0)</f>
        <v>0</v>
      </c>
    </row>
    <row r="119" spans="1:26" ht="42.75" x14ac:dyDescent="0.2">
      <c r="A119" s="38" t="str">
        <f>Source!E45</f>
        <v>12</v>
      </c>
      <c r="B119" s="39" t="str">
        <f>Source!F45</f>
        <v>11-01-011-08</v>
      </c>
      <c r="C119" s="39" t="str">
        <f>Source!G45</f>
        <v>Устройство стяжек из выравнивающей смеси типа "Ветонит" 5000, толщиной 5 мм</v>
      </c>
      <c r="D119" s="22" t="str">
        <f>Source!H45</f>
        <v>100 м2</v>
      </c>
      <c r="E119" s="10">
        <f>Source!I45</f>
        <v>3.3180000000000001</v>
      </c>
      <c r="F119" s="23">
        <f>Source!AL45+Source!AM45+Source!AO45</f>
        <v>11028.89</v>
      </c>
      <c r="G119" s="24"/>
      <c r="H119" s="23"/>
      <c r="I119" s="24" t="str">
        <f>Source!BO45</f>
        <v/>
      </c>
      <c r="J119" s="24"/>
      <c r="K119" s="23"/>
      <c r="L119" s="25"/>
      <c r="S119">
        <f>ROUND((Source!FX45/100)*((ROUND(Source!AF45*Source!I45, 2)+ROUND(Source!AE45*Source!I45, 2))), 2)</f>
        <v>1366.33</v>
      </c>
      <c r="T119">
        <f>Source!X45</f>
        <v>9192.91</v>
      </c>
      <c r="U119">
        <f>ROUND((Source!FY45/100)*((ROUND(Source!AF45*Source!I45, 2)+ROUND(Source!AE45*Source!I45, 2))), 2)</f>
        <v>786.84</v>
      </c>
      <c r="V119">
        <f>Source!Y45</f>
        <v>5300.42</v>
      </c>
    </row>
    <row r="120" spans="1:26" ht="14.25" x14ac:dyDescent="0.2">
      <c r="A120" s="38"/>
      <c r="B120" s="39"/>
      <c r="C120" s="39" t="s">
        <v>999</v>
      </c>
      <c r="D120" s="22"/>
      <c r="E120" s="10"/>
      <c r="F120" s="23">
        <f>Source!AO45</f>
        <v>321.33</v>
      </c>
      <c r="G120" s="24" t="str">
        <f>Source!DG45</f>
        <v>)*1,15</v>
      </c>
      <c r="H120" s="23">
        <f>ROUND(Source!AF45*Source!I45, 2)</f>
        <v>1226.0999999999999</v>
      </c>
      <c r="I120" s="24"/>
      <c r="J120" s="24">
        <f>IF(Source!BA45&lt;&gt; 0, Source!BA45, 1)</f>
        <v>6.71</v>
      </c>
      <c r="K120" s="23">
        <f>Source!S45</f>
        <v>8227.1299999999992</v>
      </c>
      <c r="L120" s="25"/>
      <c r="R120">
        <f>H120</f>
        <v>1226.0999999999999</v>
      </c>
    </row>
    <row r="121" spans="1:26" ht="14.25" x14ac:dyDescent="0.2">
      <c r="A121" s="38"/>
      <c r="B121" s="39"/>
      <c r="C121" s="39" t="s">
        <v>301</v>
      </c>
      <c r="D121" s="22"/>
      <c r="E121" s="10"/>
      <c r="F121" s="23">
        <f>Source!AM45</f>
        <v>6.23</v>
      </c>
      <c r="G121" s="24" t="str">
        <f>Source!DE45</f>
        <v>)*1,25</v>
      </c>
      <c r="H121" s="23">
        <f>ROUND(Source!AD45*Source!I45, 2)</f>
        <v>25.85</v>
      </c>
      <c r="I121" s="24"/>
      <c r="J121" s="24">
        <f>IF(Source!BB45&lt;&gt; 0, Source!BB45, 1)</f>
        <v>6.71</v>
      </c>
      <c r="K121" s="23">
        <f>Source!Q45</f>
        <v>173.43</v>
      </c>
      <c r="L121" s="25"/>
    </row>
    <row r="122" spans="1:26" ht="14.25" x14ac:dyDescent="0.2">
      <c r="A122" s="38"/>
      <c r="B122" s="39"/>
      <c r="C122" s="39" t="s">
        <v>1000</v>
      </c>
      <c r="D122" s="22"/>
      <c r="E122" s="10"/>
      <c r="F122" s="23">
        <f>Source!AN45</f>
        <v>1.97</v>
      </c>
      <c r="G122" s="24" t="str">
        <f>Source!DF45</f>
        <v>)*1,25</v>
      </c>
      <c r="H122" s="26">
        <f>ROUND(Source!AE45*Source!I45, 2)</f>
        <v>8.16</v>
      </c>
      <c r="I122" s="24"/>
      <c r="J122" s="24">
        <f>IF(Source!BS45&lt;&gt; 0, Source!BS45, 1)</f>
        <v>6.71</v>
      </c>
      <c r="K122" s="26">
        <f>Source!R45</f>
        <v>54.77</v>
      </c>
      <c r="L122" s="25"/>
      <c r="R122">
        <f>H122</f>
        <v>8.16</v>
      </c>
    </row>
    <row r="123" spans="1:26" ht="14.25" x14ac:dyDescent="0.2">
      <c r="A123" s="38"/>
      <c r="B123" s="39"/>
      <c r="C123" s="39" t="s">
        <v>1006</v>
      </c>
      <c r="D123" s="22"/>
      <c r="E123" s="10"/>
      <c r="F123" s="23">
        <f>Source!AL45</f>
        <v>10701.33</v>
      </c>
      <c r="G123" s="24" t="str">
        <f>Source!DD45</f>
        <v/>
      </c>
      <c r="H123" s="23">
        <f>ROUND(Source!AC45*Source!I45, 2)</f>
        <v>35507.01</v>
      </c>
      <c r="I123" s="24"/>
      <c r="J123" s="24">
        <f>IF(Source!BC45&lt;&gt; 0, Source!BC45, 1)</f>
        <v>6.71</v>
      </c>
      <c r="K123" s="23">
        <f>Source!P45</f>
        <v>238252.06</v>
      </c>
      <c r="L123" s="25"/>
    </row>
    <row r="124" spans="1:26" ht="14.25" x14ac:dyDescent="0.2">
      <c r="A124" s="38"/>
      <c r="B124" s="39"/>
      <c r="C124" s="39" t="s">
        <v>1001</v>
      </c>
      <c r="D124" s="22" t="s">
        <v>1002</v>
      </c>
      <c r="E124" s="10">
        <f>Source!BZ45</f>
        <v>123</v>
      </c>
      <c r="F124" s="49" t="str">
        <f>CONCATENATE(" )", Source!DL45, Source!FT45, "=", Source!FX45)</f>
        <v xml:space="preserve"> )*0,9=110,7</v>
      </c>
      <c r="G124" s="50"/>
      <c r="H124" s="23">
        <f>SUM(S119:S126)</f>
        <v>1366.33</v>
      </c>
      <c r="I124" s="27"/>
      <c r="J124" s="21">
        <f>Source!AT45</f>
        <v>111</v>
      </c>
      <c r="K124" s="23">
        <f>SUM(T119:T126)</f>
        <v>9192.91</v>
      </c>
      <c r="L124" s="25"/>
    </row>
    <row r="125" spans="1:26" ht="14.25" x14ac:dyDescent="0.2">
      <c r="A125" s="38"/>
      <c r="B125" s="39"/>
      <c r="C125" s="39" t="s">
        <v>1003</v>
      </c>
      <c r="D125" s="22" t="s">
        <v>1002</v>
      </c>
      <c r="E125" s="10">
        <f>Source!CA45</f>
        <v>75</v>
      </c>
      <c r="F125" s="49" t="str">
        <f>CONCATENATE(" )", Source!DM45, Source!FU45, "=", Source!FY45)</f>
        <v xml:space="preserve"> )*0,85=63,75</v>
      </c>
      <c r="G125" s="50"/>
      <c r="H125" s="23">
        <f>SUM(U119:U126)</f>
        <v>786.84</v>
      </c>
      <c r="I125" s="27"/>
      <c r="J125" s="21">
        <f>Source!AU45</f>
        <v>64</v>
      </c>
      <c r="K125" s="23">
        <f>SUM(V119:V126)</f>
        <v>5300.42</v>
      </c>
      <c r="L125" s="25"/>
    </row>
    <row r="126" spans="1:26" ht="14.25" x14ac:dyDescent="0.2">
      <c r="A126" s="40"/>
      <c r="B126" s="41"/>
      <c r="C126" s="41" t="s">
        <v>1004</v>
      </c>
      <c r="D126" s="28" t="s">
        <v>1005</v>
      </c>
      <c r="E126" s="29">
        <f>Source!AQ45</f>
        <v>37.67</v>
      </c>
      <c r="F126" s="30"/>
      <c r="G126" s="31" t="str">
        <f>Source!DI45</f>
        <v>)*1,15</v>
      </c>
      <c r="H126" s="30"/>
      <c r="I126" s="31"/>
      <c r="J126" s="31"/>
      <c r="K126" s="30"/>
      <c r="L126" s="32">
        <f>Source!U45</f>
        <v>143.73741899999999</v>
      </c>
    </row>
    <row r="127" spans="1:26" ht="15" x14ac:dyDescent="0.25">
      <c r="G127" s="45">
        <f>H120+H121+H123+H124+H125</f>
        <v>38912.129999999997</v>
      </c>
      <c r="H127" s="45"/>
      <c r="J127" s="45">
        <f>K120+K121+K123+K124+K125</f>
        <v>261145.95</v>
      </c>
      <c r="K127" s="45"/>
      <c r="L127" s="33">
        <f>Source!U45</f>
        <v>143.73741899999999</v>
      </c>
      <c r="O127" s="19">
        <f>G127</f>
        <v>38912.129999999997</v>
      </c>
      <c r="P127" s="19">
        <f>J127</f>
        <v>261145.95</v>
      </c>
      <c r="Q127" s="19">
        <f>L127</f>
        <v>143.73741899999999</v>
      </c>
      <c r="W127">
        <f>IF(Source!BI45&lt;=1,H120+H121+H123+H124+H125, 0)</f>
        <v>38912.129999999997</v>
      </c>
      <c r="X127">
        <f>IF(Source!BI45=2,H120+H121+H123+H124+H125, 0)</f>
        <v>0</v>
      </c>
      <c r="Y127">
        <f>IF(Source!BI45=3,H120+H121+H123+H124+H125, 0)</f>
        <v>0</v>
      </c>
      <c r="Z127">
        <f>IF(Source!BI45=4,H120+H121+H123+H124+H125, 0)</f>
        <v>0</v>
      </c>
    </row>
    <row r="128" spans="1:26" ht="42.75" x14ac:dyDescent="0.2">
      <c r="A128" s="38" t="str">
        <f>Source!E46</f>
        <v>13</v>
      </c>
      <c r="B128" s="39" t="str">
        <f>Source!F46</f>
        <v>11-01-011-10</v>
      </c>
      <c r="C128" s="39" t="str">
        <f>Source!G46</f>
        <v>Устройство стяжек на каждый последующий слой толщиной 1 мм добавлять к расценке 11-01-011-08</v>
      </c>
      <c r="D128" s="22" t="str">
        <f>Source!H46</f>
        <v>100 м2</v>
      </c>
      <c r="E128" s="10">
        <f>Source!I46</f>
        <v>3.3180000000000001</v>
      </c>
      <c r="F128" s="23">
        <f>Source!AL46+Source!AM46+Source!AO46</f>
        <v>2070.6</v>
      </c>
      <c r="G128" s="24"/>
      <c r="H128" s="23"/>
      <c r="I128" s="24" t="str">
        <f>Source!BO46</f>
        <v/>
      </c>
      <c r="J128" s="24"/>
      <c r="K128" s="23"/>
      <c r="L128" s="25"/>
      <c r="S128">
        <f>ROUND((Source!FX46/100)*((ROUND(Source!AF46*Source!I46, 2)+ROUND(Source!AE46*Source!I46, 2))), 2)</f>
        <v>443.96</v>
      </c>
      <c r="T128">
        <f>Source!X46</f>
        <v>2987.04</v>
      </c>
      <c r="U128">
        <f>ROUND((Source!FY46/100)*((ROUND(Source!AF46*Source!I46, 2)+ROUND(Source!AE46*Source!I46, 2))), 2)</f>
        <v>255.67</v>
      </c>
      <c r="V128">
        <f>Source!Y46</f>
        <v>1722.26</v>
      </c>
    </row>
    <row r="129" spans="1:26" ht="14.25" x14ac:dyDescent="0.2">
      <c r="A129" s="38"/>
      <c r="B129" s="39"/>
      <c r="C129" s="39" t="s">
        <v>999</v>
      </c>
      <c r="D129" s="22"/>
      <c r="E129" s="10"/>
      <c r="F129" s="23">
        <f>Source!AO46</f>
        <v>20.64</v>
      </c>
      <c r="G129" s="24" t="str">
        <f>Source!DG46</f>
        <v>)*1,15*5</v>
      </c>
      <c r="H129" s="23">
        <f>ROUND(Source!AF46*Source!I46, 2)</f>
        <v>393.78</v>
      </c>
      <c r="I129" s="24"/>
      <c r="J129" s="24">
        <f>IF(Source!BA46&lt;&gt; 0, Source!BA46, 1)</f>
        <v>6.71</v>
      </c>
      <c r="K129" s="23">
        <f>Source!S46</f>
        <v>2642.27</v>
      </c>
      <c r="L129" s="25"/>
      <c r="R129">
        <f>H129</f>
        <v>393.78</v>
      </c>
    </row>
    <row r="130" spans="1:26" ht="14.25" x14ac:dyDescent="0.2">
      <c r="A130" s="38"/>
      <c r="B130" s="39"/>
      <c r="C130" s="39" t="s">
        <v>301</v>
      </c>
      <c r="D130" s="22"/>
      <c r="E130" s="10"/>
      <c r="F130" s="23">
        <f>Source!AM46</f>
        <v>1.21</v>
      </c>
      <c r="G130" s="24" t="str">
        <f>Source!DE46</f>
        <v>)*1,25*5</v>
      </c>
      <c r="H130" s="23">
        <f>ROUND(Source!AD46*Source!I46, 2)</f>
        <v>25.12</v>
      </c>
      <c r="I130" s="24"/>
      <c r="J130" s="24">
        <f>IF(Source!BB46&lt;&gt; 0, Source!BB46, 1)</f>
        <v>6.71</v>
      </c>
      <c r="K130" s="23">
        <f>Source!Q46</f>
        <v>168.54</v>
      </c>
      <c r="L130" s="25"/>
    </row>
    <row r="131" spans="1:26" ht="14.25" x14ac:dyDescent="0.2">
      <c r="A131" s="38"/>
      <c r="B131" s="39"/>
      <c r="C131" s="39" t="s">
        <v>1000</v>
      </c>
      <c r="D131" s="22"/>
      <c r="E131" s="10"/>
      <c r="F131" s="23">
        <f>Source!AN46</f>
        <v>0.35</v>
      </c>
      <c r="G131" s="24" t="str">
        <f>Source!DF46</f>
        <v>)*1,25*5</v>
      </c>
      <c r="H131" s="26">
        <f>ROUND(Source!AE46*Source!I46, 2)</f>
        <v>7.27</v>
      </c>
      <c r="I131" s="24"/>
      <c r="J131" s="24">
        <f>IF(Source!BS46&lt;&gt; 0, Source!BS46, 1)</f>
        <v>6.71</v>
      </c>
      <c r="K131" s="26">
        <f>Source!R46</f>
        <v>48.76</v>
      </c>
      <c r="L131" s="25"/>
      <c r="R131">
        <f>H131</f>
        <v>7.27</v>
      </c>
    </row>
    <row r="132" spans="1:26" ht="14.25" x14ac:dyDescent="0.2">
      <c r="A132" s="38"/>
      <c r="B132" s="39"/>
      <c r="C132" s="39" t="s">
        <v>1006</v>
      </c>
      <c r="D132" s="22"/>
      <c r="E132" s="10"/>
      <c r="F132" s="23">
        <f>Source!AL46</f>
        <v>2048.75</v>
      </c>
      <c r="G132" s="24" t="str">
        <f>Source!DD46</f>
        <v>*5</v>
      </c>
      <c r="H132" s="23">
        <f>ROUND(Source!AC46*Source!I46, 2)</f>
        <v>33988.76</v>
      </c>
      <c r="I132" s="24"/>
      <c r="J132" s="24">
        <f>IF(Source!BC46&lt;&gt; 0, Source!BC46, 1)</f>
        <v>6.71</v>
      </c>
      <c r="K132" s="23">
        <f>Source!P46</f>
        <v>228064.6</v>
      </c>
      <c r="L132" s="25"/>
    </row>
    <row r="133" spans="1:26" ht="14.25" x14ac:dyDescent="0.2">
      <c r="A133" s="38"/>
      <c r="B133" s="39"/>
      <c r="C133" s="39" t="s">
        <v>1001</v>
      </c>
      <c r="D133" s="22" t="s">
        <v>1002</v>
      </c>
      <c r="E133" s="10">
        <f>Source!BZ46</f>
        <v>123</v>
      </c>
      <c r="F133" s="49" t="str">
        <f>CONCATENATE(" )", Source!DL46, Source!FT46, "=", Source!FX46)</f>
        <v xml:space="preserve"> )*0,9=110,7</v>
      </c>
      <c r="G133" s="50"/>
      <c r="H133" s="23">
        <f>SUM(S128:S135)</f>
        <v>443.96</v>
      </c>
      <c r="I133" s="27"/>
      <c r="J133" s="21">
        <f>Source!AT46</f>
        <v>111</v>
      </c>
      <c r="K133" s="23">
        <f>SUM(T128:T135)</f>
        <v>2987.04</v>
      </c>
      <c r="L133" s="25"/>
    </row>
    <row r="134" spans="1:26" ht="14.25" x14ac:dyDescent="0.2">
      <c r="A134" s="38"/>
      <c r="B134" s="39"/>
      <c r="C134" s="39" t="s">
        <v>1003</v>
      </c>
      <c r="D134" s="22" t="s">
        <v>1002</v>
      </c>
      <c r="E134" s="10">
        <f>Source!CA46</f>
        <v>75</v>
      </c>
      <c r="F134" s="49" t="str">
        <f>CONCATENATE(" )", Source!DM46, Source!FU46, "=", Source!FY46)</f>
        <v xml:space="preserve"> )*0,85=63,75</v>
      </c>
      <c r="G134" s="50"/>
      <c r="H134" s="23">
        <f>SUM(U128:U135)</f>
        <v>255.67</v>
      </c>
      <c r="I134" s="27"/>
      <c r="J134" s="21">
        <f>Source!AU46</f>
        <v>64</v>
      </c>
      <c r="K134" s="23">
        <f>SUM(V128:V135)</f>
        <v>1722.26</v>
      </c>
      <c r="L134" s="25"/>
    </row>
    <row r="135" spans="1:26" ht="14.25" x14ac:dyDescent="0.2">
      <c r="A135" s="40"/>
      <c r="B135" s="41"/>
      <c r="C135" s="41" t="s">
        <v>1004</v>
      </c>
      <c r="D135" s="28" t="s">
        <v>1005</v>
      </c>
      <c r="E135" s="29">
        <f>Source!AQ46</f>
        <v>2.42</v>
      </c>
      <c r="F135" s="30"/>
      <c r="G135" s="31" t="str">
        <f>Source!DI46</f>
        <v>)*1,15*5</v>
      </c>
      <c r="H135" s="30"/>
      <c r="I135" s="31"/>
      <c r="J135" s="31"/>
      <c r="K135" s="30"/>
      <c r="L135" s="32">
        <f>Source!U46</f>
        <v>46.169969999999999</v>
      </c>
    </row>
    <row r="136" spans="1:26" ht="15" x14ac:dyDescent="0.25">
      <c r="G136" s="45">
        <f>H129+H130+H132+H133+H134</f>
        <v>35107.29</v>
      </c>
      <c r="H136" s="45"/>
      <c r="J136" s="45">
        <f>K129+K130+K132+K133+K134</f>
        <v>235584.71000000002</v>
      </c>
      <c r="K136" s="45"/>
      <c r="L136" s="33">
        <f>Source!U46</f>
        <v>46.169969999999999</v>
      </c>
      <c r="O136" s="19">
        <f>G136</f>
        <v>35107.29</v>
      </c>
      <c r="P136" s="19">
        <f>J136</f>
        <v>235584.71000000002</v>
      </c>
      <c r="Q136" s="19">
        <f>L136</f>
        <v>46.169969999999999</v>
      </c>
      <c r="W136">
        <f>IF(Source!BI46&lt;=1,H129+H130+H132+H133+H134, 0)</f>
        <v>35107.29</v>
      </c>
      <c r="X136">
        <f>IF(Source!BI46=2,H129+H130+H132+H133+H134, 0)</f>
        <v>0</v>
      </c>
      <c r="Y136">
        <f>IF(Source!BI46=3,H129+H130+H132+H133+H134, 0)</f>
        <v>0</v>
      </c>
      <c r="Z136">
        <f>IF(Source!BI46=4,H129+H130+H132+H133+H134, 0)</f>
        <v>0</v>
      </c>
    </row>
    <row r="137" spans="1:26" ht="28.5" x14ac:dyDescent="0.2">
      <c r="A137" s="38" t="str">
        <f>Source!E47</f>
        <v>14</v>
      </c>
      <c r="B137" s="39" t="str">
        <f>Source!F47</f>
        <v>11-01-036-01</v>
      </c>
      <c r="C137" s="39" t="str">
        <f>Source!G47</f>
        <v>Устройство покрытий из линолеума на клее</v>
      </c>
      <c r="D137" s="22" t="str">
        <f>Source!H47</f>
        <v>100 м2</v>
      </c>
      <c r="E137" s="10">
        <f>Source!I47</f>
        <v>3.3180000000000001</v>
      </c>
      <c r="F137" s="23">
        <f>Source!AL47+Source!AM47+Source!AO47</f>
        <v>397.04999999999995</v>
      </c>
      <c r="G137" s="24"/>
      <c r="H137" s="23"/>
      <c r="I137" s="24" t="str">
        <f>Source!BO47</f>
        <v/>
      </c>
      <c r="J137" s="24"/>
      <c r="K137" s="23"/>
      <c r="L137" s="25"/>
      <c r="S137">
        <f>ROUND((Source!FX47/100)*((ROUND(Source!AF47*Source!I47, 2)+ROUND(Source!AE47*Source!I47, 2))), 2)</f>
        <v>1536.6</v>
      </c>
      <c r="T137">
        <f>Source!X47</f>
        <v>10338.6</v>
      </c>
      <c r="U137">
        <f>ROUND((Source!FY47/100)*((ROUND(Source!AF47*Source!I47, 2)+ROUND(Source!AE47*Source!I47, 2))), 2)</f>
        <v>884.9</v>
      </c>
      <c r="V137">
        <f>Source!Y47</f>
        <v>5960.99</v>
      </c>
    </row>
    <row r="138" spans="1:26" ht="14.25" x14ac:dyDescent="0.2">
      <c r="A138" s="38"/>
      <c r="B138" s="39"/>
      <c r="C138" s="39" t="s">
        <v>999</v>
      </c>
      <c r="D138" s="22"/>
      <c r="E138" s="10"/>
      <c r="F138" s="23">
        <f>Source!AO47</f>
        <v>352.34</v>
      </c>
      <c r="G138" s="24" t="str">
        <f>Source!DG47</f>
        <v>)*1,15</v>
      </c>
      <c r="H138" s="23">
        <f>ROUND(Source!AF47*Source!I47, 2)</f>
        <v>1344.42</v>
      </c>
      <c r="I138" s="24"/>
      <c r="J138" s="24">
        <f>IF(Source!BA47&lt;&gt; 0, Source!BA47, 1)</f>
        <v>6.71</v>
      </c>
      <c r="K138" s="23">
        <f>Source!S47</f>
        <v>9021.06</v>
      </c>
      <c r="L138" s="25"/>
      <c r="R138">
        <f>H138</f>
        <v>1344.42</v>
      </c>
    </row>
    <row r="139" spans="1:26" ht="14.25" x14ac:dyDescent="0.2">
      <c r="A139" s="38"/>
      <c r="B139" s="39"/>
      <c r="C139" s="39" t="s">
        <v>301</v>
      </c>
      <c r="D139" s="22"/>
      <c r="E139" s="10"/>
      <c r="F139" s="23">
        <f>Source!AM47</f>
        <v>43.8</v>
      </c>
      <c r="G139" s="24" t="str">
        <f>Source!DE47</f>
        <v>)*1,25</v>
      </c>
      <c r="H139" s="23">
        <f>ROUND(Source!AD47*Source!I47, 2)</f>
        <v>181.66</v>
      </c>
      <c r="I139" s="24"/>
      <c r="J139" s="24">
        <f>IF(Source!BB47&lt;&gt; 0, Source!BB47, 1)</f>
        <v>6.71</v>
      </c>
      <c r="K139" s="23">
        <f>Source!Q47</f>
        <v>1218.94</v>
      </c>
      <c r="L139" s="25"/>
    </row>
    <row r="140" spans="1:26" ht="14.25" x14ac:dyDescent="0.2">
      <c r="A140" s="38"/>
      <c r="B140" s="39"/>
      <c r="C140" s="39" t="s">
        <v>1000</v>
      </c>
      <c r="D140" s="22"/>
      <c r="E140" s="10"/>
      <c r="F140" s="23">
        <f>Source!AN47</f>
        <v>10.53</v>
      </c>
      <c r="G140" s="24" t="str">
        <f>Source!DF47</f>
        <v>)*1,25</v>
      </c>
      <c r="H140" s="26">
        <f>ROUND(Source!AE47*Source!I47, 2)</f>
        <v>43.66</v>
      </c>
      <c r="I140" s="24"/>
      <c r="J140" s="24">
        <f>IF(Source!BS47&lt;&gt; 0, Source!BS47, 1)</f>
        <v>6.71</v>
      </c>
      <c r="K140" s="26">
        <f>Source!R47</f>
        <v>292.99</v>
      </c>
      <c r="L140" s="25"/>
      <c r="R140">
        <f>H140</f>
        <v>43.66</v>
      </c>
    </row>
    <row r="141" spans="1:26" ht="14.25" x14ac:dyDescent="0.2">
      <c r="A141" s="38"/>
      <c r="B141" s="39"/>
      <c r="C141" s="39" t="s">
        <v>1006</v>
      </c>
      <c r="D141" s="22"/>
      <c r="E141" s="10"/>
      <c r="F141" s="23">
        <f>Source!AL47</f>
        <v>0.91</v>
      </c>
      <c r="G141" s="24" t="str">
        <f>Source!DD47</f>
        <v/>
      </c>
      <c r="H141" s="23">
        <f>ROUND(Source!AC47*Source!I47, 2)</f>
        <v>3.02</v>
      </c>
      <c r="I141" s="24"/>
      <c r="J141" s="24">
        <f>IF(Source!BC47&lt;&gt; 0, Source!BC47, 1)</f>
        <v>6.71</v>
      </c>
      <c r="K141" s="23">
        <f>Source!P47</f>
        <v>20.260000000000002</v>
      </c>
      <c r="L141" s="25"/>
    </row>
    <row r="142" spans="1:26" ht="14.25" x14ac:dyDescent="0.2">
      <c r="A142" s="38"/>
      <c r="B142" s="39"/>
      <c r="C142" s="39" t="s">
        <v>1001</v>
      </c>
      <c r="D142" s="22" t="s">
        <v>1002</v>
      </c>
      <c r="E142" s="10">
        <f>Source!BZ47</f>
        <v>123</v>
      </c>
      <c r="F142" s="49" t="str">
        <f>CONCATENATE(" )", Source!DL47, Source!FT47, "=", Source!FX47)</f>
        <v xml:space="preserve"> )*0,9=110,7</v>
      </c>
      <c r="G142" s="50"/>
      <c r="H142" s="23">
        <f>SUM(S137:S148)</f>
        <v>1536.6</v>
      </c>
      <c r="I142" s="27"/>
      <c r="J142" s="21">
        <f>Source!AT47</f>
        <v>111</v>
      </c>
      <c r="K142" s="23">
        <f>SUM(T137:T148)</f>
        <v>10338.6</v>
      </c>
      <c r="L142" s="25"/>
    </row>
    <row r="143" spans="1:26" ht="14.25" x14ac:dyDescent="0.2">
      <c r="A143" s="38"/>
      <c r="B143" s="39"/>
      <c r="C143" s="39" t="s">
        <v>1003</v>
      </c>
      <c r="D143" s="22" t="s">
        <v>1002</v>
      </c>
      <c r="E143" s="10">
        <f>Source!CA47</f>
        <v>75</v>
      </c>
      <c r="F143" s="49" t="str">
        <f>CONCATENATE(" )", Source!DM47, Source!FU47, "=", Source!FY47)</f>
        <v xml:space="preserve"> )*0,85=63,75</v>
      </c>
      <c r="G143" s="50"/>
      <c r="H143" s="23">
        <f>SUM(U137:U148)</f>
        <v>884.9</v>
      </c>
      <c r="I143" s="27"/>
      <c r="J143" s="21">
        <f>Source!AU47</f>
        <v>64</v>
      </c>
      <c r="K143" s="23">
        <f>SUM(V137:V148)</f>
        <v>5960.99</v>
      </c>
      <c r="L143" s="25"/>
    </row>
    <row r="144" spans="1:26" ht="14.25" x14ac:dyDescent="0.2">
      <c r="A144" s="38"/>
      <c r="B144" s="39"/>
      <c r="C144" s="39" t="s">
        <v>1004</v>
      </c>
      <c r="D144" s="22" t="s">
        <v>1005</v>
      </c>
      <c r="E144" s="10">
        <f>Source!AQ47</f>
        <v>42.4</v>
      </c>
      <c r="F144" s="23"/>
      <c r="G144" s="24" t="str">
        <f>Source!DI47</f>
        <v>)*1,15</v>
      </c>
      <c r="H144" s="23"/>
      <c r="I144" s="24"/>
      <c r="J144" s="24"/>
      <c r="K144" s="23"/>
      <c r="L144" s="34">
        <f>Source!U47</f>
        <v>161.78567999999999</v>
      </c>
    </row>
    <row r="145" spans="1:26" ht="28.5" x14ac:dyDescent="0.2">
      <c r="A145" s="38" t="str">
        <f>Source!E48</f>
        <v>14,1</v>
      </c>
      <c r="B145" s="39" t="str">
        <f>Source!F48</f>
        <v>01.6.03.04</v>
      </c>
      <c r="C145" s="39" t="str">
        <f>Source!G48</f>
        <v>Линолеум на теплозвукоизолирующей подоснове</v>
      </c>
      <c r="D145" s="22" t="str">
        <f>Source!H48</f>
        <v>м2</v>
      </c>
      <c r="E145" s="10">
        <f>Source!I48</f>
        <v>338.43599999999998</v>
      </c>
      <c r="F145" s="23">
        <f>Source!AL48+Source!AM48+Source!AO48</f>
        <v>0</v>
      </c>
      <c r="G145" s="37" t="s">
        <v>3</v>
      </c>
      <c r="H145" s="23">
        <f>ROUND(Source!AC48*Source!I48, 2)+ROUND(Source!AD48*Source!I48, 2)+ROUND(Source!AF48*Source!I48, 2)</f>
        <v>0</v>
      </c>
      <c r="I145" s="24"/>
      <c r="J145" s="24">
        <f>IF(Source!BC48&lt;&gt; 0, Source!BC48, 1)</f>
        <v>6.71</v>
      </c>
      <c r="K145" s="23">
        <f>Source!O48</f>
        <v>0</v>
      </c>
      <c r="L145" s="25"/>
      <c r="S145">
        <f>ROUND((Source!FX48/100)*((ROUND(Source!AF48*Source!I48, 2)+ROUND(Source!AE48*Source!I48, 2))), 2)</f>
        <v>0</v>
      </c>
      <c r="T145">
        <f>Source!X48</f>
        <v>0</v>
      </c>
      <c r="U145">
        <f>ROUND((Source!FY48/100)*((ROUND(Source!AF48*Source!I48, 2)+ROUND(Source!AE48*Source!I48, 2))), 2)</f>
        <v>0</v>
      </c>
      <c r="V145">
        <f>Source!Y48</f>
        <v>0</v>
      </c>
      <c r="W145">
        <f>IF(Source!BI48&lt;=1,H145, 0)</f>
        <v>0</v>
      </c>
      <c r="X145">
        <f>IF(Source!BI48=2,H145, 0)</f>
        <v>0</v>
      </c>
      <c r="Y145">
        <f>IF(Source!BI48=3,H145, 0)</f>
        <v>0</v>
      </c>
      <c r="Z145">
        <f>IF(Source!BI48=4,H145, 0)</f>
        <v>0</v>
      </c>
    </row>
    <row r="146" spans="1:26" ht="71.25" x14ac:dyDescent="0.2">
      <c r="A146" s="38" t="str">
        <f>Source!E49</f>
        <v>14,2</v>
      </c>
      <c r="B146" s="39" t="str">
        <f>Source!F49</f>
        <v>01.6.03.04-0101</v>
      </c>
      <c r="C146" s="39" t="str">
        <f>Source!G49</f>
        <v>Линолеум коммерческий гетерогенный "ТАРКЕТТ TRAVERTINE" (толщина 2 мм, толщина защитного слоя 0,5 мм, класс 33/41, пож. безопасность Г1, В2, РП1, Д2, Т2)</v>
      </c>
      <c r="D146" s="22" t="str">
        <f>Source!H49</f>
        <v>м2</v>
      </c>
      <c r="E146" s="10">
        <f>Source!I49</f>
        <v>338.43599999999998</v>
      </c>
      <c r="F146" s="23">
        <f>Source!AL49+Source!AM49+Source!AO49</f>
        <v>77.5</v>
      </c>
      <c r="G146" s="37" t="s">
        <v>3</v>
      </c>
      <c r="H146" s="23">
        <f>ROUND(Source!AC49*Source!I49, 2)+ROUND(Source!AD49*Source!I49, 2)+ROUND(Source!AF49*Source!I49, 2)</f>
        <v>26228.79</v>
      </c>
      <c r="I146" s="24"/>
      <c r="J146" s="24">
        <f>IF(Source!BC49&lt;&gt; 0, Source!BC49, 1)</f>
        <v>6.71</v>
      </c>
      <c r="K146" s="23">
        <f>Source!O49</f>
        <v>175995.18</v>
      </c>
      <c r="L146" s="25"/>
      <c r="S146">
        <f>ROUND((Source!FX49/100)*((ROUND(Source!AF49*Source!I49, 2)+ROUND(Source!AE49*Source!I49, 2))), 2)</f>
        <v>0</v>
      </c>
      <c r="T146">
        <f>Source!X49</f>
        <v>0</v>
      </c>
      <c r="U146">
        <f>ROUND((Source!FY49/100)*((ROUND(Source!AF49*Source!I49, 2)+ROUND(Source!AE49*Source!I49, 2))), 2)</f>
        <v>0</v>
      </c>
      <c r="V146">
        <f>Source!Y49</f>
        <v>0</v>
      </c>
      <c r="W146">
        <f>IF(Source!BI49&lt;=1,H146, 0)</f>
        <v>26228.79</v>
      </c>
      <c r="X146">
        <f>IF(Source!BI49=2,H146, 0)</f>
        <v>0</v>
      </c>
      <c r="Y146">
        <f>IF(Source!BI49=3,H146, 0)</f>
        <v>0</v>
      </c>
      <c r="Z146">
        <f>IF(Source!BI49=4,H146, 0)</f>
        <v>0</v>
      </c>
    </row>
    <row r="147" spans="1:26" ht="14.25" x14ac:dyDescent="0.2">
      <c r="A147" s="38" t="str">
        <f>Source!E50</f>
        <v>14,3</v>
      </c>
      <c r="B147" s="39" t="str">
        <f>Source!F50</f>
        <v>14.1.06.05</v>
      </c>
      <c r="C147" s="39" t="str">
        <f>Source!G50</f>
        <v>Состав клеящий</v>
      </c>
      <c r="D147" s="22" t="str">
        <f>Source!H50</f>
        <v>кг</v>
      </c>
      <c r="E147" s="10">
        <f>Source!I50</f>
        <v>165.9</v>
      </c>
      <c r="F147" s="23">
        <f>Source!AL50+Source!AM50+Source!AO50</f>
        <v>0</v>
      </c>
      <c r="G147" s="37" t="s">
        <v>3</v>
      </c>
      <c r="H147" s="23">
        <f>ROUND(Source!AC50*Source!I50, 2)+ROUND(Source!AD50*Source!I50, 2)+ROUND(Source!AF50*Source!I50, 2)</f>
        <v>0</v>
      </c>
      <c r="I147" s="24"/>
      <c r="J147" s="24">
        <f>IF(Source!BC50&lt;&gt; 0, Source!BC50, 1)</f>
        <v>6.71</v>
      </c>
      <c r="K147" s="23">
        <f>Source!O50</f>
        <v>0</v>
      </c>
      <c r="L147" s="25"/>
      <c r="S147">
        <f>ROUND((Source!FX50/100)*((ROUND(Source!AF50*Source!I50, 2)+ROUND(Source!AE50*Source!I50, 2))), 2)</f>
        <v>0</v>
      </c>
      <c r="T147">
        <f>Source!X50</f>
        <v>0</v>
      </c>
      <c r="U147">
        <f>ROUND((Source!FY50/100)*((ROUND(Source!AF50*Source!I50, 2)+ROUND(Source!AE50*Source!I50, 2))), 2)</f>
        <v>0</v>
      </c>
      <c r="V147">
        <f>Source!Y50</f>
        <v>0</v>
      </c>
      <c r="W147">
        <f>IF(Source!BI50&lt;=1,H147, 0)</f>
        <v>0</v>
      </c>
      <c r="X147">
        <f>IF(Source!BI50=2,H147, 0)</f>
        <v>0</v>
      </c>
      <c r="Y147">
        <f>IF(Source!BI50=3,H147, 0)</f>
        <v>0</v>
      </c>
      <c r="Z147">
        <f>IF(Source!BI50=4,H147, 0)</f>
        <v>0</v>
      </c>
    </row>
    <row r="148" spans="1:26" ht="14.25" x14ac:dyDescent="0.2">
      <c r="A148" s="40" t="str">
        <f>Source!E51</f>
        <v>14,4</v>
      </c>
      <c r="B148" s="41" t="str">
        <f>Source!F51</f>
        <v>14.1.02.03-0002</v>
      </c>
      <c r="C148" s="41" t="str">
        <f>Source!G51</f>
        <v>Клей ПВА</v>
      </c>
      <c r="D148" s="28" t="str">
        <f>Source!H51</f>
        <v>кг</v>
      </c>
      <c r="E148" s="29">
        <f>Source!I51</f>
        <v>165.9</v>
      </c>
      <c r="F148" s="30">
        <f>Source!AL51+Source!AM51+Source!AO51</f>
        <v>15.9</v>
      </c>
      <c r="G148" s="35" t="s">
        <v>3</v>
      </c>
      <c r="H148" s="30">
        <f>ROUND(Source!AC51*Source!I51, 2)+ROUND(Source!AD51*Source!I51, 2)+ROUND(Source!AF51*Source!I51, 2)</f>
        <v>2637.81</v>
      </c>
      <c r="I148" s="31"/>
      <c r="J148" s="31">
        <f>IF(Source!BC51&lt;&gt; 0, Source!BC51, 1)</f>
        <v>6.71</v>
      </c>
      <c r="K148" s="30">
        <f>Source!O51</f>
        <v>17699.71</v>
      </c>
      <c r="L148" s="36"/>
      <c r="S148">
        <f>ROUND((Source!FX51/100)*((ROUND(Source!AF51*Source!I51, 2)+ROUND(Source!AE51*Source!I51, 2))), 2)</f>
        <v>0</v>
      </c>
      <c r="T148">
        <f>Source!X51</f>
        <v>0</v>
      </c>
      <c r="U148">
        <f>ROUND((Source!FY51/100)*((ROUND(Source!AF51*Source!I51, 2)+ROUND(Source!AE51*Source!I51, 2))), 2)</f>
        <v>0</v>
      </c>
      <c r="V148">
        <f>Source!Y51</f>
        <v>0</v>
      </c>
      <c r="W148">
        <f>IF(Source!BI51&lt;=1,H148, 0)</f>
        <v>2637.81</v>
      </c>
      <c r="X148">
        <f>IF(Source!BI51=2,H148, 0)</f>
        <v>0</v>
      </c>
      <c r="Y148">
        <f>IF(Source!BI51=3,H148, 0)</f>
        <v>0</v>
      </c>
      <c r="Z148">
        <f>IF(Source!BI51=4,H148, 0)</f>
        <v>0</v>
      </c>
    </row>
    <row r="149" spans="1:26" ht="15" x14ac:dyDescent="0.25">
      <c r="G149" s="45">
        <f>H138+H139+H141+H142+H143+SUM(H145:H148)</f>
        <v>32817.200000000004</v>
      </c>
      <c r="H149" s="45"/>
      <c r="J149" s="45">
        <f>K138+K139+K141+K142+K143+SUM(K145:K148)</f>
        <v>220254.74</v>
      </c>
      <c r="K149" s="45"/>
      <c r="L149" s="33">
        <f>Source!U47</f>
        <v>161.78567999999999</v>
      </c>
      <c r="O149" s="19">
        <f>G149</f>
        <v>32817.200000000004</v>
      </c>
      <c r="P149" s="19">
        <f>J149</f>
        <v>220254.74</v>
      </c>
      <c r="Q149" s="19">
        <f>L149</f>
        <v>161.78567999999999</v>
      </c>
      <c r="W149">
        <f>IF(Source!BI47&lt;=1,H138+H139+H141+H142+H143, 0)</f>
        <v>3950.6</v>
      </c>
      <c r="X149">
        <f>IF(Source!BI47=2,H138+H139+H141+H142+H143, 0)</f>
        <v>0</v>
      </c>
      <c r="Y149">
        <f>IF(Source!BI47=3,H138+H139+H141+H142+H143, 0)</f>
        <v>0</v>
      </c>
      <c r="Z149">
        <f>IF(Source!BI47=4,H138+H139+H141+H142+H143, 0)</f>
        <v>0</v>
      </c>
    </row>
    <row r="150" spans="1:26" ht="42.75" x14ac:dyDescent="0.2">
      <c r="A150" s="38" t="str">
        <f>Source!E52</f>
        <v>15</v>
      </c>
      <c r="B150" s="39" t="str">
        <f>Source!F52</f>
        <v>11-01-040-03</v>
      </c>
      <c r="C150" s="39" t="str">
        <f>Source!G52</f>
        <v>Устройство плинтусов поливинилхлоридных на винтах самонарезающих</v>
      </c>
      <c r="D150" s="22" t="str">
        <f>Source!H52</f>
        <v>100 м</v>
      </c>
      <c r="E150" s="10">
        <f>Source!I52</f>
        <v>1.9148000000000001</v>
      </c>
      <c r="F150" s="23">
        <f>Source!AL52+Source!AM52+Source!AO52</f>
        <v>137.09</v>
      </c>
      <c r="G150" s="24"/>
      <c r="H150" s="23"/>
      <c r="I150" s="24" t="str">
        <f>Source!BO52</f>
        <v/>
      </c>
      <c r="J150" s="24"/>
      <c r="K150" s="23"/>
      <c r="L150" s="25"/>
      <c r="S150">
        <f>ROUND((Source!FX52/100)*((ROUND(Source!AF52*Source!I52, 2)+ROUND(Source!AE52*Source!I52, 2))), 2)</f>
        <v>150.6</v>
      </c>
      <c r="T150">
        <f>Source!X52</f>
        <v>1013.29</v>
      </c>
      <c r="U150">
        <f>ROUND((Source!FY52/100)*((ROUND(Source!AF52*Source!I52, 2)+ROUND(Source!AE52*Source!I52, 2))), 2)</f>
        <v>86.73</v>
      </c>
      <c r="V150">
        <f>Source!Y52</f>
        <v>584.24</v>
      </c>
    </row>
    <row r="151" spans="1:26" ht="14.25" x14ac:dyDescent="0.2">
      <c r="A151" s="38"/>
      <c r="B151" s="39"/>
      <c r="C151" s="39" t="s">
        <v>999</v>
      </c>
      <c r="D151" s="22"/>
      <c r="E151" s="10"/>
      <c r="F151" s="23">
        <f>Source!AO52</f>
        <v>61.32</v>
      </c>
      <c r="G151" s="24" t="str">
        <f>Source!DG52</f>
        <v>)*1,15</v>
      </c>
      <c r="H151" s="23">
        <f>ROUND(Source!AF52*Source!I52, 2)</f>
        <v>135.03</v>
      </c>
      <c r="I151" s="24"/>
      <c r="J151" s="24">
        <f>IF(Source!BA52&lt;&gt; 0, Source!BA52, 1)</f>
        <v>6.71</v>
      </c>
      <c r="K151" s="23">
        <f>Source!S52</f>
        <v>906.06</v>
      </c>
      <c r="L151" s="25"/>
      <c r="R151">
        <f>H151</f>
        <v>135.03</v>
      </c>
    </row>
    <row r="152" spans="1:26" ht="14.25" x14ac:dyDescent="0.2">
      <c r="A152" s="38"/>
      <c r="B152" s="39"/>
      <c r="C152" s="39" t="s">
        <v>301</v>
      </c>
      <c r="D152" s="22"/>
      <c r="E152" s="10"/>
      <c r="F152" s="23">
        <f>Source!AM52</f>
        <v>2.13</v>
      </c>
      <c r="G152" s="24" t="str">
        <f>Source!DE52</f>
        <v>)*1,25</v>
      </c>
      <c r="H152" s="23">
        <f>ROUND(Source!AD52*Source!I52, 2)</f>
        <v>5.1100000000000003</v>
      </c>
      <c r="I152" s="24"/>
      <c r="J152" s="24">
        <f>IF(Source!BB52&lt;&gt; 0, Source!BB52, 1)</f>
        <v>6.71</v>
      </c>
      <c r="K152" s="23">
        <f>Source!Q52</f>
        <v>34.299999999999997</v>
      </c>
      <c r="L152" s="25"/>
    </row>
    <row r="153" spans="1:26" ht="14.25" x14ac:dyDescent="0.2">
      <c r="A153" s="38"/>
      <c r="B153" s="39"/>
      <c r="C153" s="39" t="s">
        <v>1000</v>
      </c>
      <c r="D153" s="22"/>
      <c r="E153" s="10"/>
      <c r="F153" s="23">
        <f>Source!AN52</f>
        <v>0.42</v>
      </c>
      <c r="G153" s="24" t="str">
        <f>Source!DF52</f>
        <v>)*1,25</v>
      </c>
      <c r="H153" s="26">
        <f>ROUND(Source!AE52*Source!I52, 2)</f>
        <v>1.01</v>
      </c>
      <c r="I153" s="24"/>
      <c r="J153" s="24">
        <f>IF(Source!BS52&lt;&gt; 0, Source!BS52, 1)</f>
        <v>6.71</v>
      </c>
      <c r="K153" s="26">
        <f>Source!R52</f>
        <v>6.81</v>
      </c>
      <c r="L153" s="25"/>
      <c r="R153">
        <f>H153</f>
        <v>1.01</v>
      </c>
    </row>
    <row r="154" spans="1:26" ht="14.25" x14ac:dyDescent="0.2">
      <c r="A154" s="38"/>
      <c r="B154" s="39"/>
      <c r="C154" s="39" t="s">
        <v>1006</v>
      </c>
      <c r="D154" s="22"/>
      <c r="E154" s="10"/>
      <c r="F154" s="23">
        <f>Source!AL52</f>
        <v>73.64</v>
      </c>
      <c r="G154" s="24" t="str">
        <f>Source!DD52</f>
        <v/>
      </c>
      <c r="H154" s="23">
        <f>ROUND(Source!AC52*Source!I52, 2)</f>
        <v>141.01</v>
      </c>
      <c r="I154" s="24"/>
      <c r="J154" s="24">
        <f>IF(Source!BC52&lt;&gt; 0, Source!BC52, 1)</f>
        <v>6.71</v>
      </c>
      <c r="K154" s="23">
        <f>Source!P52</f>
        <v>946.15</v>
      </c>
      <c r="L154" s="25"/>
    </row>
    <row r="155" spans="1:26" ht="14.25" x14ac:dyDescent="0.2">
      <c r="A155" s="38"/>
      <c r="B155" s="39"/>
      <c r="C155" s="39" t="s">
        <v>1001</v>
      </c>
      <c r="D155" s="22" t="s">
        <v>1002</v>
      </c>
      <c r="E155" s="10">
        <f>Source!BZ52</f>
        <v>123</v>
      </c>
      <c r="F155" s="49" t="str">
        <f>CONCATENATE(" )", Source!DL52, Source!FT52, "=", Source!FX52)</f>
        <v xml:space="preserve"> )*0,9=110,7</v>
      </c>
      <c r="G155" s="50"/>
      <c r="H155" s="23">
        <f>SUM(S150:S169)</f>
        <v>150.6</v>
      </c>
      <c r="I155" s="27"/>
      <c r="J155" s="21">
        <f>Source!AT52</f>
        <v>111</v>
      </c>
      <c r="K155" s="23">
        <f>SUM(T150:T169)</f>
        <v>1013.29</v>
      </c>
      <c r="L155" s="25"/>
    </row>
    <row r="156" spans="1:26" ht="14.25" x14ac:dyDescent="0.2">
      <c r="A156" s="38"/>
      <c r="B156" s="39"/>
      <c r="C156" s="39" t="s">
        <v>1003</v>
      </c>
      <c r="D156" s="22" t="s">
        <v>1002</v>
      </c>
      <c r="E156" s="10">
        <f>Source!CA52</f>
        <v>75</v>
      </c>
      <c r="F156" s="49" t="str">
        <f>CONCATENATE(" )", Source!DM52, Source!FU52, "=", Source!FY52)</f>
        <v xml:space="preserve"> )*0,85=63,75</v>
      </c>
      <c r="G156" s="50"/>
      <c r="H156" s="23">
        <f>SUM(U150:U169)</f>
        <v>86.73</v>
      </c>
      <c r="I156" s="27"/>
      <c r="J156" s="21">
        <f>Source!AU52</f>
        <v>64</v>
      </c>
      <c r="K156" s="23">
        <f>SUM(V150:V169)</f>
        <v>584.24</v>
      </c>
      <c r="L156" s="25"/>
    </row>
    <row r="157" spans="1:26" ht="14.25" x14ac:dyDescent="0.2">
      <c r="A157" s="38"/>
      <c r="B157" s="39"/>
      <c r="C157" s="39" t="s">
        <v>1004</v>
      </c>
      <c r="D157" s="22" t="s">
        <v>1005</v>
      </c>
      <c r="E157" s="10">
        <f>Source!AQ52</f>
        <v>6.68</v>
      </c>
      <c r="F157" s="23"/>
      <c r="G157" s="24" t="str">
        <f>Source!DI52</f>
        <v>)*1,15</v>
      </c>
      <c r="H157" s="23"/>
      <c r="I157" s="24"/>
      <c r="J157" s="24"/>
      <c r="K157" s="23"/>
      <c r="L157" s="34">
        <f>Source!U52</f>
        <v>14.7094936</v>
      </c>
    </row>
    <row r="158" spans="1:26" ht="14.25" x14ac:dyDescent="0.2">
      <c r="A158" s="38" t="str">
        <f>Source!E53</f>
        <v>15,1</v>
      </c>
      <c r="B158" s="39" t="str">
        <f>Source!F53</f>
        <v>11.3.03.06</v>
      </c>
      <c r="C158" s="39" t="str">
        <f>Source!G53</f>
        <v>Плинтуса для полов пластиковые</v>
      </c>
      <c r="D158" s="22" t="str">
        <f>Source!H53</f>
        <v>м</v>
      </c>
      <c r="E158" s="10">
        <f>Source!I53</f>
        <v>193.3948</v>
      </c>
      <c r="F158" s="23">
        <f>Source!AL53+Source!AM53+Source!AO53</f>
        <v>0</v>
      </c>
      <c r="G158" s="37" t="s">
        <v>3</v>
      </c>
      <c r="H158" s="23">
        <f>ROUND(Source!AC53*Source!I53, 2)+ROUND(Source!AD53*Source!I53, 2)+ROUND(Source!AF53*Source!I53, 2)</f>
        <v>0</v>
      </c>
      <c r="I158" s="24"/>
      <c r="J158" s="24">
        <f>IF(Source!BC53&lt;&gt; 0, Source!BC53, 1)</f>
        <v>6.71</v>
      </c>
      <c r="K158" s="23">
        <f>Source!O53</f>
        <v>0</v>
      </c>
      <c r="L158" s="25"/>
      <c r="S158">
        <f>ROUND((Source!FX53/100)*((ROUND(Source!AF53*Source!I53, 2)+ROUND(Source!AE53*Source!I53, 2))), 2)</f>
        <v>0</v>
      </c>
      <c r="T158">
        <f>Source!X53</f>
        <v>0</v>
      </c>
      <c r="U158">
        <f>ROUND((Source!FY53/100)*((ROUND(Source!AF53*Source!I53, 2)+ROUND(Source!AE53*Source!I53, 2))), 2)</f>
        <v>0</v>
      </c>
      <c r="V158">
        <f>Source!Y53</f>
        <v>0</v>
      </c>
      <c r="W158">
        <f>IF(Source!BI53&lt;=1,H158, 0)</f>
        <v>0</v>
      </c>
      <c r="X158">
        <f>IF(Source!BI53=2,H158, 0)</f>
        <v>0</v>
      </c>
      <c r="Y158">
        <f>IF(Source!BI53=3,H158, 0)</f>
        <v>0</v>
      </c>
      <c r="Z158">
        <f>IF(Source!BI53=4,H158, 0)</f>
        <v>0</v>
      </c>
    </row>
    <row r="159" spans="1:26" ht="28.5" x14ac:dyDescent="0.2">
      <c r="A159" s="38" t="str">
        <f>Source!E54</f>
        <v>15,2</v>
      </c>
      <c r="B159" s="39" t="str">
        <f>Source!F54</f>
        <v>11.3.03.06-0001</v>
      </c>
      <c r="C159" s="39" t="str">
        <f>Source!G54</f>
        <v>Плинтуса для полов пластиковые, KronPlast Premium19х48 мм</v>
      </c>
      <c r="D159" s="22" t="str">
        <f>Source!H54</f>
        <v>м</v>
      </c>
      <c r="E159" s="10">
        <f>Source!I54</f>
        <v>193.3948</v>
      </c>
      <c r="F159" s="23">
        <f>Source!AL54+Source!AM54+Source!AO54</f>
        <v>12.3</v>
      </c>
      <c r="G159" s="37" t="s">
        <v>3</v>
      </c>
      <c r="H159" s="23">
        <f>ROUND(Source!AC54*Source!I54, 2)+ROUND(Source!AD54*Source!I54, 2)+ROUND(Source!AF54*Source!I54, 2)</f>
        <v>2378.7600000000002</v>
      </c>
      <c r="I159" s="24"/>
      <c r="J159" s="24">
        <f>IF(Source!BC54&lt;&gt; 0, Source!BC54, 1)</f>
        <v>6.71</v>
      </c>
      <c r="K159" s="23">
        <f>Source!O54</f>
        <v>15961.45</v>
      </c>
      <c r="L159" s="25"/>
      <c r="S159">
        <f>ROUND((Source!FX54/100)*((ROUND(Source!AF54*Source!I54, 2)+ROUND(Source!AE54*Source!I54, 2))), 2)</f>
        <v>0</v>
      </c>
      <c r="T159">
        <f>Source!X54</f>
        <v>0</v>
      </c>
      <c r="U159">
        <f>ROUND((Source!FY54/100)*((ROUND(Source!AF54*Source!I54, 2)+ROUND(Source!AE54*Source!I54, 2))), 2)</f>
        <v>0</v>
      </c>
      <c r="V159">
        <f>Source!Y54</f>
        <v>0</v>
      </c>
      <c r="W159">
        <f>IF(Source!BI54&lt;=1,H159, 0)</f>
        <v>2378.7600000000002</v>
      </c>
      <c r="X159">
        <f>IF(Source!BI54=2,H159, 0)</f>
        <v>0</v>
      </c>
      <c r="Y159">
        <f>IF(Source!BI54=3,H159, 0)</f>
        <v>0</v>
      </c>
      <c r="Z159">
        <f>IF(Source!BI54=4,H159, 0)</f>
        <v>0</v>
      </c>
    </row>
    <row r="160" spans="1:26" ht="28.5" x14ac:dyDescent="0.2">
      <c r="A160" s="38" t="str">
        <f>Source!E55</f>
        <v>15,3</v>
      </c>
      <c r="B160" s="39" t="str">
        <f>Source!F55</f>
        <v>11.3.03.14</v>
      </c>
      <c r="C160" s="39" t="str">
        <f>Source!G55</f>
        <v>Уголок наружный для пластикового плинтуса</v>
      </c>
      <c r="D160" s="22" t="str">
        <f>Source!H55</f>
        <v>шт.</v>
      </c>
      <c r="E160" s="10">
        <f>Source!I55</f>
        <v>13.403600000000001</v>
      </c>
      <c r="F160" s="23">
        <f>Source!AL55+Source!AM55+Source!AO55</f>
        <v>0</v>
      </c>
      <c r="G160" s="37" t="s">
        <v>3</v>
      </c>
      <c r="H160" s="23">
        <f>ROUND(Source!AC55*Source!I55, 2)+ROUND(Source!AD55*Source!I55, 2)+ROUND(Source!AF55*Source!I55, 2)</f>
        <v>0</v>
      </c>
      <c r="I160" s="24"/>
      <c r="J160" s="24">
        <f>IF(Source!BC55&lt;&gt; 0, Source!BC55, 1)</f>
        <v>6.71</v>
      </c>
      <c r="K160" s="23">
        <f>Source!O55</f>
        <v>0</v>
      </c>
      <c r="L160" s="25"/>
      <c r="S160">
        <f>ROUND((Source!FX55/100)*((ROUND(Source!AF55*Source!I55, 2)+ROUND(Source!AE55*Source!I55, 2))), 2)</f>
        <v>0</v>
      </c>
      <c r="T160">
        <f>Source!X55</f>
        <v>0</v>
      </c>
      <c r="U160">
        <f>ROUND((Source!FY55/100)*((ROUND(Source!AF55*Source!I55, 2)+ROUND(Source!AE55*Source!I55, 2))), 2)</f>
        <v>0</v>
      </c>
      <c r="V160">
        <f>Source!Y55</f>
        <v>0</v>
      </c>
      <c r="W160">
        <f>IF(Source!BI55&lt;=1,H160, 0)</f>
        <v>0</v>
      </c>
      <c r="X160">
        <f>IF(Source!BI55=2,H160, 0)</f>
        <v>0</v>
      </c>
      <c r="Y160">
        <f>IF(Source!BI55=3,H160, 0)</f>
        <v>0</v>
      </c>
      <c r="Z160">
        <f>IF(Source!BI55=4,H160, 0)</f>
        <v>0</v>
      </c>
    </row>
    <row r="161" spans="1:26" ht="28.5" x14ac:dyDescent="0.2">
      <c r="A161" s="38" t="str">
        <f>Source!E56</f>
        <v>15,4</v>
      </c>
      <c r="B161" s="39" t="str">
        <f>Source!F56</f>
        <v>11.3.03.14-0011</v>
      </c>
      <c r="C161" s="39" t="str">
        <f>Source!G56</f>
        <v>Заглушки торцевая для пластикового плинтуса правая, высота 48 мм</v>
      </c>
      <c r="D161" s="22" t="str">
        <f>Source!H56</f>
        <v>100 шт.</v>
      </c>
      <c r="E161" s="10">
        <f>Source!I56</f>
        <v>0.15224599999999999</v>
      </c>
      <c r="F161" s="23">
        <f>Source!AL56+Source!AM56+Source!AO56</f>
        <v>63</v>
      </c>
      <c r="G161" s="37" t="s">
        <v>3</v>
      </c>
      <c r="H161" s="23">
        <f>ROUND(Source!AC56*Source!I56, 2)+ROUND(Source!AD56*Source!I56, 2)+ROUND(Source!AF56*Source!I56, 2)</f>
        <v>9.59</v>
      </c>
      <c r="I161" s="24"/>
      <c r="J161" s="24">
        <f>IF(Source!BC56&lt;&gt; 0, Source!BC56, 1)</f>
        <v>6.71</v>
      </c>
      <c r="K161" s="23">
        <f>Source!O56</f>
        <v>64.36</v>
      </c>
      <c r="L161" s="25"/>
      <c r="S161">
        <f>ROUND((Source!FX56/100)*((ROUND(Source!AF56*Source!I56, 2)+ROUND(Source!AE56*Source!I56, 2))), 2)</f>
        <v>0</v>
      </c>
      <c r="T161">
        <f>Source!X56</f>
        <v>0</v>
      </c>
      <c r="U161">
        <f>ROUND((Source!FY56/100)*((ROUND(Source!AF56*Source!I56, 2)+ROUND(Source!AE56*Source!I56, 2))), 2)</f>
        <v>0</v>
      </c>
      <c r="V161">
        <f>Source!Y56</f>
        <v>0</v>
      </c>
      <c r="W161">
        <f>IF(Source!BI56&lt;=1,H161, 0)</f>
        <v>9.59</v>
      </c>
      <c r="X161">
        <f>IF(Source!BI56=2,H161, 0)</f>
        <v>0</v>
      </c>
      <c r="Y161">
        <f>IF(Source!BI56=3,H161, 0)</f>
        <v>0</v>
      </c>
      <c r="Z161">
        <f>IF(Source!BI56=4,H161, 0)</f>
        <v>0</v>
      </c>
    </row>
    <row r="162" spans="1:26" ht="28.5" x14ac:dyDescent="0.2">
      <c r="A162" s="38" t="str">
        <f>Source!E57</f>
        <v>15,5</v>
      </c>
      <c r="B162" s="39" t="str">
        <f>Source!F57</f>
        <v>11.3.03.14-0001</v>
      </c>
      <c r="C162" s="39" t="str">
        <f>Source!G57</f>
        <v>Заглушка торцевая для пластикового плинтуса левая, высота 48 мм</v>
      </c>
      <c r="D162" s="22" t="str">
        <f>Source!H57</f>
        <v>100 шт.</v>
      </c>
      <c r="E162" s="10">
        <f>Source!I57</f>
        <v>0.15224599999999999</v>
      </c>
      <c r="F162" s="23">
        <f>Source!AL57+Source!AM57+Source!AO57</f>
        <v>63</v>
      </c>
      <c r="G162" s="37" t="s">
        <v>3</v>
      </c>
      <c r="H162" s="23">
        <f>ROUND(Source!AC57*Source!I57, 2)+ROUND(Source!AD57*Source!I57, 2)+ROUND(Source!AF57*Source!I57, 2)</f>
        <v>9.59</v>
      </c>
      <c r="I162" s="24"/>
      <c r="J162" s="24">
        <f>IF(Source!BC57&lt;&gt; 0, Source!BC57, 1)</f>
        <v>6.71</v>
      </c>
      <c r="K162" s="23">
        <f>Source!O57</f>
        <v>64.36</v>
      </c>
      <c r="L162" s="25"/>
      <c r="S162">
        <f>ROUND((Source!FX57/100)*((ROUND(Source!AF57*Source!I57, 2)+ROUND(Source!AE57*Source!I57, 2))), 2)</f>
        <v>0</v>
      </c>
      <c r="T162">
        <f>Source!X57</f>
        <v>0</v>
      </c>
      <c r="U162">
        <f>ROUND((Source!FY57/100)*((ROUND(Source!AF57*Source!I57, 2)+ROUND(Source!AE57*Source!I57, 2))), 2)</f>
        <v>0</v>
      </c>
      <c r="V162">
        <f>Source!Y57</f>
        <v>0</v>
      </c>
      <c r="W162">
        <f>IF(Source!BI57&lt;=1,H162, 0)</f>
        <v>9.59</v>
      </c>
      <c r="X162">
        <f>IF(Source!BI57=2,H162, 0)</f>
        <v>0</v>
      </c>
      <c r="Y162">
        <f>IF(Source!BI57=3,H162, 0)</f>
        <v>0</v>
      </c>
      <c r="Z162">
        <f>IF(Source!BI57=4,H162, 0)</f>
        <v>0</v>
      </c>
    </row>
    <row r="163" spans="1:26" ht="28.5" x14ac:dyDescent="0.2">
      <c r="A163" s="38" t="str">
        <f>Source!E58</f>
        <v>15,6</v>
      </c>
      <c r="B163" s="39" t="str">
        <f>Source!F58</f>
        <v>11.3.03.14-0021</v>
      </c>
      <c r="C163" s="39" t="str">
        <f>Source!G58</f>
        <v>Соединитель для пластикового плинтуса, высота 48 мм</v>
      </c>
      <c r="D163" s="22" t="str">
        <f>Source!H58</f>
        <v>100 шт.</v>
      </c>
      <c r="E163" s="10">
        <f>Source!I58</f>
        <v>0.76493999999999995</v>
      </c>
      <c r="F163" s="23">
        <f>Source!AL58+Source!AM58+Source!AO58</f>
        <v>128</v>
      </c>
      <c r="G163" s="37" t="s">
        <v>3</v>
      </c>
      <c r="H163" s="23">
        <f>ROUND(Source!AC58*Source!I58, 2)+ROUND(Source!AD58*Source!I58, 2)+ROUND(Source!AF58*Source!I58, 2)</f>
        <v>97.91</v>
      </c>
      <c r="I163" s="24"/>
      <c r="J163" s="24">
        <f>IF(Source!BC58&lt;&gt; 0, Source!BC58, 1)</f>
        <v>6.71</v>
      </c>
      <c r="K163" s="23">
        <f>Source!O58</f>
        <v>656.99</v>
      </c>
      <c r="L163" s="25"/>
      <c r="S163">
        <f>ROUND((Source!FX58/100)*((ROUND(Source!AF58*Source!I58, 2)+ROUND(Source!AE58*Source!I58, 2))), 2)</f>
        <v>0</v>
      </c>
      <c r="T163">
        <f>Source!X58</f>
        <v>0</v>
      </c>
      <c r="U163">
        <f>ROUND((Source!FY58/100)*((ROUND(Source!AF58*Source!I58, 2)+ROUND(Source!AE58*Source!I58, 2))), 2)</f>
        <v>0</v>
      </c>
      <c r="V163">
        <f>Source!Y58</f>
        <v>0</v>
      </c>
      <c r="W163">
        <f>IF(Source!BI58&lt;=1,H163, 0)</f>
        <v>97.91</v>
      </c>
      <c r="X163">
        <f>IF(Source!BI58=2,H163, 0)</f>
        <v>0</v>
      </c>
      <c r="Y163">
        <f>IF(Source!BI58=3,H163, 0)</f>
        <v>0</v>
      </c>
      <c r="Z163">
        <f>IF(Source!BI58=4,H163, 0)</f>
        <v>0</v>
      </c>
    </row>
    <row r="164" spans="1:26" ht="28.5" x14ac:dyDescent="0.2">
      <c r="A164" s="38" t="str">
        <f>Source!E59</f>
        <v>15,7</v>
      </c>
      <c r="B164" s="39" t="str">
        <f>Source!F59</f>
        <v>11.3.03.14-0031</v>
      </c>
      <c r="C164" s="39" t="str">
        <f>Source!G59</f>
        <v>Уголок внутренний для пластикового плинтуса, высота 48 мм</v>
      </c>
      <c r="D164" s="22" t="str">
        <f>Source!H59</f>
        <v>100 шт.</v>
      </c>
      <c r="E164" s="10">
        <f>Source!I59</f>
        <v>13.367877</v>
      </c>
      <c r="F164" s="23">
        <f>Source!AL59+Source!AM59+Source!AO59</f>
        <v>128</v>
      </c>
      <c r="G164" s="37" t="s">
        <v>3</v>
      </c>
      <c r="H164" s="23">
        <f>ROUND(Source!AC59*Source!I59, 2)+ROUND(Source!AD59*Source!I59, 2)+ROUND(Source!AF59*Source!I59, 2)</f>
        <v>1711.09</v>
      </c>
      <c r="I164" s="24"/>
      <c r="J164" s="24">
        <f>IF(Source!BC59&lt;&gt; 0, Source!BC59, 1)</f>
        <v>6.71</v>
      </c>
      <c r="K164" s="23">
        <f>Source!O59</f>
        <v>11481.4</v>
      </c>
      <c r="L164" s="25"/>
      <c r="S164">
        <f>ROUND((Source!FX59/100)*((ROUND(Source!AF59*Source!I59, 2)+ROUND(Source!AE59*Source!I59, 2))), 2)</f>
        <v>0</v>
      </c>
      <c r="T164">
        <f>Source!X59</f>
        <v>0</v>
      </c>
      <c r="U164">
        <f>ROUND((Source!FY59/100)*((ROUND(Source!AF59*Source!I59, 2)+ROUND(Source!AE59*Source!I59, 2))), 2)</f>
        <v>0</v>
      </c>
      <c r="V164">
        <f>Source!Y59</f>
        <v>0</v>
      </c>
      <c r="W164">
        <f>IF(Source!BI59&lt;=1,H164, 0)</f>
        <v>1711.09</v>
      </c>
      <c r="X164">
        <f>IF(Source!BI59=2,H164, 0)</f>
        <v>0</v>
      </c>
      <c r="Y164">
        <f>IF(Source!BI59=3,H164, 0)</f>
        <v>0</v>
      </c>
      <c r="Z164">
        <f>IF(Source!BI59=4,H164, 0)</f>
        <v>0</v>
      </c>
    </row>
    <row r="165" spans="1:26" ht="28.5" x14ac:dyDescent="0.2">
      <c r="A165" s="38" t="str">
        <f>Source!E60</f>
        <v>15,8</v>
      </c>
      <c r="B165" s="39" t="str">
        <f>Source!F60</f>
        <v>11.3.03.14-0033</v>
      </c>
      <c r="C165" s="39" t="str">
        <f>Source!G60</f>
        <v>Уголок наружный для пластикового плинтуса, высота 48 мм</v>
      </c>
      <c r="D165" s="22" t="str">
        <f>Source!H60</f>
        <v>100 шт.</v>
      </c>
      <c r="E165" s="10">
        <f>Source!I60</f>
        <v>0.13367799999999999</v>
      </c>
      <c r="F165" s="23">
        <f>Source!AL60+Source!AM60+Source!AO60</f>
        <v>128</v>
      </c>
      <c r="G165" s="37" t="s">
        <v>3</v>
      </c>
      <c r="H165" s="23">
        <f>ROUND(Source!AC60*Source!I60, 2)+ROUND(Source!AD60*Source!I60, 2)+ROUND(Source!AF60*Source!I60, 2)</f>
        <v>17.11</v>
      </c>
      <c r="I165" s="24"/>
      <c r="J165" s="24">
        <f>IF(Source!BC60&lt;&gt; 0, Source!BC60, 1)</f>
        <v>6.71</v>
      </c>
      <c r="K165" s="23">
        <f>Source!O60</f>
        <v>114.81</v>
      </c>
      <c r="L165" s="25"/>
      <c r="S165">
        <f>ROUND((Source!FX60/100)*((ROUND(Source!AF60*Source!I60, 2)+ROUND(Source!AE60*Source!I60, 2))), 2)</f>
        <v>0</v>
      </c>
      <c r="T165">
        <f>Source!X60</f>
        <v>0</v>
      </c>
      <c r="U165">
        <f>ROUND((Source!FY60/100)*((ROUND(Source!AF60*Source!I60, 2)+ROUND(Source!AE60*Source!I60, 2))), 2)</f>
        <v>0</v>
      </c>
      <c r="V165">
        <f>Source!Y60</f>
        <v>0</v>
      </c>
      <c r="W165">
        <f>IF(Source!BI60&lt;=1,H165, 0)</f>
        <v>17.11</v>
      </c>
      <c r="X165">
        <f>IF(Source!BI60=2,H165, 0)</f>
        <v>0</v>
      </c>
      <c r="Y165">
        <f>IF(Source!BI60=3,H165, 0)</f>
        <v>0</v>
      </c>
      <c r="Z165">
        <f>IF(Source!BI60=4,H165, 0)</f>
        <v>0</v>
      </c>
    </row>
    <row r="166" spans="1:26" ht="28.5" x14ac:dyDescent="0.2">
      <c r="A166" s="38" t="str">
        <f>Source!E61</f>
        <v>15,9</v>
      </c>
      <c r="B166" s="39" t="str">
        <f>Source!F61</f>
        <v>11.3.03.14</v>
      </c>
      <c r="C166" s="39" t="str">
        <f>Source!G61</f>
        <v>Уголок внутренний для пластикового плинтуса</v>
      </c>
      <c r="D166" s="22" t="str">
        <f>Source!H61</f>
        <v>шт.</v>
      </c>
      <c r="E166" s="10">
        <f>Source!I61</f>
        <v>13.367877</v>
      </c>
      <c r="F166" s="23">
        <f>Source!AL61+Source!AM61+Source!AO61</f>
        <v>0</v>
      </c>
      <c r="G166" s="37" t="s">
        <v>3</v>
      </c>
      <c r="H166" s="23">
        <f>ROUND(Source!AC61*Source!I61, 2)+ROUND(Source!AD61*Source!I61, 2)+ROUND(Source!AF61*Source!I61, 2)</f>
        <v>0</v>
      </c>
      <c r="I166" s="24"/>
      <c r="J166" s="24">
        <f>IF(Source!BC61&lt;&gt; 0, Source!BC61, 1)</f>
        <v>6.71</v>
      </c>
      <c r="K166" s="23">
        <f>Source!O61</f>
        <v>0</v>
      </c>
      <c r="L166" s="25"/>
      <c r="S166">
        <f>ROUND((Source!FX61/100)*((ROUND(Source!AF61*Source!I61, 2)+ROUND(Source!AE61*Source!I61, 2))), 2)</f>
        <v>0</v>
      </c>
      <c r="T166">
        <f>Source!X61</f>
        <v>0</v>
      </c>
      <c r="U166">
        <f>ROUND((Source!FY61/100)*((ROUND(Source!AF61*Source!I61, 2)+ROUND(Source!AE61*Source!I61, 2))), 2)</f>
        <v>0</v>
      </c>
      <c r="V166">
        <f>Source!Y61</f>
        <v>0</v>
      </c>
      <c r="W166">
        <f>IF(Source!BI61&lt;=1,H166, 0)</f>
        <v>0</v>
      </c>
      <c r="X166">
        <f>IF(Source!BI61=2,H166, 0)</f>
        <v>0</v>
      </c>
      <c r="Y166">
        <f>IF(Source!BI61=3,H166, 0)</f>
        <v>0</v>
      </c>
      <c r="Z166">
        <f>IF(Source!BI61=4,H166, 0)</f>
        <v>0</v>
      </c>
    </row>
    <row r="167" spans="1:26" ht="28.5" x14ac:dyDescent="0.2">
      <c r="A167" s="38" t="str">
        <f>Source!E62</f>
        <v>15,10</v>
      </c>
      <c r="B167" s="39" t="str">
        <f>Source!F62</f>
        <v>11.3.03.14</v>
      </c>
      <c r="C167" s="39" t="str">
        <f>Source!G62</f>
        <v>Соединитель для пластикового плинтуса</v>
      </c>
      <c r="D167" s="22" t="str">
        <f>Source!H62</f>
        <v>шт.</v>
      </c>
      <c r="E167" s="10">
        <f>Source!I62</f>
        <v>76.493967999999995</v>
      </c>
      <c r="F167" s="23">
        <f>Source!AL62+Source!AM62+Source!AO62</f>
        <v>0</v>
      </c>
      <c r="G167" s="37" t="s">
        <v>3</v>
      </c>
      <c r="H167" s="23">
        <f>ROUND(Source!AC62*Source!I62, 2)+ROUND(Source!AD62*Source!I62, 2)+ROUND(Source!AF62*Source!I62, 2)</f>
        <v>0</v>
      </c>
      <c r="I167" s="24"/>
      <c r="J167" s="24">
        <f>IF(Source!BC62&lt;&gt; 0, Source!BC62, 1)</f>
        <v>6.71</v>
      </c>
      <c r="K167" s="23">
        <f>Source!O62</f>
        <v>0</v>
      </c>
      <c r="L167" s="25"/>
      <c r="S167">
        <f>ROUND((Source!FX62/100)*((ROUND(Source!AF62*Source!I62, 2)+ROUND(Source!AE62*Source!I62, 2))), 2)</f>
        <v>0</v>
      </c>
      <c r="T167">
        <f>Source!X62</f>
        <v>0</v>
      </c>
      <c r="U167">
        <f>ROUND((Source!FY62/100)*((ROUND(Source!AF62*Source!I62, 2)+ROUND(Source!AE62*Source!I62, 2))), 2)</f>
        <v>0</v>
      </c>
      <c r="V167">
        <f>Source!Y62</f>
        <v>0</v>
      </c>
      <c r="W167">
        <f>IF(Source!BI62&lt;=1,H167, 0)</f>
        <v>0</v>
      </c>
      <c r="X167">
        <f>IF(Source!BI62=2,H167, 0)</f>
        <v>0</v>
      </c>
      <c r="Y167">
        <f>IF(Source!BI62=3,H167, 0)</f>
        <v>0</v>
      </c>
      <c r="Z167">
        <f>IF(Source!BI62=4,H167, 0)</f>
        <v>0</v>
      </c>
    </row>
    <row r="168" spans="1:26" ht="28.5" x14ac:dyDescent="0.2">
      <c r="A168" s="38" t="str">
        <f>Source!E63</f>
        <v>15,11</v>
      </c>
      <c r="B168" s="39" t="str">
        <f>Source!F63</f>
        <v>11.3.03.14</v>
      </c>
      <c r="C168" s="39" t="str">
        <f>Source!G63</f>
        <v>Заглушка торцевая для пластикового плинтуса левая</v>
      </c>
      <c r="D168" s="22" t="str">
        <f>Source!H63</f>
        <v>шт.</v>
      </c>
      <c r="E168" s="10">
        <f>Source!I63</f>
        <v>15.224527</v>
      </c>
      <c r="F168" s="23">
        <f>Source!AL63+Source!AM63+Source!AO63</f>
        <v>0</v>
      </c>
      <c r="G168" s="37" t="s">
        <v>3</v>
      </c>
      <c r="H168" s="23">
        <f>ROUND(Source!AC63*Source!I63, 2)+ROUND(Source!AD63*Source!I63, 2)+ROUND(Source!AF63*Source!I63, 2)</f>
        <v>0</v>
      </c>
      <c r="I168" s="24"/>
      <c r="J168" s="24">
        <f>IF(Source!BC63&lt;&gt; 0, Source!BC63, 1)</f>
        <v>6.71</v>
      </c>
      <c r="K168" s="23">
        <f>Source!O63</f>
        <v>0</v>
      </c>
      <c r="L168" s="25"/>
      <c r="S168">
        <f>ROUND((Source!FX63/100)*((ROUND(Source!AF63*Source!I63, 2)+ROUND(Source!AE63*Source!I63, 2))), 2)</f>
        <v>0</v>
      </c>
      <c r="T168">
        <f>Source!X63</f>
        <v>0</v>
      </c>
      <c r="U168">
        <f>ROUND((Source!FY63/100)*((ROUND(Source!AF63*Source!I63, 2)+ROUND(Source!AE63*Source!I63, 2))), 2)</f>
        <v>0</v>
      </c>
      <c r="V168">
        <f>Source!Y63</f>
        <v>0</v>
      </c>
      <c r="W168">
        <f>IF(Source!BI63&lt;=1,H168, 0)</f>
        <v>0</v>
      </c>
      <c r="X168">
        <f>IF(Source!BI63=2,H168, 0)</f>
        <v>0</v>
      </c>
      <c r="Y168">
        <f>IF(Source!BI63=3,H168, 0)</f>
        <v>0</v>
      </c>
      <c r="Z168">
        <f>IF(Source!BI63=4,H168, 0)</f>
        <v>0</v>
      </c>
    </row>
    <row r="169" spans="1:26" ht="28.5" x14ac:dyDescent="0.2">
      <c r="A169" s="40" t="str">
        <f>Source!E64</f>
        <v>15,12</v>
      </c>
      <c r="B169" s="41" t="str">
        <f>Source!F64</f>
        <v>11.3.03.14</v>
      </c>
      <c r="C169" s="41" t="str">
        <f>Source!G64</f>
        <v>Заглушка торцевая для пластикового плинтуса правая</v>
      </c>
      <c r="D169" s="28" t="str">
        <f>Source!H64</f>
        <v>шт.</v>
      </c>
      <c r="E169" s="29">
        <f>Source!I64</f>
        <v>15.224527</v>
      </c>
      <c r="F169" s="30">
        <f>Source!AL64+Source!AM64+Source!AO64</f>
        <v>0</v>
      </c>
      <c r="G169" s="35" t="s">
        <v>3</v>
      </c>
      <c r="H169" s="30">
        <f>ROUND(Source!AC64*Source!I64, 2)+ROUND(Source!AD64*Source!I64, 2)+ROUND(Source!AF64*Source!I64, 2)</f>
        <v>0</v>
      </c>
      <c r="I169" s="31"/>
      <c r="J169" s="31">
        <f>IF(Source!BC64&lt;&gt; 0, Source!BC64, 1)</f>
        <v>6.71</v>
      </c>
      <c r="K169" s="30">
        <f>Source!O64</f>
        <v>0</v>
      </c>
      <c r="L169" s="36"/>
      <c r="S169">
        <f>ROUND((Source!FX64/100)*((ROUND(Source!AF64*Source!I64, 2)+ROUND(Source!AE64*Source!I64, 2))), 2)</f>
        <v>0</v>
      </c>
      <c r="T169">
        <f>Source!X64</f>
        <v>0</v>
      </c>
      <c r="U169">
        <f>ROUND((Source!FY64/100)*((ROUND(Source!AF64*Source!I64, 2)+ROUND(Source!AE64*Source!I64, 2))), 2)</f>
        <v>0</v>
      </c>
      <c r="V169">
        <f>Source!Y64</f>
        <v>0</v>
      </c>
      <c r="W169">
        <f>IF(Source!BI64&lt;=1,H169, 0)</f>
        <v>0</v>
      </c>
      <c r="X169">
        <f>IF(Source!BI64=2,H169, 0)</f>
        <v>0</v>
      </c>
      <c r="Y169">
        <f>IF(Source!BI64=3,H169, 0)</f>
        <v>0</v>
      </c>
      <c r="Z169">
        <f>IF(Source!BI64=4,H169, 0)</f>
        <v>0</v>
      </c>
    </row>
    <row r="170" spans="1:26" ht="15" x14ac:dyDescent="0.25">
      <c r="G170" s="45">
        <f>H151+H152+H154+H155+H156+SUM(H158:H169)</f>
        <v>4742.5300000000007</v>
      </c>
      <c r="H170" s="45"/>
      <c r="J170" s="45">
        <f>K151+K152+K154+K155+K156+SUM(K158:K169)</f>
        <v>31827.410000000007</v>
      </c>
      <c r="K170" s="45"/>
      <c r="L170" s="33">
        <f>Source!U52</f>
        <v>14.7094936</v>
      </c>
      <c r="O170" s="19">
        <f>G170</f>
        <v>4742.5300000000007</v>
      </c>
      <c r="P170" s="19">
        <f>J170</f>
        <v>31827.410000000007</v>
      </c>
      <c r="Q170" s="19">
        <f>L170</f>
        <v>14.7094936</v>
      </c>
      <c r="W170">
        <f>IF(Source!BI52&lt;=1,H151+H152+H154+H155+H156, 0)</f>
        <v>518.48</v>
      </c>
      <c r="X170">
        <f>IF(Source!BI52=2,H151+H152+H154+H155+H156, 0)</f>
        <v>0</v>
      </c>
      <c r="Y170">
        <f>IF(Source!BI52=3,H151+H152+H154+H155+H156, 0)</f>
        <v>0</v>
      </c>
      <c r="Z170">
        <f>IF(Source!BI52=4,H151+H152+H154+H155+H156, 0)</f>
        <v>0</v>
      </c>
    </row>
    <row r="171" spans="1:26" ht="28.5" x14ac:dyDescent="0.2">
      <c r="A171" s="38" t="str">
        <f>Source!E65</f>
        <v>16</v>
      </c>
      <c r="B171" s="39" t="str">
        <f>Source!F65</f>
        <v>11-01-049-01</v>
      </c>
      <c r="C171" s="39" t="str">
        <f>Source!G65</f>
        <v>Укладка металлического накладного профиля (порога)</v>
      </c>
      <c r="D171" s="22" t="str">
        <f>Source!H65</f>
        <v>100 м</v>
      </c>
      <c r="E171" s="10">
        <f>Source!I65</f>
        <v>8.1000000000000003E-2</v>
      </c>
      <c r="F171" s="23">
        <f>Source!AL65+Source!AM65+Source!AO65</f>
        <v>225.83</v>
      </c>
      <c r="G171" s="24"/>
      <c r="H171" s="23"/>
      <c r="I171" s="24" t="str">
        <f>Source!BO65</f>
        <v/>
      </c>
      <c r="J171" s="24"/>
      <c r="K171" s="23"/>
      <c r="L171" s="25"/>
      <c r="S171">
        <f>ROUND((Source!FX65/100)*((ROUND(Source!AF65*Source!I65, 2)+ROUND(Source!AE65*Source!I65, 2))), 2)</f>
        <v>15</v>
      </c>
      <c r="T171">
        <f>Source!X65</f>
        <v>100.9</v>
      </c>
      <c r="U171">
        <f>ROUND((Source!FY65/100)*((ROUND(Source!AF65*Source!I65, 2)+ROUND(Source!AE65*Source!I65, 2))), 2)</f>
        <v>8.64</v>
      </c>
      <c r="V171">
        <f>Source!Y65</f>
        <v>58.18</v>
      </c>
    </row>
    <row r="172" spans="1:26" x14ac:dyDescent="0.2">
      <c r="C172" s="18" t="str">
        <f>"Объем: "&amp;Source!I65&amp;"=8,1/"&amp;"100"</f>
        <v>Объем: 0,081=8,1/100</v>
      </c>
    </row>
    <row r="173" spans="1:26" ht="14.25" x14ac:dyDescent="0.2">
      <c r="A173" s="38"/>
      <c r="B173" s="39"/>
      <c r="C173" s="39" t="s">
        <v>999</v>
      </c>
      <c r="D173" s="22"/>
      <c r="E173" s="10"/>
      <c r="F173" s="23">
        <f>Source!AO65</f>
        <v>145.43</v>
      </c>
      <c r="G173" s="24" t="str">
        <f>Source!DG65</f>
        <v>)*1,15</v>
      </c>
      <c r="H173" s="23">
        <f>ROUND(Source!AF65*Source!I65, 2)</f>
        <v>13.55</v>
      </c>
      <c r="I173" s="24"/>
      <c r="J173" s="24">
        <f>IF(Source!BA65&lt;&gt; 0, Source!BA65, 1)</f>
        <v>6.71</v>
      </c>
      <c r="K173" s="23">
        <f>Source!S65</f>
        <v>90.9</v>
      </c>
      <c r="L173" s="25"/>
      <c r="R173">
        <f>H173</f>
        <v>13.55</v>
      </c>
    </row>
    <row r="174" spans="1:26" ht="14.25" x14ac:dyDescent="0.2">
      <c r="A174" s="38"/>
      <c r="B174" s="39"/>
      <c r="C174" s="39" t="s">
        <v>1006</v>
      </c>
      <c r="D174" s="22"/>
      <c r="E174" s="10"/>
      <c r="F174" s="23">
        <f>Source!AL65</f>
        <v>80.400000000000006</v>
      </c>
      <c r="G174" s="24" t="str">
        <f>Source!DD65</f>
        <v/>
      </c>
      <c r="H174" s="23">
        <f>ROUND(Source!AC65*Source!I65, 2)</f>
        <v>6.51</v>
      </c>
      <c r="I174" s="24"/>
      <c r="J174" s="24">
        <f>IF(Source!BC65&lt;&gt; 0, Source!BC65, 1)</f>
        <v>6.71</v>
      </c>
      <c r="K174" s="23">
        <f>Source!P65</f>
        <v>43.7</v>
      </c>
      <c r="L174" s="25"/>
    </row>
    <row r="175" spans="1:26" ht="14.25" x14ac:dyDescent="0.2">
      <c r="A175" s="38"/>
      <c r="B175" s="39"/>
      <c r="C175" s="39" t="s">
        <v>1001</v>
      </c>
      <c r="D175" s="22" t="s">
        <v>1002</v>
      </c>
      <c r="E175" s="10">
        <f>Source!BZ65</f>
        <v>123</v>
      </c>
      <c r="F175" s="49" t="str">
        <f>CONCATENATE(" )", Source!DL65, Source!FT65, "=", Source!FX65)</f>
        <v xml:space="preserve"> )*0,9=110,7</v>
      </c>
      <c r="G175" s="50"/>
      <c r="H175" s="23">
        <f>SUM(S171:S180)</f>
        <v>15</v>
      </c>
      <c r="I175" s="27"/>
      <c r="J175" s="21">
        <f>Source!AT65</f>
        <v>111</v>
      </c>
      <c r="K175" s="23">
        <f>SUM(T171:T180)</f>
        <v>100.9</v>
      </c>
      <c r="L175" s="25"/>
    </row>
    <row r="176" spans="1:26" ht="14.25" x14ac:dyDescent="0.2">
      <c r="A176" s="38"/>
      <c r="B176" s="39"/>
      <c r="C176" s="39" t="s">
        <v>1003</v>
      </c>
      <c r="D176" s="22" t="s">
        <v>1002</v>
      </c>
      <c r="E176" s="10">
        <f>Source!CA65</f>
        <v>75</v>
      </c>
      <c r="F176" s="49" t="str">
        <f>CONCATENATE(" )", Source!DM65, Source!FU65, "=", Source!FY65)</f>
        <v xml:space="preserve"> )*0,85=63,75</v>
      </c>
      <c r="G176" s="50"/>
      <c r="H176" s="23">
        <f>SUM(U171:U180)</f>
        <v>8.64</v>
      </c>
      <c r="I176" s="27"/>
      <c r="J176" s="21">
        <f>Source!AU65</f>
        <v>64</v>
      </c>
      <c r="K176" s="23">
        <f>SUM(V171:V180)</f>
        <v>58.18</v>
      </c>
      <c r="L176" s="25"/>
    </row>
    <row r="177" spans="1:26" ht="14.25" x14ac:dyDescent="0.2">
      <c r="A177" s="38"/>
      <c r="B177" s="39"/>
      <c r="C177" s="39" t="s">
        <v>1004</v>
      </c>
      <c r="D177" s="22" t="s">
        <v>1005</v>
      </c>
      <c r="E177" s="10">
        <f>Source!AQ65</f>
        <v>16.64</v>
      </c>
      <c r="F177" s="23"/>
      <c r="G177" s="24" t="str">
        <f>Source!DI65</f>
        <v>)*1,15</v>
      </c>
      <c r="H177" s="23"/>
      <c r="I177" s="24"/>
      <c r="J177" s="24"/>
      <c r="K177" s="23"/>
      <c r="L177" s="34">
        <f>Source!U65</f>
        <v>1.5500160000000001</v>
      </c>
    </row>
    <row r="178" spans="1:26" ht="71.25" x14ac:dyDescent="0.2">
      <c r="A178" s="38" t="str">
        <f>Source!E66</f>
        <v>16,1</v>
      </c>
      <c r="B178" s="39" t="str">
        <f>Source!F66</f>
        <v>09.2.03.02-0002</v>
      </c>
      <c r="C178" s="39" t="str">
        <f>Source!G66</f>
        <v>Профили стыкоперекрывающие из алюминиевых сплавов (порожки) с покрытием и антискользящей вставкой, шириной 39 мм, длиной до 1,8 м</v>
      </c>
      <c r="D178" s="22" t="str">
        <f>Source!H66</f>
        <v>шт.</v>
      </c>
      <c r="E178" s="10">
        <f>Source!I66</f>
        <v>2</v>
      </c>
      <c r="F178" s="23">
        <f>Source!AL66+Source!AM66+Source!AO66</f>
        <v>31.28</v>
      </c>
      <c r="G178" s="37" t="s">
        <v>3</v>
      </c>
      <c r="H178" s="23">
        <f>ROUND(Source!AC66*Source!I66, 2)+ROUND(Source!AD66*Source!I66, 2)+ROUND(Source!AF66*Source!I66, 2)</f>
        <v>62.56</v>
      </c>
      <c r="I178" s="24"/>
      <c r="J178" s="24">
        <f>IF(Source!BC66&lt;&gt; 0, Source!BC66, 1)</f>
        <v>6.71</v>
      </c>
      <c r="K178" s="23">
        <f>Source!O66</f>
        <v>419.78</v>
      </c>
      <c r="L178" s="25"/>
      <c r="S178">
        <f>ROUND((Source!FX66/100)*((ROUND(Source!AF66*Source!I66, 2)+ROUND(Source!AE66*Source!I66, 2))), 2)</f>
        <v>0</v>
      </c>
      <c r="T178">
        <f>Source!X66</f>
        <v>0</v>
      </c>
      <c r="U178">
        <f>ROUND((Source!FY66/100)*((ROUND(Source!AF66*Source!I66, 2)+ROUND(Source!AE66*Source!I66, 2))), 2)</f>
        <v>0</v>
      </c>
      <c r="V178">
        <f>Source!Y66</f>
        <v>0</v>
      </c>
      <c r="W178">
        <f>IF(Source!BI66&lt;=1,H178, 0)</f>
        <v>62.56</v>
      </c>
      <c r="X178">
        <f>IF(Source!BI66=2,H178, 0)</f>
        <v>0</v>
      </c>
      <c r="Y178">
        <f>IF(Source!BI66=3,H178, 0)</f>
        <v>0</v>
      </c>
      <c r="Z178">
        <f>IF(Source!BI66=4,H178, 0)</f>
        <v>0</v>
      </c>
    </row>
    <row r="179" spans="1:26" ht="57" x14ac:dyDescent="0.2">
      <c r="A179" s="38" t="str">
        <f>Source!E67</f>
        <v>16,2</v>
      </c>
      <c r="B179" s="39" t="str">
        <f>Source!F67</f>
        <v>09.2.03.02-0001</v>
      </c>
      <c r="C179" s="39" t="str">
        <f>Source!G67</f>
        <v>Профили стыкоперекрывающие из алюминиевых сплавов (порожки) с покрытием и антискользящей вставкой, шириной 39 мм, длиной 0,9 м</v>
      </c>
      <c r="D179" s="22" t="str">
        <f>Source!H67</f>
        <v>шт.</v>
      </c>
      <c r="E179" s="10">
        <f>Source!I67</f>
        <v>5</v>
      </c>
      <c r="F179" s="23">
        <f>Source!AL67+Source!AM67+Source!AO67</f>
        <v>15.07</v>
      </c>
      <c r="G179" s="37" t="s">
        <v>3</v>
      </c>
      <c r="H179" s="23">
        <f>ROUND(Source!AC67*Source!I67, 2)+ROUND(Source!AD67*Source!I67, 2)+ROUND(Source!AF67*Source!I67, 2)</f>
        <v>75.349999999999994</v>
      </c>
      <c r="I179" s="24"/>
      <c r="J179" s="24">
        <f>IF(Source!BC67&lt;&gt; 0, Source!BC67, 1)</f>
        <v>6.71</v>
      </c>
      <c r="K179" s="23">
        <f>Source!O67</f>
        <v>505.6</v>
      </c>
      <c r="L179" s="25"/>
      <c r="S179">
        <f>ROUND((Source!FX67/100)*((ROUND(Source!AF67*Source!I67, 2)+ROUND(Source!AE67*Source!I67, 2))), 2)</f>
        <v>0</v>
      </c>
      <c r="T179">
        <f>Source!X67</f>
        <v>0</v>
      </c>
      <c r="U179">
        <f>ROUND((Source!FY67/100)*((ROUND(Source!AF67*Source!I67, 2)+ROUND(Source!AE67*Source!I67, 2))), 2)</f>
        <v>0</v>
      </c>
      <c r="V179">
        <f>Source!Y67</f>
        <v>0</v>
      </c>
      <c r="W179">
        <f>IF(Source!BI67&lt;=1,H179, 0)</f>
        <v>75.349999999999994</v>
      </c>
      <c r="X179">
        <f>IF(Source!BI67=2,H179, 0)</f>
        <v>0</v>
      </c>
      <c r="Y179">
        <f>IF(Source!BI67=3,H179, 0)</f>
        <v>0</v>
      </c>
      <c r="Z179">
        <f>IF(Source!BI67=4,H179, 0)</f>
        <v>0</v>
      </c>
    </row>
    <row r="180" spans="1:26" ht="42.75" x14ac:dyDescent="0.2">
      <c r="A180" s="40" t="str">
        <f>Source!E68</f>
        <v>16,3</v>
      </c>
      <c r="B180" s="41" t="str">
        <f>Source!F68</f>
        <v>09.2.03.02</v>
      </c>
      <c r="C180" s="41" t="str">
        <f>Source!G68</f>
        <v>Профили стыкоперекрывающие из алюминиевых сплавов (порожки) с покрытием</v>
      </c>
      <c r="D180" s="28" t="str">
        <f>Source!H68</f>
        <v>м</v>
      </c>
      <c r="E180" s="29">
        <f>Source!I68</f>
        <v>8.5050000000000008</v>
      </c>
      <c r="F180" s="30">
        <f>Source!AL68+Source!AM68+Source!AO68</f>
        <v>0</v>
      </c>
      <c r="G180" s="35" t="s">
        <v>3</v>
      </c>
      <c r="H180" s="30">
        <f>ROUND(Source!AC68*Source!I68, 2)+ROUND(Source!AD68*Source!I68, 2)+ROUND(Source!AF68*Source!I68, 2)</f>
        <v>0</v>
      </c>
      <c r="I180" s="31"/>
      <c r="J180" s="31">
        <f>IF(Source!BC68&lt;&gt; 0, Source!BC68, 1)</f>
        <v>6.71</v>
      </c>
      <c r="K180" s="30">
        <f>Source!O68</f>
        <v>0</v>
      </c>
      <c r="L180" s="36"/>
      <c r="S180">
        <f>ROUND((Source!FX68/100)*((ROUND(Source!AF68*Source!I68, 2)+ROUND(Source!AE68*Source!I68, 2))), 2)</f>
        <v>0</v>
      </c>
      <c r="T180">
        <f>Source!X68</f>
        <v>0</v>
      </c>
      <c r="U180">
        <f>ROUND((Source!FY68/100)*((ROUND(Source!AF68*Source!I68, 2)+ROUND(Source!AE68*Source!I68, 2))), 2)</f>
        <v>0</v>
      </c>
      <c r="V180">
        <f>Source!Y68</f>
        <v>0</v>
      </c>
      <c r="W180">
        <f>IF(Source!BI68&lt;=1,H180, 0)</f>
        <v>0</v>
      </c>
      <c r="X180">
        <f>IF(Source!BI68=2,H180, 0)</f>
        <v>0</v>
      </c>
      <c r="Y180">
        <f>IF(Source!BI68=3,H180, 0)</f>
        <v>0</v>
      </c>
      <c r="Z180">
        <f>IF(Source!BI68=4,H180, 0)</f>
        <v>0</v>
      </c>
    </row>
    <row r="181" spans="1:26" ht="15" x14ac:dyDescent="0.25">
      <c r="G181" s="45">
        <f>H173+H174+H175+H176+SUM(H178:H180)</f>
        <v>181.61</v>
      </c>
      <c r="H181" s="45"/>
      <c r="J181" s="45">
        <f>K173+K174+K175+K176+SUM(K178:K180)</f>
        <v>1219.06</v>
      </c>
      <c r="K181" s="45"/>
      <c r="L181" s="33">
        <f>Source!U65</f>
        <v>1.5500160000000001</v>
      </c>
      <c r="O181" s="19">
        <f>G181</f>
        <v>181.61</v>
      </c>
      <c r="P181" s="19">
        <f>J181</f>
        <v>1219.06</v>
      </c>
      <c r="Q181" s="19">
        <f>L181</f>
        <v>1.5500160000000001</v>
      </c>
      <c r="W181">
        <f>IF(Source!BI65&lt;=1,H173+H174+H175+H176, 0)</f>
        <v>43.7</v>
      </c>
      <c r="X181">
        <f>IF(Source!BI65=2,H173+H174+H175+H176, 0)</f>
        <v>0</v>
      </c>
      <c r="Y181">
        <f>IF(Source!BI65=3,H173+H174+H175+H176, 0)</f>
        <v>0</v>
      </c>
      <c r="Z181">
        <f>IF(Source!BI65=4,H173+H174+H175+H176, 0)</f>
        <v>0</v>
      </c>
    </row>
    <row r="182" spans="1:26" ht="57" x14ac:dyDescent="0.2">
      <c r="A182" s="38" t="str">
        <f>Source!E69</f>
        <v>17</v>
      </c>
      <c r="B182" s="39" t="str">
        <f>Source!F69</f>
        <v>15-02-016-03</v>
      </c>
      <c r="C182" s="39" t="str">
        <f>Source!G69</f>
        <v>Штукатурка поверхностей внутри здания цементно-известковым или цементным раствором по камню и бетону улучшенная стен</v>
      </c>
      <c r="D182" s="22" t="str">
        <f>Source!H69</f>
        <v>100 м2</v>
      </c>
      <c r="E182" s="10">
        <f>Source!I69</f>
        <v>1.6897</v>
      </c>
      <c r="F182" s="23">
        <f>Source!AL69+Source!AM69+Source!AO69</f>
        <v>2040.6800000000003</v>
      </c>
      <c r="G182" s="24"/>
      <c r="H182" s="23"/>
      <c r="I182" s="24" t="str">
        <f>Source!BO69</f>
        <v/>
      </c>
      <c r="J182" s="24"/>
      <c r="K182" s="23"/>
      <c r="L182" s="25"/>
      <c r="S182">
        <f>ROUND((Source!FX69/100)*((ROUND(Source!AF69*Source!I69, 2)+ROUND(Source!AE69*Source!I69, 2))), 2)</f>
        <v>1601.26</v>
      </c>
      <c r="T182">
        <f>Source!X69</f>
        <v>10801.37</v>
      </c>
      <c r="U182">
        <f>ROUND((Source!FY69/100)*((ROUND(Source!AF69*Source!I69, 2)+ROUND(Source!AE69*Source!I69, 2))), 2)</f>
        <v>792.16</v>
      </c>
      <c r="V182">
        <f>Source!Y69</f>
        <v>5343.83</v>
      </c>
    </row>
    <row r="183" spans="1:26" ht="14.25" x14ac:dyDescent="0.2">
      <c r="A183" s="38"/>
      <c r="B183" s="39"/>
      <c r="C183" s="39" t="s">
        <v>999</v>
      </c>
      <c r="D183" s="22"/>
      <c r="E183" s="10"/>
      <c r="F183" s="23">
        <f>Source!AO69</f>
        <v>806.9</v>
      </c>
      <c r="G183" s="24" t="str">
        <f>Source!DG69</f>
        <v>)*1,15</v>
      </c>
      <c r="H183" s="23">
        <f>ROUND(Source!AF69*Source!I69, 2)</f>
        <v>1567.94</v>
      </c>
      <c r="I183" s="24"/>
      <c r="J183" s="24">
        <f>IF(Source!BA69&lt;&gt; 0, Source!BA69, 1)</f>
        <v>6.71</v>
      </c>
      <c r="K183" s="23">
        <f>Source!S69</f>
        <v>10520.88</v>
      </c>
      <c r="L183" s="25"/>
      <c r="R183">
        <f>H183</f>
        <v>1567.94</v>
      </c>
    </row>
    <row r="184" spans="1:26" ht="14.25" x14ac:dyDescent="0.2">
      <c r="A184" s="38"/>
      <c r="B184" s="39"/>
      <c r="C184" s="39" t="s">
        <v>301</v>
      </c>
      <c r="D184" s="22"/>
      <c r="E184" s="10"/>
      <c r="F184" s="23">
        <f>Source!AM69</f>
        <v>103.38</v>
      </c>
      <c r="G184" s="24" t="str">
        <f>Source!DE69</f>
        <v>)*1,25</v>
      </c>
      <c r="H184" s="23">
        <f>ROUND(Source!AD69*Source!I69, 2)</f>
        <v>218.36</v>
      </c>
      <c r="I184" s="24"/>
      <c r="J184" s="24">
        <f>IF(Source!BB69&lt;&gt; 0, Source!BB69, 1)</f>
        <v>6.71</v>
      </c>
      <c r="K184" s="23">
        <f>Source!Q69</f>
        <v>1465.2</v>
      </c>
      <c r="L184" s="25"/>
    </row>
    <row r="185" spans="1:26" ht="14.25" x14ac:dyDescent="0.2">
      <c r="A185" s="38"/>
      <c r="B185" s="39"/>
      <c r="C185" s="39" t="s">
        <v>1000</v>
      </c>
      <c r="D185" s="22"/>
      <c r="E185" s="10"/>
      <c r="F185" s="23">
        <f>Source!AN69</f>
        <v>59.9</v>
      </c>
      <c r="G185" s="24" t="str">
        <f>Source!DF69</f>
        <v>)*1,25</v>
      </c>
      <c r="H185" s="26">
        <f>ROUND(Source!AE69*Source!I69, 2)</f>
        <v>126.52</v>
      </c>
      <c r="I185" s="24"/>
      <c r="J185" s="24">
        <f>IF(Source!BS69&lt;&gt; 0, Source!BS69, 1)</f>
        <v>6.71</v>
      </c>
      <c r="K185" s="26">
        <f>Source!R69</f>
        <v>848.98</v>
      </c>
      <c r="L185" s="25"/>
      <c r="R185">
        <f>H185</f>
        <v>126.52</v>
      </c>
    </row>
    <row r="186" spans="1:26" ht="14.25" x14ac:dyDescent="0.2">
      <c r="A186" s="38"/>
      <c r="B186" s="39"/>
      <c r="C186" s="39" t="s">
        <v>1006</v>
      </c>
      <c r="D186" s="22"/>
      <c r="E186" s="10"/>
      <c r="F186" s="23">
        <f>Source!AL69</f>
        <v>1130.4000000000001</v>
      </c>
      <c r="G186" s="24" t="str">
        <f>Source!DD69</f>
        <v/>
      </c>
      <c r="H186" s="23">
        <f>ROUND(Source!AC69*Source!I69, 2)</f>
        <v>1910.04</v>
      </c>
      <c r="I186" s="24"/>
      <c r="J186" s="24">
        <f>IF(Source!BC69&lt;&gt; 0, Source!BC69, 1)</f>
        <v>6.71</v>
      </c>
      <c r="K186" s="23">
        <f>Source!P69</f>
        <v>12816.35</v>
      </c>
      <c r="L186" s="25"/>
    </row>
    <row r="187" spans="1:26" ht="14.25" x14ac:dyDescent="0.2">
      <c r="A187" s="38"/>
      <c r="B187" s="39"/>
      <c r="C187" s="39" t="s">
        <v>1001</v>
      </c>
      <c r="D187" s="22" t="s">
        <v>1002</v>
      </c>
      <c r="E187" s="10">
        <f>Source!BZ69</f>
        <v>105</v>
      </c>
      <c r="F187" s="49" t="str">
        <f>CONCATENATE(" )", Source!DL69, Source!FT69, "=", Source!FX69)</f>
        <v xml:space="preserve"> )*0,9=94,5</v>
      </c>
      <c r="G187" s="50"/>
      <c r="H187" s="23">
        <f>SUM(S182:S189)</f>
        <v>1601.26</v>
      </c>
      <c r="I187" s="27"/>
      <c r="J187" s="21">
        <f>Source!AT69</f>
        <v>95</v>
      </c>
      <c r="K187" s="23">
        <f>SUM(T182:T189)</f>
        <v>10801.37</v>
      </c>
      <c r="L187" s="25"/>
    </row>
    <row r="188" spans="1:26" ht="14.25" x14ac:dyDescent="0.2">
      <c r="A188" s="38"/>
      <c r="B188" s="39"/>
      <c r="C188" s="39" t="s">
        <v>1003</v>
      </c>
      <c r="D188" s="22" t="s">
        <v>1002</v>
      </c>
      <c r="E188" s="10">
        <f>Source!CA69</f>
        <v>55</v>
      </c>
      <c r="F188" s="49" t="str">
        <f>CONCATENATE(" )", Source!DM69, Source!FU69, "=", Source!FY69)</f>
        <v xml:space="preserve"> )*0,85=46,75</v>
      </c>
      <c r="G188" s="50"/>
      <c r="H188" s="23">
        <f>SUM(U182:U189)</f>
        <v>792.16</v>
      </c>
      <c r="I188" s="27"/>
      <c r="J188" s="21">
        <f>Source!AU69</f>
        <v>47</v>
      </c>
      <c r="K188" s="23">
        <f>SUM(V182:V189)</f>
        <v>5343.83</v>
      </c>
      <c r="L188" s="25"/>
    </row>
    <row r="189" spans="1:26" ht="14.25" x14ac:dyDescent="0.2">
      <c r="A189" s="40"/>
      <c r="B189" s="41"/>
      <c r="C189" s="41" t="s">
        <v>1004</v>
      </c>
      <c r="D189" s="28" t="s">
        <v>1005</v>
      </c>
      <c r="E189" s="29">
        <f>Source!AQ69</f>
        <v>85.84</v>
      </c>
      <c r="F189" s="30"/>
      <c r="G189" s="31" t="str">
        <f>Source!DI69</f>
        <v>)*1,15</v>
      </c>
      <c r="H189" s="30"/>
      <c r="I189" s="31"/>
      <c r="J189" s="31"/>
      <c r="K189" s="30"/>
      <c r="L189" s="32">
        <f>Source!U69</f>
        <v>166.80042519999998</v>
      </c>
    </row>
    <row r="190" spans="1:26" ht="15" x14ac:dyDescent="0.25">
      <c r="G190" s="45">
        <f>H183+H184+H186+H187+H188</f>
        <v>6089.76</v>
      </c>
      <c r="H190" s="45"/>
      <c r="J190" s="45">
        <f>K183+K184+K186+K187+K188</f>
        <v>40947.630000000005</v>
      </c>
      <c r="K190" s="45"/>
      <c r="L190" s="33">
        <f>Source!U69</f>
        <v>166.80042519999998</v>
      </c>
      <c r="O190" s="19">
        <f>G190</f>
        <v>6089.76</v>
      </c>
      <c r="P190" s="19">
        <f>J190</f>
        <v>40947.630000000005</v>
      </c>
      <c r="Q190" s="19">
        <f>L190</f>
        <v>166.80042519999998</v>
      </c>
      <c r="W190">
        <f>IF(Source!BI69&lt;=1,H183+H184+H186+H187+H188, 0)</f>
        <v>6089.76</v>
      </c>
      <c r="X190">
        <f>IF(Source!BI69=2,H183+H184+H186+H187+H188, 0)</f>
        <v>0</v>
      </c>
      <c r="Y190">
        <f>IF(Source!BI69=3,H183+H184+H186+H187+H188, 0)</f>
        <v>0</v>
      </c>
      <c r="Z190">
        <f>IF(Source!BI69=4,H183+H184+H186+H187+H188, 0)</f>
        <v>0</v>
      </c>
    </row>
    <row r="191" spans="1:26" ht="42.75" x14ac:dyDescent="0.2">
      <c r="A191" s="38" t="str">
        <f>Source!E70</f>
        <v>18</v>
      </c>
      <c r="B191" s="39" t="str">
        <f>Source!F70</f>
        <v>15-01-047-15</v>
      </c>
      <c r="C191" s="39" t="str">
        <f>Source!G70</f>
        <v>Устройство подвесных потолков типа &lt;Армстронг&gt; по каркасу из оцинкованного профиля</v>
      </c>
      <c r="D191" s="22" t="str">
        <f>Source!H70</f>
        <v>100 м2</v>
      </c>
      <c r="E191" s="10">
        <f>Source!I70</f>
        <v>3.3180000000000001</v>
      </c>
      <c r="F191" s="23">
        <f>Source!AL70+Source!AM70+Source!AO70</f>
        <v>6623.23</v>
      </c>
      <c r="G191" s="24"/>
      <c r="H191" s="23"/>
      <c r="I191" s="24" t="str">
        <f>Source!BO70</f>
        <v/>
      </c>
      <c r="J191" s="24"/>
      <c r="K191" s="23"/>
      <c r="L191" s="25"/>
      <c r="S191">
        <f>ROUND((Source!FX70/100)*((ROUND(Source!AF70*Source!I70, 2)+ROUND(Source!AE70*Source!I70, 2))), 2)</f>
        <v>3721.32</v>
      </c>
      <c r="T191">
        <f>Source!X70</f>
        <v>25102.15</v>
      </c>
      <c r="U191">
        <f>ROUND((Source!FY70/100)*((ROUND(Source!AF70*Source!I70, 2)+ROUND(Source!AE70*Source!I70, 2))), 2)</f>
        <v>1840.97</v>
      </c>
      <c r="V191">
        <f>Source!Y70</f>
        <v>12418.96</v>
      </c>
    </row>
    <row r="192" spans="1:26" ht="14.25" x14ac:dyDescent="0.2">
      <c r="A192" s="38"/>
      <c r="B192" s="39"/>
      <c r="C192" s="39" t="s">
        <v>999</v>
      </c>
      <c r="D192" s="22"/>
      <c r="E192" s="10"/>
      <c r="F192" s="23">
        <f>Source!AO70</f>
        <v>963.12</v>
      </c>
      <c r="G192" s="24" t="str">
        <f>Source!DG70</f>
        <v>)*1,15</v>
      </c>
      <c r="H192" s="23">
        <f>ROUND(Source!AF70*Source!I70, 2)</f>
        <v>3674.98</v>
      </c>
      <c r="I192" s="24"/>
      <c r="J192" s="24">
        <f>IF(Source!BA70&lt;&gt; 0, Source!BA70, 1)</f>
        <v>6.71</v>
      </c>
      <c r="K192" s="23">
        <f>Source!S70</f>
        <v>24659.14</v>
      </c>
      <c r="L192" s="25"/>
      <c r="R192">
        <f>H192</f>
        <v>3674.98</v>
      </c>
    </row>
    <row r="193" spans="1:26" ht="14.25" x14ac:dyDescent="0.2">
      <c r="A193" s="38"/>
      <c r="B193" s="39"/>
      <c r="C193" s="39" t="s">
        <v>301</v>
      </c>
      <c r="D193" s="22"/>
      <c r="E193" s="10"/>
      <c r="F193" s="23">
        <f>Source!AM70</f>
        <v>324.70999999999998</v>
      </c>
      <c r="G193" s="24" t="str">
        <f>Source!DE70</f>
        <v>)*1,25</v>
      </c>
      <c r="H193" s="23">
        <f>ROUND(Source!AD70*Source!I70, 2)</f>
        <v>1346.74</v>
      </c>
      <c r="I193" s="24"/>
      <c r="J193" s="24">
        <f>IF(Source!BB70&lt;&gt; 0, Source!BB70, 1)</f>
        <v>6.71</v>
      </c>
      <c r="K193" s="23">
        <f>Source!Q70</f>
        <v>9036.65</v>
      </c>
      <c r="L193" s="25"/>
    </row>
    <row r="194" spans="1:26" ht="14.25" x14ac:dyDescent="0.2">
      <c r="A194" s="38"/>
      <c r="B194" s="39"/>
      <c r="C194" s="39" t="s">
        <v>1000</v>
      </c>
      <c r="D194" s="22"/>
      <c r="E194" s="10"/>
      <c r="F194" s="23">
        <f>Source!AN70</f>
        <v>63.39</v>
      </c>
      <c r="G194" s="24" t="str">
        <f>Source!DF70</f>
        <v>)*1,25</v>
      </c>
      <c r="H194" s="26">
        <f>ROUND(Source!AE70*Source!I70, 2)</f>
        <v>262.92</v>
      </c>
      <c r="I194" s="24"/>
      <c r="J194" s="24">
        <f>IF(Source!BS70&lt;&gt; 0, Source!BS70, 1)</f>
        <v>6.71</v>
      </c>
      <c r="K194" s="26">
        <f>Source!R70</f>
        <v>1764.18</v>
      </c>
      <c r="L194" s="25"/>
      <c r="R194">
        <f>H194</f>
        <v>262.92</v>
      </c>
    </row>
    <row r="195" spans="1:26" ht="14.25" x14ac:dyDescent="0.2">
      <c r="A195" s="38"/>
      <c r="B195" s="39"/>
      <c r="C195" s="39" t="s">
        <v>1006</v>
      </c>
      <c r="D195" s="22"/>
      <c r="E195" s="10"/>
      <c r="F195" s="23">
        <f>Source!AL70</f>
        <v>5335.4</v>
      </c>
      <c r="G195" s="24" t="str">
        <f>Source!DD70</f>
        <v/>
      </c>
      <c r="H195" s="23">
        <f>ROUND(Source!AC70*Source!I70, 2)</f>
        <v>17702.86</v>
      </c>
      <c r="I195" s="24"/>
      <c r="J195" s="24">
        <f>IF(Source!BC70&lt;&gt; 0, Source!BC70, 1)</f>
        <v>6.71</v>
      </c>
      <c r="K195" s="23">
        <f>Source!P70</f>
        <v>118786.17</v>
      </c>
      <c r="L195" s="25"/>
    </row>
    <row r="196" spans="1:26" ht="14.25" x14ac:dyDescent="0.2">
      <c r="A196" s="38"/>
      <c r="B196" s="39"/>
      <c r="C196" s="39" t="s">
        <v>1001</v>
      </c>
      <c r="D196" s="22" t="s">
        <v>1002</v>
      </c>
      <c r="E196" s="10">
        <f>Source!BZ70</f>
        <v>105</v>
      </c>
      <c r="F196" s="49" t="str">
        <f>CONCATENATE(" )", Source!DL70, Source!FT70, "=", Source!FX70)</f>
        <v xml:space="preserve"> )*0,9=94,5</v>
      </c>
      <c r="G196" s="50"/>
      <c r="H196" s="23">
        <f>SUM(S191:S198)</f>
        <v>3721.32</v>
      </c>
      <c r="I196" s="27"/>
      <c r="J196" s="21">
        <f>Source!AT70</f>
        <v>95</v>
      </c>
      <c r="K196" s="23">
        <f>SUM(T191:T198)</f>
        <v>25102.15</v>
      </c>
      <c r="L196" s="25"/>
    </row>
    <row r="197" spans="1:26" ht="14.25" x14ac:dyDescent="0.2">
      <c r="A197" s="38"/>
      <c r="B197" s="39"/>
      <c r="C197" s="39" t="s">
        <v>1003</v>
      </c>
      <c r="D197" s="22" t="s">
        <v>1002</v>
      </c>
      <c r="E197" s="10">
        <f>Source!CA70</f>
        <v>55</v>
      </c>
      <c r="F197" s="49" t="str">
        <f>CONCATENATE(" )", Source!DM70, Source!FU70, "=", Source!FY70)</f>
        <v xml:space="preserve"> )*0,85=46,75</v>
      </c>
      <c r="G197" s="50"/>
      <c r="H197" s="23">
        <f>SUM(U191:U198)</f>
        <v>1840.97</v>
      </c>
      <c r="I197" s="27"/>
      <c r="J197" s="21">
        <f>Source!AU70</f>
        <v>47</v>
      </c>
      <c r="K197" s="23">
        <f>SUM(V191:V198)</f>
        <v>12418.96</v>
      </c>
      <c r="L197" s="25"/>
    </row>
    <row r="198" spans="1:26" ht="14.25" x14ac:dyDescent="0.2">
      <c r="A198" s="40"/>
      <c r="B198" s="41"/>
      <c r="C198" s="41" t="s">
        <v>1004</v>
      </c>
      <c r="D198" s="28" t="s">
        <v>1005</v>
      </c>
      <c r="E198" s="29">
        <f>Source!AQ70</f>
        <v>102.46</v>
      </c>
      <c r="F198" s="30"/>
      <c r="G198" s="31" t="str">
        <f>Source!DI70</f>
        <v>)*1,15</v>
      </c>
      <c r="H198" s="30"/>
      <c r="I198" s="31"/>
      <c r="J198" s="31"/>
      <c r="K198" s="30"/>
      <c r="L198" s="32">
        <f>Source!U70</f>
        <v>390.95662199999992</v>
      </c>
    </row>
    <row r="199" spans="1:26" ht="15" x14ac:dyDescent="0.25">
      <c r="G199" s="45">
        <f>H192+H193+H195+H196+H197</f>
        <v>28286.870000000003</v>
      </c>
      <c r="H199" s="45"/>
      <c r="J199" s="45">
        <f>K192+K193+K195+K196+K197</f>
        <v>190003.06999999998</v>
      </c>
      <c r="K199" s="45"/>
      <c r="L199" s="33">
        <f>Source!U70</f>
        <v>390.95662199999992</v>
      </c>
      <c r="O199" s="19">
        <f>G199</f>
        <v>28286.870000000003</v>
      </c>
      <c r="P199" s="19">
        <f>J199</f>
        <v>190003.06999999998</v>
      </c>
      <c r="Q199" s="19">
        <f>L199</f>
        <v>390.95662199999992</v>
      </c>
      <c r="W199">
        <f>IF(Source!BI70&lt;=1,H192+H193+H195+H196+H197, 0)</f>
        <v>28286.870000000003</v>
      </c>
      <c r="X199">
        <f>IF(Source!BI70=2,H192+H193+H195+H196+H197, 0)</f>
        <v>0</v>
      </c>
      <c r="Y199">
        <f>IF(Source!BI70=3,H192+H193+H195+H196+H197, 0)</f>
        <v>0</v>
      </c>
      <c r="Z199">
        <f>IF(Source!BI70=4,H192+H193+H195+H196+H197, 0)</f>
        <v>0</v>
      </c>
    </row>
    <row r="200" spans="1:26" ht="57" x14ac:dyDescent="0.2">
      <c r="A200" s="38" t="str">
        <f>Source!E71</f>
        <v>19</v>
      </c>
      <c r="B200" s="39" t="str">
        <f>Source!F71</f>
        <v>61-1-2</v>
      </c>
      <c r="C200" s="39" t="str">
        <f>Source!G71</f>
        <v>Сплошное выравнивание штукатурки стен цементно-известковым раствором при толщине намета до 10 мм</v>
      </c>
      <c r="D200" s="22" t="str">
        <f>Source!H71</f>
        <v>100 м2</v>
      </c>
      <c r="E200" s="10">
        <f>Source!I71</f>
        <v>5.0434000000000001</v>
      </c>
      <c r="F200" s="23">
        <f>Source!AL71+Source!AM71+Source!AO71</f>
        <v>921.93000000000006</v>
      </c>
      <c r="G200" s="24"/>
      <c r="H200" s="23"/>
      <c r="I200" s="24" t="str">
        <f>Source!BO71</f>
        <v/>
      </c>
      <c r="J200" s="24"/>
      <c r="K200" s="23"/>
      <c r="L200" s="25"/>
      <c r="S200">
        <f>ROUND((Source!FX71/100)*((ROUND(Source!AF71*Source!I71, 2)+ROUND(Source!AE71*Source!I71, 2))), 2)</f>
        <v>1437.25</v>
      </c>
      <c r="T200">
        <f>Source!X71</f>
        <v>9643.9599999999991</v>
      </c>
      <c r="U200">
        <f>ROUND((Source!FY71/100)*((ROUND(Source!AF71*Source!I71, 2)+ROUND(Source!AE71*Source!I71, 2))), 2)</f>
        <v>909.65</v>
      </c>
      <c r="V200">
        <f>Source!Y71</f>
        <v>6103.77</v>
      </c>
    </row>
    <row r="201" spans="1:26" ht="14.25" x14ac:dyDescent="0.2">
      <c r="A201" s="38"/>
      <c r="B201" s="39"/>
      <c r="C201" s="39" t="s">
        <v>999</v>
      </c>
      <c r="D201" s="22"/>
      <c r="E201" s="10"/>
      <c r="F201" s="23">
        <f>Source!AO71</f>
        <v>352.09</v>
      </c>
      <c r="G201" s="24" t="str">
        <f>Source!DG71</f>
        <v/>
      </c>
      <c r="H201" s="23">
        <f>ROUND(Source!AF71*Source!I71, 2)</f>
        <v>1775.73</v>
      </c>
      <c r="I201" s="24"/>
      <c r="J201" s="24">
        <f>IF(Source!BA71&lt;&gt; 0, Source!BA71, 1)</f>
        <v>6.71</v>
      </c>
      <c r="K201" s="23">
        <f>Source!S71</f>
        <v>11915.15</v>
      </c>
      <c r="L201" s="25"/>
      <c r="R201">
        <f>H201</f>
        <v>1775.73</v>
      </c>
    </row>
    <row r="202" spans="1:26" ht="14.25" x14ac:dyDescent="0.2">
      <c r="A202" s="38"/>
      <c r="B202" s="39"/>
      <c r="C202" s="39" t="s">
        <v>301</v>
      </c>
      <c r="D202" s="22"/>
      <c r="E202" s="10"/>
      <c r="F202" s="23">
        <f>Source!AM71</f>
        <v>20.010000000000002</v>
      </c>
      <c r="G202" s="24" t="str">
        <f>Source!DE71</f>
        <v/>
      </c>
      <c r="H202" s="23">
        <f>ROUND(Source!AD71*Source!I71, 2)</f>
        <v>100.92</v>
      </c>
      <c r="I202" s="24"/>
      <c r="J202" s="24">
        <f>IF(Source!BB71&lt;&gt; 0, Source!BB71, 1)</f>
        <v>6.71</v>
      </c>
      <c r="K202" s="23">
        <f>Source!Q71</f>
        <v>677.16</v>
      </c>
      <c r="L202" s="25"/>
    </row>
    <row r="203" spans="1:26" ht="14.25" x14ac:dyDescent="0.2">
      <c r="A203" s="38"/>
      <c r="B203" s="39"/>
      <c r="C203" s="39" t="s">
        <v>1000</v>
      </c>
      <c r="D203" s="22"/>
      <c r="E203" s="10"/>
      <c r="F203" s="23">
        <f>Source!AN71</f>
        <v>8.64</v>
      </c>
      <c r="G203" s="24" t="str">
        <f>Source!DF71</f>
        <v/>
      </c>
      <c r="H203" s="26">
        <f>ROUND(Source!AE71*Source!I71, 2)</f>
        <v>43.57</v>
      </c>
      <c r="I203" s="24"/>
      <c r="J203" s="24">
        <f>IF(Source!BS71&lt;&gt; 0, Source!BS71, 1)</f>
        <v>6.71</v>
      </c>
      <c r="K203" s="26">
        <f>Source!R71</f>
        <v>292.39</v>
      </c>
      <c r="L203" s="25"/>
      <c r="R203">
        <f>H203</f>
        <v>43.57</v>
      </c>
    </row>
    <row r="204" spans="1:26" ht="14.25" x14ac:dyDescent="0.2">
      <c r="A204" s="38"/>
      <c r="B204" s="39"/>
      <c r="C204" s="39" t="s">
        <v>1006</v>
      </c>
      <c r="D204" s="22"/>
      <c r="E204" s="10"/>
      <c r="F204" s="23">
        <f>Source!AL71</f>
        <v>549.83000000000004</v>
      </c>
      <c r="G204" s="24" t="str">
        <f>Source!DD71</f>
        <v/>
      </c>
      <c r="H204" s="23">
        <f>ROUND(Source!AC71*Source!I71, 2)</f>
        <v>2773.01</v>
      </c>
      <c r="I204" s="24"/>
      <c r="J204" s="24">
        <f>IF(Source!BC71&lt;&gt; 0, Source!BC71, 1)</f>
        <v>6.71</v>
      </c>
      <c r="K204" s="23">
        <f>Source!P71</f>
        <v>18606.91</v>
      </c>
      <c r="L204" s="25"/>
    </row>
    <row r="205" spans="1:26" ht="14.25" x14ac:dyDescent="0.2">
      <c r="A205" s="38"/>
      <c r="B205" s="39"/>
      <c r="C205" s="39" t="s">
        <v>1001</v>
      </c>
      <c r="D205" s="22" t="s">
        <v>1002</v>
      </c>
      <c r="E205" s="10">
        <f>Source!BZ71</f>
        <v>79</v>
      </c>
      <c r="F205" s="42"/>
      <c r="G205" s="24"/>
      <c r="H205" s="23">
        <f>SUM(S200:S209)</f>
        <v>1437.25</v>
      </c>
      <c r="I205" s="27"/>
      <c r="J205" s="21">
        <f>Source!AT71</f>
        <v>79</v>
      </c>
      <c r="K205" s="23">
        <f>SUM(T200:T209)</f>
        <v>9643.9599999999991</v>
      </c>
      <c r="L205" s="25"/>
    </row>
    <row r="206" spans="1:26" ht="14.25" x14ac:dyDescent="0.2">
      <c r="A206" s="38"/>
      <c r="B206" s="39"/>
      <c r="C206" s="39" t="s">
        <v>1003</v>
      </c>
      <c r="D206" s="22" t="s">
        <v>1002</v>
      </c>
      <c r="E206" s="10">
        <f>Source!CA71</f>
        <v>50</v>
      </c>
      <c r="F206" s="42"/>
      <c r="G206" s="24"/>
      <c r="H206" s="23">
        <f>SUM(U200:U209)</f>
        <v>909.65</v>
      </c>
      <c r="I206" s="27"/>
      <c r="J206" s="21">
        <f>Source!AU71</f>
        <v>50</v>
      </c>
      <c r="K206" s="23">
        <f>SUM(V200:V209)</f>
        <v>6103.77</v>
      </c>
      <c r="L206" s="25"/>
    </row>
    <row r="207" spans="1:26" ht="14.25" x14ac:dyDescent="0.2">
      <c r="A207" s="38"/>
      <c r="B207" s="39"/>
      <c r="C207" s="39" t="s">
        <v>1004</v>
      </c>
      <c r="D207" s="22" t="s">
        <v>1005</v>
      </c>
      <c r="E207" s="10">
        <f>Source!AQ71</f>
        <v>42.37</v>
      </c>
      <c r="F207" s="23"/>
      <c r="G207" s="24" t="str">
        <f>Source!DI71</f>
        <v/>
      </c>
      <c r="H207" s="23"/>
      <c r="I207" s="24"/>
      <c r="J207" s="24"/>
      <c r="K207" s="23"/>
      <c r="L207" s="34">
        <f>Source!U71</f>
        <v>213.68885799999998</v>
      </c>
    </row>
    <row r="208" spans="1:26" ht="28.5" x14ac:dyDescent="0.2">
      <c r="A208" s="38" t="str">
        <f>Source!E72</f>
        <v>19,1</v>
      </c>
      <c r="B208" s="39" t="str">
        <f>Source!F72</f>
        <v>04.3.01.12-0111</v>
      </c>
      <c r="C208" s="39" t="str">
        <f>Source!G72</f>
        <v>Раствор готовый отделочный тяжелый, цементно-известковый 1:1:6</v>
      </c>
      <c r="D208" s="22" t="str">
        <f>Source!H72</f>
        <v>м3</v>
      </c>
      <c r="E208" s="10">
        <f>Source!I72</f>
        <v>-5.3460039999999989</v>
      </c>
      <c r="F208" s="23">
        <f>Source!AL72+Source!AM72+Source!AO72</f>
        <v>517.91</v>
      </c>
      <c r="G208" s="37" t="s">
        <v>3</v>
      </c>
      <c r="H208" s="23">
        <f>ROUND(Source!AC72*Source!I72, 2)+ROUND(Source!AD72*Source!I72, 2)+ROUND(Source!AF72*Source!I72, 2)</f>
        <v>-2768.75</v>
      </c>
      <c r="I208" s="24"/>
      <c r="J208" s="24">
        <f>IF(Source!BC72&lt;&gt; 0, Source!BC72, 1)</f>
        <v>6.71</v>
      </c>
      <c r="K208" s="23">
        <f>Source!O72</f>
        <v>-18578.310000000001</v>
      </c>
      <c r="L208" s="25"/>
      <c r="S208">
        <f>ROUND((Source!FX72/100)*((ROUND(Source!AF72*Source!I72, 2)+ROUND(Source!AE72*Source!I72, 2))), 2)</f>
        <v>0</v>
      </c>
      <c r="T208">
        <f>Source!X72</f>
        <v>0</v>
      </c>
      <c r="U208">
        <f>ROUND((Source!FY72/100)*((ROUND(Source!AF72*Source!I72, 2)+ROUND(Source!AE72*Source!I72, 2))), 2)</f>
        <v>0</v>
      </c>
      <c r="V208">
        <f>Source!Y72</f>
        <v>0</v>
      </c>
      <c r="W208">
        <f>IF(Source!BI72&lt;=1,H208, 0)</f>
        <v>-2768.75</v>
      </c>
      <c r="X208">
        <f>IF(Source!BI72=2,H208, 0)</f>
        <v>0</v>
      </c>
      <c r="Y208">
        <f>IF(Source!BI72=3,H208, 0)</f>
        <v>0</v>
      </c>
      <c r="Z208">
        <f>IF(Source!BI72=4,H208, 0)</f>
        <v>0</v>
      </c>
    </row>
    <row r="209" spans="1:26" ht="14.25" x14ac:dyDescent="0.2">
      <c r="A209" s="40" t="str">
        <f>Source!E73</f>
        <v>19,2</v>
      </c>
      <c r="B209" s="41" t="str">
        <f>Source!F73</f>
        <v>04.3.02.05-0002</v>
      </c>
      <c r="C209" s="41" t="str">
        <f>Source!G73</f>
        <v>Смесь штукатурная «Ротбанд», КНАУФ</v>
      </c>
      <c r="D209" s="28" t="str">
        <f>Source!H73</f>
        <v>кг</v>
      </c>
      <c r="E209" s="29">
        <f>Source!I73</f>
        <v>8018.54</v>
      </c>
      <c r="F209" s="30">
        <f>Source!AL73+Source!AM73+Source!AO73</f>
        <v>2.0699999999999998</v>
      </c>
      <c r="G209" s="35" t="s">
        <v>3</v>
      </c>
      <c r="H209" s="30">
        <f>ROUND(Source!AC73*Source!I73, 2)+ROUND(Source!AD73*Source!I73, 2)+ROUND(Source!AF73*Source!I73, 2)</f>
        <v>16598.38</v>
      </c>
      <c r="I209" s="31"/>
      <c r="J209" s="31">
        <f>IF(Source!BC73&lt;&gt; 0, Source!BC73, 1)</f>
        <v>6.71</v>
      </c>
      <c r="K209" s="30">
        <f>Source!O73</f>
        <v>111375.12</v>
      </c>
      <c r="L209" s="36"/>
      <c r="S209">
        <f>ROUND((Source!FX73/100)*((ROUND(Source!AF73*Source!I73, 2)+ROUND(Source!AE73*Source!I73, 2))), 2)</f>
        <v>0</v>
      </c>
      <c r="T209">
        <f>Source!X73</f>
        <v>0</v>
      </c>
      <c r="U209">
        <f>ROUND((Source!FY73/100)*((ROUND(Source!AF73*Source!I73, 2)+ROUND(Source!AE73*Source!I73, 2))), 2)</f>
        <v>0</v>
      </c>
      <c r="V209">
        <f>Source!Y73</f>
        <v>0</v>
      </c>
      <c r="W209">
        <f>IF(Source!BI73&lt;=1,H209, 0)</f>
        <v>16598.38</v>
      </c>
      <c r="X209">
        <f>IF(Source!BI73=2,H209, 0)</f>
        <v>0</v>
      </c>
      <c r="Y209">
        <f>IF(Source!BI73=3,H209, 0)</f>
        <v>0</v>
      </c>
      <c r="Z209">
        <f>IF(Source!BI73=4,H209, 0)</f>
        <v>0</v>
      </c>
    </row>
    <row r="210" spans="1:26" ht="15" x14ac:dyDescent="0.25">
      <c r="G210" s="45">
        <f>H201+H202+H204+H205+H206+SUM(H208:H209)</f>
        <v>20826.190000000002</v>
      </c>
      <c r="H210" s="45"/>
      <c r="J210" s="45">
        <f>K201+K202+K204+K205+K206+SUM(K208:K209)</f>
        <v>139743.76</v>
      </c>
      <c r="K210" s="45"/>
      <c r="L210" s="33">
        <f>Source!U71</f>
        <v>213.68885799999998</v>
      </c>
      <c r="O210" s="19">
        <f>G210</f>
        <v>20826.190000000002</v>
      </c>
      <c r="P210" s="19">
        <f>J210</f>
        <v>139743.76</v>
      </c>
      <c r="Q210" s="19">
        <f>L210</f>
        <v>213.68885799999998</v>
      </c>
      <c r="W210">
        <f>IF(Source!BI71&lt;=1,H201+H202+H204+H205+H206, 0)</f>
        <v>6996.5599999999995</v>
      </c>
      <c r="X210">
        <f>IF(Source!BI71=2,H201+H202+H204+H205+H206, 0)</f>
        <v>0</v>
      </c>
      <c r="Y210">
        <f>IF(Source!BI71=3,H201+H202+H204+H205+H206, 0)</f>
        <v>0</v>
      </c>
      <c r="Z210">
        <f>IF(Source!BI71=4,H201+H202+H204+H205+H206, 0)</f>
        <v>0</v>
      </c>
    </row>
    <row r="211" spans="1:26" ht="42.75" x14ac:dyDescent="0.2">
      <c r="A211" s="38" t="str">
        <f>Source!E74</f>
        <v>20</v>
      </c>
      <c r="B211" s="39" t="str">
        <f>Source!F74</f>
        <v>15-04-006-04</v>
      </c>
      <c r="C211" s="39" t="str">
        <f>Source!G74</f>
        <v>Покрытие поверхностей грунтовкой глубокого проникновения за 2 раза стен</v>
      </c>
      <c r="D211" s="22" t="str">
        <f>Source!H74</f>
        <v>100 м2</v>
      </c>
      <c r="E211" s="10">
        <f>Source!I74</f>
        <v>5.0434000000000001</v>
      </c>
      <c r="F211" s="23">
        <f>Source!AL74+Source!AM74+Source!AO74</f>
        <v>158.97999999999999</v>
      </c>
      <c r="G211" s="24"/>
      <c r="H211" s="23"/>
      <c r="I211" s="24" t="str">
        <f>Source!BO74</f>
        <v/>
      </c>
      <c r="J211" s="24"/>
      <c r="K211" s="23"/>
      <c r="L211" s="25"/>
      <c r="S211">
        <f>ROUND((Source!FX74/100)*((ROUND(Source!AF74*Source!I74, 2)+ROUND(Source!AE74*Source!I74, 2))), 2)</f>
        <v>862.7</v>
      </c>
      <c r="T211">
        <f>Source!X74</f>
        <v>5819.32</v>
      </c>
      <c r="U211">
        <f>ROUND((Source!FY74/100)*((ROUND(Source!AF74*Source!I74, 2)+ROUND(Source!AE74*Source!I74, 2))), 2)</f>
        <v>426.79</v>
      </c>
      <c r="V211">
        <f>Source!Y74</f>
        <v>2879.03</v>
      </c>
    </row>
    <row r="212" spans="1:26" ht="14.25" x14ac:dyDescent="0.2">
      <c r="A212" s="38"/>
      <c r="B212" s="39"/>
      <c r="C212" s="39" t="s">
        <v>999</v>
      </c>
      <c r="D212" s="22"/>
      <c r="E212" s="10"/>
      <c r="F212" s="23">
        <f>Source!AO74</f>
        <v>157</v>
      </c>
      <c r="G212" s="24" t="str">
        <f>Source!DG74</f>
        <v>)*1,15</v>
      </c>
      <c r="H212" s="23">
        <f>ROUND(Source!AF74*Source!I74, 2)</f>
        <v>910.59</v>
      </c>
      <c r="I212" s="24"/>
      <c r="J212" s="24">
        <f>IF(Source!BA74&lt;&gt; 0, Source!BA74, 1)</f>
        <v>6.71</v>
      </c>
      <c r="K212" s="23">
        <f>Source!S74</f>
        <v>6110.03</v>
      </c>
      <c r="L212" s="25"/>
      <c r="R212">
        <f>H212</f>
        <v>910.59</v>
      </c>
    </row>
    <row r="213" spans="1:26" ht="14.25" x14ac:dyDescent="0.2">
      <c r="A213" s="38"/>
      <c r="B213" s="39"/>
      <c r="C213" s="39" t="s">
        <v>301</v>
      </c>
      <c r="D213" s="22"/>
      <c r="E213" s="10"/>
      <c r="F213" s="23">
        <f>Source!AM74</f>
        <v>1.62</v>
      </c>
      <c r="G213" s="24" t="str">
        <f>Source!DE74</f>
        <v>)*1,25</v>
      </c>
      <c r="H213" s="23">
        <f>ROUND(Source!AD74*Source!I74, 2)</f>
        <v>10.19</v>
      </c>
      <c r="I213" s="24"/>
      <c r="J213" s="24">
        <f>IF(Source!BB74&lt;&gt; 0, Source!BB74, 1)</f>
        <v>6.71</v>
      </c>
      <c r="K213" s="23">
        <f>Source!Q74</f>
        <v>68.36</v>
      </c>
      <c r="L213" s="25"/>
    </row>
    <row r="214" spans="1:26" ht="14.25" x14ac:dyDescent="0.2">
      <c r="A214" s="38"/>
      <c r="B214" s="39"/>
      <c r="C214" s="39" t="s">
        <v>1000</v>
      </c>
      <c r="D214" s="22"/>
      <c r="E214" s="10"/>
      <c r="F214" s="23">
        <f>Source!AN74</f>
        <v>0.37</v>
      </c>
      <c r="G214" s="24" t="str">
        <f>Source!DF74</f>
        <v>)*1,25</v>
      </c>
      <c r="H214" s="26">
        <f>ROUND(Source!AE74*Source!I74, 2)</f>
        <v>2.3199999999999998</v>
      </c>
      <c r="I214" s="24"/>
      <c r="J214" s="24">
        <f>IF(Source!BS74&lt;&gt; 0, Source!BS74, 1)</f>
        <v>6.71</v>
      </c>
      <c r="K214" s="26">
        <f>Source!R74</f>
        <v>15.57</v>
      </c>
      <c r="L214" s="25"/>
      <c r="R214">
        <f>H214</f>
        <v>2.3199999999999998</v>
      </c>
    </row>
    <row r="215" spans="1:26" ht="14.25" x14ac:dyDescent="0.2">
      <c r="A215" s="38"/>
      <c r="B215" s="39"/>
      <c r="C215" s="39" t="s">
        <v>1006</v>
      </c>
      <c r="D215" s="22"/>
      <c r="E215" s="10"/>
      <c r="F215" s="23">
        <f>Source!AL74</f>
        <v>0.36</v>
      </c>
      <c r="G215" s="24" t="str">
        <f>Source!DD74</f>
        <v/>
      </c>
      <c r="H215" s="23">
        <f>ROUND(Source!AC74*Source!I74, 2)</f>
        <v>1.82</v>
      </c>
      <c r="I215" s="24"/>
      <c r="J215" s="24">
        <f>IF(Source!BC74&lt;&gt; 0, Source!BC74, 1)</f>
        <v>6.71</v>
      </c>
      <c r="K215" s="23">
        <f>Source!P74</f>
        <v>12.18</v>
      </c>
      <c r="L215" s="25"/>
    </row>
    <row r="216" spans="1:26" ht="14.25" x14ac:dyDescent="0.2">
      <c r="A216" s="38"/>
      <c r="B216" s="39"/>
      <c r="C216" s="39" t="s">
        <v>1001</v>
      </c>
      <c r="D216" s="22" t="s">
        <v>1002</v>
      </c>
      <c r="E216" s="10">
        <f>Source!BZ74</f>
        <v>105</v>
      </c>
      <c r="F216" s="49" t="str">
        <f>CONCATENATE(" )", Source!DL74, Source!FT74, "=", Source!FX74)</f>
        <v xml:space="preserve"> )*0,9=94,5</v>
      </c>
      <c r="G216" s="50"/>
      <c r="H216" s="23">
        <f>SUM(S211:S220)</f>
        <v>862.7</v>
      </c>
      <c r="I216" s="27"/>
      <c r="J216" s="21">
        <f>Source!AT74</f>
        <v>95</v>
      </c>
      <c r="K216" s="23">
        <f>SUM(T211:T220)</f>
        <v>5819.32</v>
      </c>
      <c r="L216" s="25"/>
    </row>
    <row r="217" spans="1:26" ht="14.25" x14ac:dyDescent="0.2">
      <c r="A217" s="38"/>
      <c r="B217" s="39"/>
      <c r="C217" s="39" t="s">
        <v>1003</v>
      </c>
      <c r="D217" s="22" t="s">
        <v>1002</v>
      </c>
      <c r="E217" s="10">
        <f>Source!CA74</f>
        <v>55</v>
      </c>
      <c r="F217" s="49" t="str">
        <f>CONCATENATE(" )", Source!DM74, Source!FU74, "=", Source!FY74)</f>
        <v xml:space="preserve"> )*0,85=46,75</v>
      </c>
      <c r="G217" s="50"/>
      <c r="H217" s="23">
        <f>SUM(U211:U220)</f>
        <v>426.79</v>
      </c>
      <c r="I217" s="27"/>
      <c r="J217" s="21">
        <f>Source!AU74</f>
        <v>47</v>
      </c>
      <c r="K217" s="23">
        <f>SUM(V211:V220)</f>
        <v>2879.03</v>
      </c>
      <c r="L217" s="25"/>
    </row>
    <row r="218" spans="1:26" ht="14.25" x14ac:dyDescent="0.2">
      <c r="A218" s="38"/>
      <c r="B218" s="39"/>
      <c r="C218" s="39" t="s">
        <v>1004</v>
      </c>
      <c r="D218" s="22" t="s">
        <v>1005</v>
      </c>
      <c r="E218" s="10">
        <f>Source!AQ74</f>
        <v>16.32</v>
      </c>
      <c r="F218" s="23"/>
      <c r="G218" s="24" t="str">
        <f>Source!DI74</f>
        <v>)*1,15</v>
      </c>
      <c r="H218" s="23"/>
      <c r="I218" s="24"/>
      <c r="J218" s="24"/>
      <c r="K218" s="23"/>
      <c r="L218" s="34">
        <f>Source!U74</f>
        <v>94.654531199999994</v>
      </c>
    </row>
    <row r="219" spans="1:26" ht="14.25" x14ac:dyDescent="0.2">
      <c r="A219" s="38" t="str">
        <f>Source!E75</f>
        <v>20,1</v>
      </c>
      <c r="B219" s="39" t="str">
        <f>Source!F75</f>
        <v>14.4.01.21</v>
      </c>
      <c r="C219" s="39" t="str">
        <f>Source!G75</f>
        <v>Грунтовка</v>
      </c>
      <c r="D219" s="22" t="str">
        <f>Source!H75</f>
        <v>т</v>
      </c>
      <c r="E219" s="10">
        <f>Source!I75</f>
        <v>0.100868</v>
      </c>
      <c r="F219" s="23">
        <f>Source!AL75+Source!AM75+Source!AO75</f>
        <v>0</v>
      </c>
      <c r="G219" s="37" t="s">
        <v>3</v>
      </c>
      <c r="H219" s="23">
        <f>ROUND(Source!AC75*Source!I75, 2)+ROUND(Source!AD75*Source!I75, 2)+ROUND(Source!AF75*Source!I75, 2)</f>
        <v>0</v>
      </c>
      <c r="I219" s="24"/>
      <c r="J219" s="24">
        <f>IF(Source!BC75&lt;&gt; 0, Source!BC75, 1)</f>
        <v>6.71</v>
      </c>
      <c r="K219" s="23">
        <f>Source!O75</f>
        <v>0</v>
      </c>
      <c r="L219" s="25"/>
      <c r="S219">
        <f>ROUND((Source!FX75/100)*((ROUND(Source!AF75*Source!I75, 2)+ROUND(Source!AE75*Source!I75, 2))), 2)</f>
        <v>0</v>
      </c>
      <c r="T219">
        <f>Source!X75</f>
        <v>0</v>
      </c>
      <c r="U219">
        <f>ROUND((Source!FY75/100)*((ROUND(Source!AF75*Source!I75, 2)+ROUND(Source!AE75*Source!I75, 2))), 2)</f>
        <v>0</v>
      </c>
      <c r="V219">
        <f>Source!Y75</f>
        <v>0</v>
      </c>
      <c r="W219">
        <f>IF(Source!BI75&lt;=1,H219, 0)</f>
        <v>0</v>
      </c>
      <c r="X219">
        <f>IF(Source!BI75=2,H219, 0)</f>
        <v>0</v>
      </c>
      <c r="Y219">
        <f>IF(Source!BI75=3,H219, 0)</f>
        <v>0</v>
      </c>
      <c r="Z219">
        <f>IF(Source!BI75=4,H219, 0)</f>
        <v>0</v>
      </c>
    </row>
    <row r="220" spans="1:26" ht="14.25" x14ac:dyDescent="0.2">
      <c r="A220" s="40" t="str">
        <f>Source!E76</f>
        <v>20,2</v>
      </c>
      <c r="B220" s="41" t="str">
        <f>Source!F76</f>
        <v>14.3.01.01-0001</v>
      </c>
      <c r="C220" s="41" t="str">
        <f>Source!G76</f>
        <v>Грунтовка: «Бетоконтакт», КНАУФ</v>
      </c>
      <c r="D220" s="28" t="str">
        <f>Source!H76</f>
        <v>кг</v>
      </c>
      <c r="E220" s="29">
        <f>Source!I76</f>
        <v>100.86799999999999</v>
      </c>
      <c r="F220" s="30">
        <f>Source!AL76+Source!AM76+Source!AO76</f>
        <v>15.09</v>
      </c>
      <c r="G220" s="35" t="s">
        <v>3</v>
      </c>
      <c r="H220" s="30">
        <f>ROUND(Source!AC76*Source!I76, 2)+ROUND(Source!AD76*Source!I76, 2)+ROUND(Source!AF76*Source!I76, 2)</f>
        <v>1522.1</v>
      </c>
      <c r="I220" s="31"/>
      <c r="J220" s="31">
        <f>IF(Source!BC76&lt;&gt; 0, Source!BC76, 1)</f>
        <v>6.71</v>
      </c>
      <c r="K220" s="30">
        <f>Source!O76</f>
        <v>10213.280000000001</v>
      </c>
      <c r="L220" s="36"/>
      <c r="S220">
        <f>ROUND((Source!FX76/100)*((ROUND(Source!AF76*Source!I76, 2)+ROUND(Source!AE76*Source!I76, 2))), 2)</f>
        <v>0</v>
      </c>
      <c r="T220">
        <f>Source!X76</f>
        <v>0</v>
      </c>
      <c r="U220">
        <f>ROUND((Source!FY76/100)*((ROUND(Source!AF76*Source!I76, 2)+ROUND(Source!AE76*Source!I76, 2))), 2)</f>
        <v>0</v>
      </c>
      <c r="V220">
        <f>Source!Y76</f>
        <v>0</v>
      </c>
      <c r="W220">
        <f>IF(Source!BI76&lt;=1,H220, 0)</f>
        <v>1522.1</v>
      </c>
      <c r="X220">
        <f>IF(Source!BI76=2,H220, 0)</f>
        <v>0</v>
      </c>
      <c r="Y220">
        <f>IF(Source!BI76=3,H220, 0)</f>
        <v>0</v>
      </c>
      <c r="Z220">
        <f>IF(Source!BI76=4,H220, 0)</f>
        <v>0</v>
      </c>
    </row>
    <row r="221" spans="1:26" ht="15" x14ac:dyDescent="0.25">
      <c r="G221" s="45">
        <f>H212+H213+H215+H216+H217+SUM(H219:H220)</f>
        <v>3734.19</v>
      </c>
      <c r="H221" s="45"/>
      <c r="J221" s="45">
        <f>K212+K213+K215+K216+K217+SUM(K219:K220)</f>
        <v>25102.2</v>
      </c>
      <c r="K221" s="45"/>
      <c r="L221" s="33">
        <f>Source!U74</f>
        <v>94.654531199999994</v>
      </c>
      <c r="O221" s="19">
        <f>G221</f>
        <v>3734.19</v>
      </c>
      <c r="P221" s="19">
        <f>J221</f>
        <v>25102.2</v>
      </c>
      <c r="Q221" s="19">
        <f>L221</f>
        <v>94.654531199999994</v>
      </c>
      <c r="W221">
        <f>IF(Source!BI74&lt;=1,H212+H213+H215+H216+H217, 0)</f>
        <v>2212.09</v>
      </c>
      <c r="X221">
        <f>IF(Source!BI74=2,H212+H213+H215+H216+H217, 0)</f>
        <v>0</v>
      </c>
      <c r="Y221">
        <f>IF(Source!BI74=3,H212+H213+H215+H216+H217, 0)</f>
        <v>0</v>
      </c>
      <c r="Z221">
        <f>IF(Source!BI74=4,H212+H213+H215+H216+H217, 0)</f>
        <v>0</v>
      </c>
    </row>
    <row r="222" spans="1:26" ht="57" x14ac:dyDescent="0.2">
      <c r="A222" s="38" t="str">
        <f>Source!E77</f>
        <v>21</v>
      </c>
      <c r="B222" s="39" t="str">
        <f>Source!F77</f>
        <v>15-04-005-03</v>
      </c>
      <c r="C222" s="39" t="str">
        <f>Source!G77</f>
        <v>Окраска поливинилацетатными водоэмульсионными составами улучшенная по штукатурке стен  и дверных откосов</v>
      </c>
      <c r="D222" s="22" t="str">
        <f>Source!H77</f>
        <v>100 м2</v>
      </c>
      <c r="E222" s="10">
        <f>Source!I77</f>
        <v>5.2919999999999998</v>
      </c>
      <c r="F222" s="23">
        <f>Source!AL77+Source!AM77+Source!AO77</f>
        <v>675.6</v>
      </c>
      <c r="G222" s="24"/>
      <c r="H222" s="23"/>
      <c r="I222" s="24" t="str">
        <f>Source!BO77</f>
        <v/>
      </c>
      <c r="J222" s="24"/>
      <c r="K222" s="23"/>
      <c r="L222" s="25"/>
      <c r="S222">
        <f>ROUND((Source!FX77/100)*((ROUND(Source!AF77*Source!I77, 2)+ROUND(Source!AE77*Source!I77, 2))), 2)</f>
        <v>2225.62</v>
      </c>
      <c r="T222">
        <f>Source!X77</f>
        <v>15012.92</v>
      </c>
      <c r="U222">
        <f>ROUND((Source!FY77/100)*((ROUND(Source!AF77*Source!I77, 2)+ROUND(Source!AE77*Source!I77, 2))), 2)</f>
        <v>1101.03</v>
      </c>
      <c r="V222">
        <f>Source!Y77</f>
        <v>7427.44</v>
      </c>
    </row>
    <row r="223" spans="1:26" ht="14.25" x14ac:dyDescent="0.2">
      <c r="A223" s="38"/>
      <c r="B223" s="39"/>
      <c r="C223" s="39" t="s">
        <v>999</v>
      </c>
      <c r="D223" s="22"/>
      <c r="E223" s="10"/>
      <c r="F223" s="23">
        <f>Source!AO77</f>
        <v>384.81</v>
      </c>
      <c r="G223" s="24" t="str">
        <f>Source!DG77</f>
        <v>)*1,15</v>
      </c>
      <c r="H223" s="23">
        <f>ROUND(Source!AF77*Source!I77, 2)</f>
        <v>2341.87</v>
      </c>
      <c r="I223" s="24"/>
      <c r="J223" s="24">
        <f>IF(Source!BA77&lt;&gt; 0, Source!BA77, 1)</f>
        <v>6.71</v>
      </c>
      <c r="K223" s="23">
        <f>Source!S77</f>
        <v>15713.94</v>
      </c>
      <c r="L223" s="25"/>
      <c r="R223">
        <f>H223</f>
        <v>2341.87</v>
      </c>
    </row>
    <row r="224" spans="1:26" ht="14.25" x14ac:dyDescent="0.2">
      <c r="A224" s="38"/>
      <c r="B224" s="39"/>
      <c r="C224" s="39" t="s">
        <v>301</v>
      </c>
      <c r="D224" s="22"/>
      <c r="E224" s="10"/>
      <c r="F224" s="23">
        <f>Source!AM77</f>
        <v>10.49</v>
      </c>
      <c r="G224" s="24" t="str">
        <f>Source!DE77</f>
        <v>)*1,25</v>
      </c>
      <c r="H224" s="23">
        <f>ROUND(Source!AD77*Source!I77, 2)</f>
        <v>69.38</v>
      </c>
      <c r="I224" s="24"/>
      <c r="J224" s="24">
        <f>IF(Source!BB77&lt;&gt; 0, Source!BB77, 1)</f>
        <v>6.71</v>
      </c>
      <c r="K224" s="23">
        <f>Source!Q77</f>
        <v>465.53</v>
      </c>
      <c r="L224" s="25"/>
    </row>
    <row r="225" spans="1:26" ht="14.25" x14ac:dyDescent="0.2">
      <c r="A225" s="38"/>
      <c r="B225" s="39"/>
      <c r="C225" s="39" t="s">
        <v>1000</v>
      </c>
      <c r="D225" s="22"/>
      <c r="E225" s="10"/>
      <c r="F225" s="23">
        <f>Source!AN77</f>
        <v>2.0099999999999998</v>
      </c>
      <c r="G225" s="24" t="str">
        <f>Source!DF77</f>
        <v>)*1,25</v>
      </c>
      <c r="H225" s="26">
        <f>ROUND(Source!AE77*Source!I77, 2)</f>
        <v>13.28</v>
      </c>
      <c r="I225" s="24"/>
      <c r="J225" s="24">
        <f>IF(Source!BS77&lt;&gt; 0, Source!BS77, 1)</f>
        <v>6.71</v>
      </c>
      <c r="K225" s="26">
        <f>Source!R77</f>
        <v>89.13</v>
      </c>
      <c r="L225" s="25"/>
      <c r="R225">
        <f>H225</f>
        <v>13.28</v>
      </c>
    </row>
    <row r="226" spans="1:26" ht="14.25" x14ac:dyDescent="0.2">
      <c r="A226" s="38"/>
      <c r="B226" s="39"/>
      <c r="C226" s="39" t="s">
        <v>1006</v>
      </c>
      <c r="D226" s="22"/>
      <c r="E226" s="10"/>
      <c r="F226" s="23">
        <f>Source!AL77</f>
        <v>280.3</v>
      </c>
      <c r="G226" s="24" t="str">
        <f>Source!DD77</f>
        <v/>
      </c>
      <c r="H226" s="23">
        <f>ROUND(Source!AC77*Source!I77, 2)</f>
        <v>1483.35</v>
      </c>
      <c r="I226" s="24"/>
      <c r="J226" s="24">
        <f>IF(Source!BC77&lt;&gt; 0, Source!BC77, 1)</f>
        <v>6.71</v>
      </c>
      <c r="K226" s="23">
        <f>Source!P77</f>
        <v>9953.26</v>
      </c>
      <c r="L226" s="25"/>
    </row>
    <row r="227" spans="1:26" ht="14.25" x14ac:dyDescent="0.2">
      <c r="A227" s="38"/>
      <c r="B227" s="39"/>
      <c r="C227" s="39" t="s">
        <v>1001</v>
      </c>
      <c r="D227" s="22" t="s">
        <v>1002</v>
      </c>
      <c r="E227" s="10">
        <f>Source!BZ77</f>
        <v>105</v>
      </c>
      <c r="F227" s="49" t="str">
        <f>CONCATENATE(" )", Source!DL77, Source!FT77, "=", Source!FX77)</f>
        <v xml:space="preserve"> )*0,9=94,5</v>
      </c>
      <c r="G227" s="50"/>
      <c r="H227" s="23">
        <f>SUM(S222:S231)</f>
        <v>2225.62</v>
      </c>
      <c r="I227" s="27"/>
      <c r="J227" s="21">
        <f>Source!AT77</f>
        <v>95</v>
      </c>
      <c r="K227" s="23">
        <f>SUM(T222:T231)</f>
        <v>15012.92</v>
      </c>
      <c r="L227" s="25"/>
    </row>
    <row r="228" spans="1:26" ht="14.25" x14ac:dyDescent="0.2">
      <c r="A228" s="38"/>
      <c r="B228" s="39"/>
      <c r="C228" s="39" t="s">
        <v>1003</v>
      </c>
      <c r="D228" s="22" t="s">
        <v>1002</v>
      </c>
      <c r="E228" s="10">
        <f>Source!CA77</f>
        <v>55</v>
      </c>
      <c r="F228" s="49" t="str">
        <f>CONCATENATE(" )", Source!DM77, Source!FU77, "=", Source!FY77)</f>
        <v xml:space="preserve"> )*0,85=46,75</v>
      </c>
      <c r="G228" s="50"/>
      <c r="H228" s="23">
        <f>SUM(U222:U231)</f>
        <v>1101.03</v>
      </c>
      <c r="I228" s="27"/>
      <c r="J228" s="21">
        <f>Source!AU77</f>
        <v>47</v>
      </c>
      <c r="K228" s="23">
        <f>SUM(V222:V231)</f>
        <v>7427.44</v>
      </c>
      <c r="L228" s="25"/>
    </row>
    <row r="229" spans="1:26" ht="14.25" x14ac:dyDescent="0.2">
      <c r="A229" s="38"/>
      <c r="B229" s="39"/>
      <c r="C229" s="39" t="s">
        <v>1004</v>
      </c>
      <c r="D229" s="22" t="s">
        <v>1005</v>
      </c>
      <c r="E229" s="10">
        <f>Source!AQ77</f>
        <v>42.9</v>
      </c>
      <c r="F229" s="23"/>
      <c r="G229" s="24" t="str">
        <f>Source!DI77</f>
        <v>)*1,15</v>
      </c>
      <c r="H229" s="23"/>
      <c r="I229" s="24"/>
      <c r="J229" s="24"/>
      <c r="K229" s="23"/>
      <c r="L229" s="34">
        <f>Source!U77</f>
        <v>261.08081999999996</v>
      </c>
    </row>
    <row r="230" spans="1:26" ht="14.25" x14ac:dyDescent="0.2">
      <c r="A230" s="38" t="str">
        <f>Source!E78</f>
        <v>21,1</v>
      </c>
      <c r="B230" s="39" t="str">
        <f>Source!F78</f>
        <v>14.3.02.01</v>
      </c>
      <c r="C230" s="39" t="str">
        <f>Source!G78</f>
        <v>Краска водоэмульсионная</v>
      </c>
      <c r="D230" s="22" t="str">
        <f>Source!H78</f>
        <v>т</v>
      </c>
      <c r="E230" s="10">
        <f>Source!I78</f>
        <v>0.33339599999999997</v>
      </c>
      <c r="F230" s="23">
        <f>Source!AL78+Source!AM78+Source!AO78</f>
        <v>0</v>
      </c>
      <c r="G230" s="37" t="s">
        <v>3</v>
      </c>
      <c r="H230" s="23">
        <f>ROUND(Source!AC78*Source!I78, 2)+ROUND(Source!AD78*Source!I78, 2)+ROUND(Source!AF78*Source!I78, 2)</f>
        <v>0</v>
      </c>
      <c r="I230" s="24"/>
      <c r="J230" s="24">
        <f>IF(Source!BC78&lt;&gt; 0, Source!BC78, 1)</f>
        <v>6.71</v>
      </c>
      <c r="K230" s="23">
        <f>Source!O78</f>
        <v>0</v>
      </c>
      <c r="L230" s="25"/>
      <c r="S230">
        <f>ROUND((Source!FX78/100)*((ROUND(Source!AF78*Source!I78, 2)+ROUND(Source!AE78*Source!I78, 2))), 2)</f>
        <v>0</v>
      </c>
      <c r="T230">
        <f>Source!X78</f>
        <v>0</v>
      </c>
      <c r="U230">
        <f>ROUND((Source!FY78/100)*((ROUND(Source!AF78*Source!I78, 2)+ROUND(Source!AE78*Source!I78, 2))), 2)</f>
        <v>0</v>
      </c>
      <c r="V230">
        <f>Source!Y78</f>
        <v>0</v>
      </c>
      <c r="W230">
        <f>IF(Source!BI78&lt;=1,H230, 0)</f>
        <v>0</v>
      </c>
      <c r="X230">
        <f>IF(Source!BI78=2,H230, 0)</f>
        <v>0</v>
      </c>
      <c r="Y230">
        <f>IF(Source!BI78=3,H230, 0)</f>
        <v>0</v>
      </c>
      <c r="Z230">
        <f>IF(Source!BI78=4,H230, 0)</f>
        <v>0</v>
      </c>
    </row>
    <row r="231" spans="1:26" ht="28.5" x14ac:dyDescent="0.2">
      <c r="A231" s="40" t="str">
        <f>Source!E79</f>
        <v>21,2</v>
      </c>
      <c r="B231" s="41" t="str">
        <f>Source!F79</f>
        <v>14.3.02.01-0223</v>
      </c>
      <c r="C231" s="41" t="str">
        <f>Source!G79</f>
        <v>Краска водоэмульсионная для внутренних работ ВАК-15</v>
      </c>
      <c r="D231" s="28" t="str">
        <f>Source!H79</f>
        <v>т</v>
      </c>
      <c r="E231" s="29">
        <f>Source!I79</f>
        <v>0.33339599999999997</v>
      </c>
      <c r="F231" s="30">
        <f>Source!AL79+Source!AM79+Source!AO79</f>
        <v>19973.669999999998</v>
      </c>
      <c r="G231" s="35" t="s">
        <v>3</v>
      </c>
      <c r="H231" s="30">
        <f>ROUND(Source!AC79*Source!I79, 2)+ROUND(Source!AD79*Source!I79, 2)+ROUND(Source!AF79*Source!I79, 2)</f>
        <v>6659.14</v>
      </c>
      <c r="I231" s="31"/>
      <c r="J231" s="31">
        <f>IF(Source!BC79&lt;&gt; 0, Source!BC79, 1)</f>
        <v>6.71</v>
      </c>
      <c r="K231" s="30">
        <f>Source!O79</f>
        <v>44682.84</v>
      </c>
      <c r="L231" s="36"/>
      <c r="S231">
        <f>ROUND((Source!FX79/100)*((ROUND(Source!AF79*Source!I79, 2)+ROUND(Source!AE79*Source!I79, 2))), 2)</f>
        <v>0</v>
      </c>
      <c r="T231">
        <f>Source!X79</f>
        <v>0</v>
      </c>
      <c r="U231">
        <f>ROUND((Source!FY79/100)*((ROUND(Source!AF79*Source!I79, 2)+ROUND(Source!AE79*Source!I79, 2))), 2)</f>
        <v>0</v>
      </c>
      <c r="V231">
        <f>Source!Y79</f>
        <v>0</v>
      </c>
      <c r="W231">
        <f>IF(Source!BI79&lt;=1,H231, 0)</f>
        <v>6659.14</v>
      </c>
      <c r="X231">
        <f>IF(Source!BI79=2,H231, 0)</f>
        <v>0</v>
      </c>
      <c r="Y231">
        <f>IF(Source!BI79=3,H231, 0)</f>
        <v>0</v>
      </c>
      <c r="Z231">
        <f>IF(Source!BI79=4,H231, 0)</f>
        <v>0</v>
      </c>
    </row>
    <row r="232" spans="1:26" ht="15" x14ac:dyDescent="0.25">
      <c r="G232" s="45">
        <f>H223+H224+H226+H227+H228+SUM(H230:H231)</f>
        <v>13880.39</v>
      </c>
      <c r="H232" s="45"/>
      <c r="J232" s="45">
        <f>K223+K224+K226+K227+K228+SUM(K230:K231)</f>
        <v>93255.93</v>
      </c>
      <c r="K232" s="45"/>
      <c r="L232" s="33">
        <f>Source!U77</f>
        <v>261.08081999999996</v>
      </c>
      <c r="O232" s="19">
        <f>G232</f>
        <v>13880.39</v>
      </c>
      <c r="P232" s="19">
        <f>J232</f>
        <v>93255.93</v>
      </c>
      <c r="Q232" s="19">
        <f>L232</f>
        <v>261.08081999999996</v>
      </c>
      <c r="W232">
        <f>IF(Source!BI77&lt;=1,H223+H224+H226+H227+H228, 0)</f>
        <v>7221.2499999999991</v>
      </c>
      <c r="X232">
        <f>IF(Source!BI77=2,H223+H224+H226+H227+H228, 0)</f>
        <v>0</v>
      </c>
      <c r="Y232">
        <f>IF(Source!BI77=3,H223+H224+H226+H227+H228, 0)</f>
        <v>0</v>
      </c>
      <c r="Z232">
        <f>IF(Source!BI77=4,H223+H224+H226+H227+H228, 0)</f>
        <v>0</v>
      </c>
    </row>
    <row r="233" spans="1:26" ht="42.75" x14ac:dyDescent="0.2">
      <c r="A233" s="38" t="str">
        <f>Source!E80</f>
        <v>22</v>
      </c>
      <c r="B233" s="39" t="str">
        <f>Source!F80</f>
        <v>15-02-031-01</v>
      </c>
      <c r="C233" s="39" t="str">
        <f>Source!G80</f>
        <v>Штукатурка поверхностей оконных и дверных откосов по бетону и камню плоских</v>
      </c>
      <c r="D233" s="22" t="str">
        <f>Source!H80</f>
        <v>100 м2</v>
      </c>
      <c r="E233" s="10">
        <f>Source!I80</f>
        <v>0.24859999999999999</v>
      </c>
      <c r="F233" s="23">
        <f>Source!AL80+Source!AM80+Source!AO80</f>
        <v>4206.63</v>
      </c>
      <c r="G233" s="24"/>
      <c r="H233" s="23"/>
      <c r="I233" s="24" t="str">
        <f>Source!BO80</f>
        <v/>
      </c>
      <c r="J233" s="24"/>
      <c r="K233" s="23"/>
      <c r="L233" s="25"/>
      <c r="S233">
        <f>ROUND((Source!FX80/100)*((ROUND(Source!AF80*Source!I80, 2)+ROUND(Source!AE80*Source!I80, 2))), 2)</f>
        <v>520.33000000000004</v>
      </c>
      <c r="T233">
        <f>Source!X80</f>
        <v>3509.85</v>
      </c>
      <c r="U233">
        <f>ROUND((Source!FY80/100)*((ROUND(Source!AF80*Source!I80, 2)+ROUND(Source!AE80*Source!I80, 2))), 2)</f>
        <v>257.41000000000003</v>
      </c>
      <c r="V233">
        <f>Source!Y80</f>
        <v>1736.45</v>
      </c>
    </row>
    <row r="234" spans="1:26" x14ac:dyDescent="0.2">
      <c r="C234" s="18" t="str">
        <f>"Объем: "&amp;Source!I80&amp;"=24,86/"&amp;"100"</f>
        <v>Объем: 0,2486=24,86/100</v>
      </c>
    </row>
    <row r="235" spans="1:26" ht="14.25" x14ac:dyDescent="0.2">
      <c r="A235" s="38"/>
      <c r="B235" s="39"/>
      <c r="C235" s="39" t="s">
        <v>999</v>
      </c>
      <c r="D235" s="22"/>
      <c r="E235" s="10"/>
      <c r="F235" s="23">
        <f>Source!AO80</f>
        <v>1895.72</v>
      </c>
      <c r="G235" s="24" t="str">
        <f>Source!DG80</f>
        <v>)*1,15</v>
      </c>
      <c r="H235" s="23">
        <f>ROUND(Source!AF80*Source!I80, 2)</f>
        <v>541.97</v>
      </c>
      <c r="I235" s="24"/>
      <c r="J235" s="24">
        <f>IF(Source!BA80&lt;&gt; 0, Source!BA80, 1)</f>
        <v>6.71</v>
      </c>
      <c r="K235" s="23">
        <f>Source!S80</f>
        <v>3636.6</v>
      </c>
      <c r="L235" s="25"/>
      <c r="R235">
        <f>H235</f>
        <v>541.97</v>
      </c>
    </row>
    <row r="236" spans="1:26" ht="14.25" x14ac:dyDescent="0.2">
      <c r="A236" s="38"/>
      <c r="B236" s="39"/>
      <c r="C236" s="39" t="s">
        <v>301</v>
      </c>
      <c r="D236" s="22"/>
      <c r="E236" s="10"/>
      <c r="F236" s="23">
        <f>Source!AM80</f>
        <v>64.400000000000006</v>
      </c>
      <c r="G236" s="24" t="str">
        <f>Source!DE80</f>
        <v>)*1,25</v>
      </c>
      <c r="H236" s="23">
        <f>ROUND(Source!AD80*Source!I80, 2)</f>
        <v>20.010000000000002</v>
      </c>
      <c r="I236" s="24"/>
      <c r="J236" s="24">
        <f>IF(Source!BB80&lt;&gt; 0, Source!BB80, 1)</f>
        <v>6.71</v>
      </c>
      <c r="K236" s="23">
        <f>Source!Q80</f>
        <v>134.28</v>
      </c>
      <c r="L236" s="25"/>
    </row>
    <row r="237" spans="1:26" ht="14.25" x14ac:dyDescent="0.2">
      <c r="A237" s="38"/>
      <c r="B237" s="39"/>
      <c r="C237" s="39" t="s">
        <v>1000</v>
      </c>
      <c r="D237" s="22"/>
      <c r="E237" s="10"/>
      <c r="F237" s="23">
        <f>Source!AN80</f>
        <v>27.81</v>
      </c>
      <c r="G237" s="24" t="str">
        <f>Source!DF80</f>
        <v>)*1,25</v>
      </c>
      <c r="H237" s="26">
        <f>ROUND(Source!AE80*Source!I80, 2)</f>
        <v>8.64</v>
      </c>
      <c r="I237" s="24"/>
      <c r="J237" s="24">
        <f>IF(Source!BS80&lt;&gt; 0, Source!BS80, 1)</f>
        <v>6.71</v>
      </c>
      <c r="K237" s="26">
        <f>Source!R80</f>
        <v>57.98</v>
      </c>
      <c r="L237" s="25"/>
      <c r="R237">
        <f>H237</f>
        <v>8.64</v>
      </c>
    </row>
    <row r="238" spans="1:26" ht="14.25" x14ac:dyDescent="0.2">
      <c r="A238" s="38"/>
      <c r="B238" s="39"/>
      <c r="C238" s="39" t="s">
        <v>1006</v>
      </c>
      <c r="D238" s="22"/>
      <c r="E238" s="10"/>
      <c r="F238" s="23">
        <f>Source!AL80</f>
        <v>2246.5100000000002</v>
      </c>
      <c r="G238" s="24" t="str">
        <f>Source!DD80</f>
        <v/>
      </c>
      <c r="H238" s="23">
        <f>ROUND(Source!AC80*Source!I80, 2)</f>
        <v>558.48</v>
      </c>
      <c r="I238" s="24"/>
      <c r="J238" s="24">
        <f>IF(Source!BC80&lt;&gt; 0, Source!BC80, 1)</f>
        <v>6.71</v>
      </c>
      <c r="K238" s="23">
        <f>Source!P80</f>
        <v>3747.42</v>
      </c>
      <c r="L238" s="25"/>
    </row>
    <row r="239" spans="1:26" ht="14.25" x14ac:dyDescent="0.2">
      <c r="A239" s="38"/>
      <c r="B239" s="39"/>
      <c r="C239" s="39" t="s">
        <v>1001</v>
      </c>
      <c r="D239" s="22" t="s">
        <v>1002</v>
      </c>
      <c r="E239" s="10">
        <f>Source!BZ80</f>
        <v>105</v>
      </c>
      <c r="F239" s="49" t="str">
        <f>CONCATENATE(" )", Source!DL80, Source!FT80, "=", Source!FX80)</f>
        <v xml:space="preserve"> )*0,9=94,5</v>
      </c>
      <c r="G239" s="50"/>
      <c r="H239" s="23">
        <f>SUM(S233:S241)</f>
        <v>520.33000000000004</v>
      </c>
      <c r="I239" s="27"/>
      <c r="J239" s="21">
        <f>Source!AT80</f>
        <v>95</v>
      </c>
      <c r="K239" s="23">
        <f>SUM(T233:T241)</f>
        <v>3509.85</v>
      </c>
      <c r="L239" s="25"/>
    </row>
    <row r="240" spans="1:26" ht="14.25" x14ac:dyDescent="0.2">
      <c r="A240" s="38"/>
      <c r="B240" s="39"/>
      <c r="C240" s="39" t="s">
        <v>1003</v>
      </c>
      <c r="D240" s="22" t="s">
        <v>1002</v>
      </c>
      <c r="E240" s="10">
        <f>Source!CA80</f>
        <v>55</v>
      </c>
      <c r="F240" s="49" t="str">
        <f>CONCATENATE(" )", Source!DM80, Source!FU80, "=", Source!FY80)</f>
        <v xml:space="preserve"> )*0,85=46,75</v>
      </c>
      <c r="G240" s="50"/>
      <c r="H240" s="23">
        <f>SUM(U233:U241)</f>
        <v>257.41000000000003</v>
      </c>
      <c r="I240" s="27"/>
      <c r="J240" s="21">
        <f>Source!AU80</f>
        <v>47</v>
      </c>
      <c r="K240" s="23">
        <f>SUM(V233:V241)</f>
        <v>1736.45</v>
      </c>
      <c r="L240" s="25"/>
    </row>
    <row r="241" spans="1:26" ht="14.25" x14ac:dyDescent="0.2">
      <c r="A241" s="40"/>
      <c r="B241" s="41"/>
      <c r="C241" s="41" t="s">
        <v>1004</v>
      </c>
      <c r="D241" s="28" t="s">
        <v>1005</v>
      </c>
      <c r="E241" s="29">
        <f>Source!AQ80</f>
        <v>204.06</v>
      </c>
      <c r="F241" s="30"/>
      <c r="G241" s="31" t="str">
        <f>Source!DI80</f>
        <v>)*1,15</v>
      </c>
      <c r="H241" s="30"/>
      <c r="I241" s="31"/>
      <c r="J241" s="31"/>
      <c r="K241" s="30"/>
      <c r="L241" s="32">
        <f>Source!U80</f>
        <v>58.338713399999996</v>
      </c>
    </row>
    <row r="242" spans="1:26" ht="15" x14ac:dyDescent="0.25">
      <c r="G242" s="45">
        <f>H235+H236+H238+H239+H240</f>
        <v>1898.2</v>
      </c>
      <c r="H242" s="45"/>
      <c r="J242" s="45">
        <f>K235+K236+K238+K239+K240</f>
        <v>12764.6</v>
      </c>
      <c r="K242" s="45"/>
      <c r="L242" s="33">
        <f>Source!U80</f>
        <v>58.338713399999996</v>
      </c>
      <c r="O242" s="19">
        <f>G242</f>
        <v>1898.2</v>
      </c>
      <c r="P242" s="19">
        <f>J242</f>
        <v>12764.6</v>
      </c>
      <c r="Q242" s="19">
        <f>L242</f>
        <v>58.338713399999996</v>
      </c>
      <c r="W242">
        <f>IF(Source!BI80&lt;=1,H235+H236+H238+H239+H240, 0)</f>
        <v>1898.2</v>
      </c>
      <c r="X242">
        <f>IF(Source!BI80=2,H235+H236+H238+H239+H240, 0)</f>
        <v>0</v>
      </c>
      <c r="Y242">
        <f>IF(Source!BI80=3,H235+H236+H238+H239+H240, 0)</f>
        <v>0</v>
      </c>
      <c r="Z242">
        <f>IF(Source!BI80=4,H235+H236+H238+H239+H240, 0)</f>
        <v>0</v>
      </c>
    </row>
    <row r="243" spans="1:26" ht="28.5" x14ac:dyDescent="0.2">
      <c r="A243" s="38" t="str">
        <f>Source!E81</f>
        <v>23</v>
      </c>
      <c r="B243" s="39" t="str">
        <f>Source!F81</f>
        <v>56-4-1</v>
      </c>
      <c r="C243" s="39" t="str">
        <f>Source!G81</f>
        <v>Ремонт оконных коробок в каменных стенах при одном переплете</v>
      </c>
      <c r="D243" s="22" t="str">
        <f>Source!H81</f>
        <v>100 ШТ</v>
      </c>
      <c r="E243" s="10">
        <f>Source!I81</f>
        <v>0.09</v>
      </c>
      <c r="F243" s="23">
        <f>Source!AL81+Source!AM81+Source!AO81</f>
        <v>6411.01</v>
      </c>
      <c r="G243" s="24"/>
      <c r="H243" s="23"/>
      <c r="I243" s="24" t="str">
        <f>Source!BO81</f>
        <v/>
      </c>
      <c r="J243" s="24"/>
      <c r="K243" s="23"/>
      <c r="L243" s="25"/>
      <c r="S243">
        <f>ROUND((Source!FX81/100)*((ROUND(Source!AF81*Source!I81, 2)+ROUND(Source!AE81*Source!I81, 2))), 2)</f>
        <v>338.14</v>
      </c>
      <c r="T243">
        <f>Source!X81</f>
        <v>2268.92</v>
      </c>
      <c r="U243">
        <f>ROUND((Source!FY81/100)*((ROUND(Source!AF81*Source!I81, 2)+ROUND(Source!AE81*Source!I81, 2))), 2)</f>
        <v>255.67</v>
      </c>
      <c r="V243">
        <f>Source!Y81</f>
        <v>1715.53</v>
      </c>
    </row>
    <row r="244" spans="1:26" x14ac:dyDescent="0.2">
      <c r="C244" s="18" t="str">
        <f>"Объем: "&amp;Source!I81&amp;"=9/"&amp;"100"</f>
        <v>Объем: 0,09=9/100</v>
      </c>
    </row>
    <row r="245" spans="1:26" ht="14.25" x14ac:dyDescent="0.2">
      <c r="A245" s="38"/>
      <c r="B245" s="39"/>
      <c r="C245" s="39" t="s">
        <v>999</v>
      </c>
      <c r="D245" s="22"/>
      <c r="E245" s="10"/>
      <c r="F245" s="23">
        <f>Source!AO81</f>
        <v>4580.3500000000004</v>
      </c>
      <c r="G245" s="24" t="str">
        <f>Source!DG81</f>
        <v/>
      </c>
      <c r="H245" s="23">
        <f>ROUND(Source!AF81*Source!I81, 2)</f>
        <v>412.23</v>
      </c>
      <c r="I245" s="24"/>
      <c r="J245" s="24">
        <f>IF(Source!BA81&lt;&gt; 0, Source!BA81, 1)</f>
        <v>6.71</v>
      </c>
      <c r="K245" s="23">
        <f>Source!S81</f>
        <v>2766.07</v>
      </c>
      <c r="L245" s="25"/>
      <c r="R245">
        <f>H245</f>
        <v>412.23</v>
      </c>
    </row>
    <row r="246" spans="1:26" ht="14.25" x14ac:dyDescent="0.2">
      <c r="A246" s="38"/>
      <c r="B246" s="39"/>
      <c r="C246" s="39" t="s">
        <v>301</v>
      </c>
      <c r="D246" s="22"/>
      <c r="E246" s="10"/>
      <c r="F246" s="23">
        <f>Source!AM81</f>
        <v>8.5399999999999991</v>
      </c>
      <c r="G246" s="24" t="str">
        <f>Source!DE81</f>
        <v/>
      </c>
      <c r="H246" s="23">
        <f>ROUND(Source!AD81*Source!I81, 2)</f>
        <v>0.77</v>
      </c>
      <c r="I246" s="24"/>
      <c r="J246" s="24">
        <f>IF(Source!BB81&lt;&gt; 0, Source!BB81, 1)</f>
        <v>6.71</v>
      </c>
      <c r="K246" s="23">
        <f>Source!Q81</f>
        <v>5.16</v>
      </c>
      <c r="L246" s="25"/>
    </row>
    <row r="247" spans="1:26" ht="14.25" x14ac:dyDescent="0.2">
      <c r="A247" s="38"/>
      <c r="B247" s="39"/>
      <c r="C247" s="39" t="s">
        <v>1000</v>
      </c>
      <c r="D247" s="22"/>
      <c r="E247" s="10"/>
      <c r="F247" s="23">
        <f>Source!AN81</f>
        <v>1.51</v>
      </c>
      <c r="G247" s="24" t="str">
        <f>Source!DF81</f>
        <v/>
      </c>
      <c r="H247" s="26">
        <f>ROUND(Source!AE81*Source!I81, 2)</f>
        <v>0.14000000000000001</v>
      </c>
      <c r="I247" s="24"/>
      <c r="J247" s="24">
        <f>IF(Source!BS81&lt;&gt; 0, Source!BS81, 1)</f>
        <v>6.71</v>
      </c>
      <c r="K247" s="26">
        <f>Source!R81</f>
        <v>0.91</v>
      </c>
      <c r="L247" s="25"/>
      <c r="R247">
        <f>H247</f>
        <v>0.14000000000000001</v>
      </c>
    </row>
    <row r="248" spans="1:26" ht="14.25" x14ac:dyDescent="0.2">
      <c r="A248" s="38"/>
      <c r="B248" s="39"/>
      <c r="C248" s="39" t="s">
        <v>1006</v>
      </c>
      <c r="D248" s="22"/>
      <c r="E248" s="10"/>
      <c r="F248" s="23">
        <f>Source!AL81</f>
        <v>1822.12</v>
      </c>
      <c r="G248" s="24" t="str">
        <f>Source!DD81</f>
        <v/>
      </c>
      <c r="H248" s="23">
        <f>ROUND(Source!AC81*Source!I81, 2)</f>
        <v>163.99</v>
      </c>
      <c r="I248" s="24"/>
      <c r="J248" s="24">
        <f>IF(Source!BC81&lt;&gt; 0, Source!BC81, 1)</f>
        <v>6.71</v>
      </c>
      <c r="K248" s="23">
        <f>Source!P81</f>
        <v>1100.3800000000001</v>
      </c>
      <c r="L248" s="25"/>
    </row>
    <row r="249" spans="1:26" ht="14.25" x14ac:dyDescent="0.2">
      <c r="A249" s="38"/>
      <c r="B249" s="39"/>
      <c r="C249" s="39" t="s">
        <v>1001</v>
      </c>
      <c r="D249" s="22" t="s">
        <v>1002</v>
      </c>
      <c r="E249" s="10">
        <f>Source!BZ81</f>
        <v>82</v>
      </c>
      <c r="F249" s="42"/>
      <c r="G249" s="24"/>
      <c r="H249" s="23">
        <f>SUM(S243:S252)</f>
        <v>338.14</v>
      </c>
      <c r="I249" s="27"/>
      <c r="J249" s="21">
        <f>Source!AT81</f>
        <v>82</v>
      </c>
      <c r="K249" s="23">
        <f>SUM(T243:T252)</f>
        <v>2268.92</v>
      </c>
      <c r="L249" s="25"/>
    </row>
    <row r="250" spans="1:26" ht="14.25" x14ac:dyDescent="0.2">
      <c r="A250" s="38"/>
      <c r="B250" s="39"/>
      <c r="C250" s="39" t="s">
        <v>1003</v>
      </c>
      <c r="D250" s="22" t="s">
        <v>1002</v>
      </c>
      <c r="E250" s="10">
        <f>Source!CA81</f>
        <v>62</v>
      </c>
      <c r="F250" s="42"/>
      <c r="G250" s="24"/>
      <c r="H250" s="23">
        <f>SUM(U243:U252)</f>
        <v>255.67</v>
      </c>
      <c r="I250" s="27"/>
      <c r="J250" s="21">
        <f>Source!AU81</f>
        <v>62</v>
      </c>
      <c r="K250" s="23">
        <f>SUM(V243:V252)</f>
        <v>1715.53</v>
      </c>
      <c r="L250" s="25"/>
    </row>
    <row r="251" spans="1:26" ht="14.25" x14ac:dyDescent="0.2">
      <c r="A251" s="38"/>
      <c r="B251" s="39"/>
      <c r="C251" s="39" t="s">
        <v>1004</v>
      </c>
      <c r="D251" s="22" t="s">
        <v>1005</v>
      </c>
      <c r="E251" s="10">
        <f>Source!AQ81</f>
        <v>505</v>
      </c>
      <c r="F251" s="23"/>
      <c r="G251" s="24" t="str">
        <f>Source!DI81</f>
        <v/>
      </c>
      <c r="H251" s="23"/>
      <c r="I251" s="24"/>
      <c r="J251" s="24"/>
      <c r="K251" s="23"/>
      <c r="L251" s="34">
        <f>Source!U81</f>
        <v>45.449999999999996</v>
      </c>
    </row>
    <row r="252" spans="1:26" ht="14.25" x14ac:dyDescent="0.2">
      <c r="A252" s="40" t="str">
        <f>Source!E82</f>
        <v>23,1</v>
      </c>
      <c r="B252" s="41" t="str">
        <f>Source!F82</f>
        <v>01.7.07.07</v>
      </c>
      <c r="C252" s="41" t="str">
        <f>Source!G82</f>
        <v>Строительный мусор</v>
      </c>
      <c r="D252" s="28" t="str">
        <f>Source!H82</f>
        <v>т</v>
      </c>
      <c r="E252" s="29">
        <f>Source!I82</f>
        <v>5.3100000000000008E-2</v>
      </c>
      <c r="F252" s="30">
        <f>Source!AL82+Source!AM82+Source!AO82</f>
        <v>0</v>
      </c>
      <c r="G252" s="35" t="s">
        <v>3</v>
      </c>
      <c r="H252" s="30">
        <f>ROUND(Source!AC82*Source!I82, 2)+ROUND(Source!AD82*Source!I82, 2)+ROUND(Source!AF82*Source!I82, 2)</f>
        <v>0</v>
      </c>
      <c r="I252" s="31"/>
      <c r="J252" s="31">
        <f>IF(Source!BC82&lt;&gt; 0, Source!BC82, 1)</f>
        <v>6.71</v>
      </c>
      <c r="K252" s="30">
        <f>Source!O82</f>
        <v>0</v>
      </c>
      <c r="L252" s="36"/>
      <c r="S252">
        <f>ROUND((Source!FX82/100)*((ROUND(Source!AF82*Source!I82, 2)+ROUND(Source!AE82*Source!I82, 2))), 2)</f>
        <v>0</v>
      </c>
      <c r="T252">
        <f>Source!X82</f>
        <v>0</v>
      </c>
      <c r="U252">
        <f>ROUND((Source!FY82/100)*((ROUND(Source!AF82*Source!I82, 2)+ROUND(Source!AE82*Source!I82, 2))), 2)</f>
        <v>0</v>
      </c>
      <c r="V252">
        <f>Source!Y82</f>
        <v>0</v>
      </c>
      <c r="W252">
        <f>IF(Source!BI82&lt;=1,H252, 0)</f>
        <v>0</v>
      </c>
      <c r="X252">
        <f>IF(Source!BI82=2,H252, 0)</f>
        <v>0</v>
      </c>
      <c r="Y252">
        <f>IF(Source!BI82=3,H252, 0)</f>
        <v>0</v>
      </c>
      <c r="Z252">
        <f>IF(Source!BI82=4,H252, 0)</f>
        <v>0</v>
      </c>
    </row>
    <row r="253" spans="1:26" ht="15" x14ac:dyDescent="0.25">
      <c r="G253" s="45">
        <f>H245+H246+H248+H249+H250+SUM(H252:H252)</f>
        <v>1170.8</v>
      </c>
      <c r="H253" s="45"/>
      <c r="J253" s="45">
        <f>K245+K246+K248+K249+K250+SUM(K252:K252)</f>
        <v>7856.06</v>
      </c>
      <c r="K253" s="45"/>
      <c r="L253" s="33">
        <f>Source!U81</f>
        <v>45.449999999999996</v>
      </c>
      <c r="O253" s="19">
        <f>G253</f>
        <v>1170.8</v>
      </c>
      <c r="P253" s="19">
        <f>J253</f>
        <v>7856.06</v>
      </c>
      <c r="Q253" s="19">
        <f>L253</f>
        <v>45.449999999999996</v>
      </c>
      <c r="W253">
        <f>IF(Source!BI81&lt;=1,H245+H246+H248+H249+H250, 0)</f>
        <v>1170.8</v>
      </c>
      <c r="X253">
        <f>IF(Source!BI81=2,H245+H246+H248+H249+H250, 0)</f>
        <v>0</v>
      </c>
      <c r="Y253">
        <f>IF(Source!BI81=3,H245+H246+H248+H249+H250, 0)</f>
        <v>0</v>
      </c>
      <c r="Z253">
        <f>IF(Source!BI81=4,H245+H246+H248+H249+H250, 0)</f>
        <v>0</v>
      </c>
    </row>
    <row r="254" spans="1:26" ht="28.5" x14ac:dyDescent="0.2">
      <c r="A254" s="38" t="str">
        <f>Source!E83</f>
        <v>24</v>
      </c>
      <c r="B254" s="39" t="str">
        <f>Source!F83</f>
        <v>69-15-1</v>
      </c>
      <c r="C254" s="39" t="str">
        <f>Source!G83</f>
        <v>Затаривание строительного мусора в мешки</v>
      </c>
      <c r="D254" s="22" t="str">
        <f>Source!H83</f>
        <v>т</v>
      </c>
      <c r="E254" s="10">
        <f>Source!I83</f>
        <v>38</v>
      </c>
      <c r="F254" s="23">
        <f>Source!AL83+Source!AM83+Source!AO83</f>
        <v>23.81</v>
      </c>
      <c r="G254" s="24"/>
      <c r="H254" s="23"/>
      <c r="I254" s="24" t="str">
        <f>Source!BO83</f>
        <v/>
      </c>
      <c r="J254" s="24"/>
      <c r="K254" s="23"/>
      <c r="L254" s="25"/>
      <c r="S254">
        <f>ROUND((Source!FX83/100)*((ROUND(Source!AF83*Source!I83, 2)+ROUND(Source!AE83*Source!I83, 2))), 2)</f>
        <v>219.63</v>
      </c>
      <c r="T254">
        <f>Source!X83</f>
        <v>1473.73</v>
      </c>
      <c r="U254">
        <f>ROUND((Source!FY83/100)*((ROUND(Source!AF83*Source!I83, 2)+ROUND(Source!AE83*Source!I83, 2))), 2)</f>
        <v>140.79</v>
      </c>
      <c r="V254">
        <f>Source!Y83</f>
        <v>944.7</v>
      </c>
    </row>
    <row r="255" spans="1:26" ht="14.25" x14ac:dyDescent="0.2">
      <c r="A255" s="38"/>
      <c r="B255" s="39"/>
      <c r="C255" s="39" t="s">
        <v>999</v>
      </c>
      <c r="D255" s="22"/>
      <c r="E255" s="10"/>
      <c r="F255" s="23">
        <f>Source!AO83</f>
        <v>7.41</v>
      </c>
      <c r="G255" s="24" t="str">
        <f>Source!DG83</f>
        <v/>
      </c>
      <c r="H255" s="23">
        <f>ROUND(Source!AF83*Source!I83, 2)</f>
        <v>281.58</v>
      </c>
      <c r="I255" s="24"/>
      <c r="J255" s="24">
        <f>IF(Source!BA83&lt;&gt; 0, Source!BA83, 1)</f>
        <v>6.71</v>
      </c>
      <c r="K255" s="23">
        <f>Source!S83</f>
        <v>1889.4</v>
      </c>
      <c r="L255" s="25"/>
      <c r="R255">
        <f>H255</f>
        <v>281.58</v>
      </c>
    </row>
    <row r="256" spans="1:26" ht="14.25" x14ac:dyDescent="0.2">
      <c r="A256" s="38"/>
      <c r="B256" s="39"/>
      <c r="C256" s="39" t="s">
        <v>1006</v>
      </c>
      <c r="D256" s="22"/>
      <c r="E256" s="10"/>
      <c r="F256" s="23">
        <f>Source!AL83</f>
        <v>16.399999999999999</v>
      </c>
      <c r="G256" s="24" t="str">
        <f>Source!DD83</f>
        <v/>
      </c>
      <c r="H256" s="23">
        <f>ROUND(Source!AC83*Source!I83, 2)</f>
        <v>623.20000000000005</v>
      </c>
      <c r="I256" s="24"/>
      <c r="J256" s="24">
        <f>IF(Source!BC83&lt;&gt; 0, Source!BC83, 1)</f>
        <v>6.71</v>
      </c>
      <c r="K256" s="23">
        <f>Source!P83</f>
        <v>4181.67</v>
      </c>
      <c r="L256" s="25"/>
    </row>
    <row r="257" spans="1:26" ht="14.25" x14ac:dyDescent="0.2">
      <c r="A257" s="38"/>
      <c r="B257" s="39"/>
      <c r="C257" s="39" t="s">
        <v>1001</v>
      </c>
      <c r="D257" s="22" t="s">
        <v>1002</v>
      </c>
      <c r="E257" s="10">
        <f>Source!BZ83</f>
        <v>78</v>
      </c>
      <c r="F257" s="42"/>
      <c r="G257" s="24"/>
      <c r="H257" s="23">
        <f>SUM(S254:S259)</f>
        <v>219.63</v>
      </c>
      <c r="I257" s="27"/>
      <c r="J257" s="21">
        <f>Source!AT83</f>
        <v>78</v>
      </c>
      <c r="K257" s="23">
        <f>SUM(T254:T259)</f>
        <v>1473.73</v>
      </c>
      <c r="L257" s="25"/>
    </row>
    <row r="258" spans="1:26" ht="14.25" x14ac:dyDescent="0.2">
      <c r="A258" s="38"/>
      <c r="B258" s="39"/>
      <c r="C258" s="39" t="s">
        <v>1003</v>
      </c>
      <c r="D258" s="22" t="s">
        <v>1002</v>
      </c>
      <c r="E258" s="10">
        <f>Source!CA83</f>
        <v>50</v>
      </c>
      <c r="F258" s="42"/>
      <c r="G258" s="24"/>
      <c r="H258" s="23">
        <f>SUM(U254:U259)</f>
        <v>140.79</v>
      </c>
      <c r="I258" s="27"/>
      <c r="J258" s="21">
        <f>Source!AU83</f>
        <v>50</v>
      </c>
      <c r="K258" s="23">
        <f>SUM(V254:V259)</f>
        <v>944.7</v>
      </c>
      <c r="L258" s="25"/>
    </row>
    <row r="259" spans="1:26" ht="14.25" x14ac:dyDescent="0.2">
      <c r="A259" s="40"/>
      <c r="B259" s="41"/>
      <c r="C259" s="41" t="s">
        <v>1004</v>
      </c>
      <c r="D259" s="28" t="s">
        <v>1005</v>
      </c>
      <c r="E259" s="29">
        <f>Source!AQ83</f>
        <v>1.03</v>
      </c>
      <c r="F259" s="30"/>
      <c r="G259" s="31" t="str">
        <f>Source!DI83</f>
        <v/>
      </c>
      <c r="H259" s="30"/>
      <c r="I259" s="31"/>
      <c r="J259" s="31"/>
      <c r="K259" s="30"/>
      <c r="L259" s="32">
        <f>Source!U83</f>
        <v>39.14</v>
      </c>
    </row>
    <row r="260" spans="1:26" ht="15" x14ac:dyDescent="0.25">
      <c r="G260" s="45">
        <f>H255+H256+H257+H258</f>
        <v>1265.1999999999998</v>
      </c>
      <c r="H260" s="45"/>
      <c r="J260" s="45">
        <f>K255+K256+K257+K258</f>
        <v>8489.5</v>
      </c>
      <c r="K260" s="45"/>
      <c r="L260" s="33">
        <f>Source!U83</f>
        <v>39.14</v>
      </c>
      <c r="O260" s="19">
        <f>G260</f>
        <v>1265.1999999999998</v>
      </c>
      <c r="P260" s="19">
        <f>J260</f>
        <v>8489.5</v>
      </c>
      <c r="Q260" s="19">
        <f>L260</f>
        <v>39.14</v>
      </c>
      <c r="W260">
        <f>IF(Source!BI83&lt;=1,H255+H256+H257+H258, 0)</f>
        <v>1265.1999999999998</v>
      </c>
      <c r="X260">
        <f>IF(Source!BI83=2,H255+H256+H257+H258, 0)</f>
        <v>0</v>
      </c>
      <c r="Y260">
        <f>IF(Source!BI83=3,H255+H256+H257+H258, 0)</f>
        <v>0</v>
      </c>
      <c r="Z260">
        <f>IF(Source!BI83=4,H255+H256+H257+H258, 0)</f>
        <v>0</v>
      </c>
    </row>
    <row r="261" spans="1:26" ht="42.75" x14ac:dyDescent="0.2">
      <c r="A261" s="40" t="str">
        <f>Source!E84</f>
        <v>25</v>
      </c>
      <c r="B261" s="41" t="str">
        <f>Source!F84</f>
        <v>т01-01-01-041</v>
      </c>
      <c r="C261" s="41" t="str">
        <f>Source!G84</f>
        <v>Погрузочные работы при автомобильных перевозках мусора строительного с погрузкой вручную</v>
      </c>
      <c r="D261" s="28" t="str">
        <f>Source!H84</f>
        <v>1 Т ГРУЗА</v>
      </c>
      <c r="E261" s="29">
        <f>Source!I84</f>
        <v>38</v>
      </c>
      <c r="F261" s="30">
        <f>Source!AK84</f>
        <v>42.98</v>
      </c>
      <c r="G261" s="31" t="str">
        <f>Source!DC84</f>
        <v/>
      </c>
      <c r="H261" s="30">
        <f>ROUND(Source!AB84*Source!I84, 2)</f>
        <v>1633.24</v>
      </c>
      <c r="I261" s="31" t="str">
        <f>Source!BO84</f>
        <v/>
      </c>
      <c r="J261" s="31">
        <f>Source!AZ84</f>
        <v>6.71</v>
      </c>
      <c r="K261" s="30">
        <f>Source!GM84</f>
        <v>10959.04</v>
      </c>
      <c r="L261" s="36"/>
      <c r="S261">
        <f>ROUND((Source!FX84/100)*((ROUND(0*Source!I84, 2)+ROUND(0*Source!I84, 2))), 2)</f>
        <v>0</v>
      </c>
      <c r="T261">
        <f>Source!X84</f>
        <v>0</v>
      </c>
      <c r="U261">
        <f>ROUND((Source!FY84/100)*((ROUND(0*Source!I84, 2)+ROUND(0*Source!I84, 2))), 2)</f>
        <v>0</v>
      </c>
      <c r="V261">
        <f>Source!Y84</f>
        <v>0</v>
      </c>
    </row>
    <row r="262" spans="1:26" ht="15" x14ac:dyDescent="0.25">
      <c r="G262" s="45">
        <f>H261</f>
        <v>1633.24</v>
      </c>
      <c r="H262" s="45"/>
      <c r="J262" s="45">
        <f>K261</f>
        <v>10959.04</v>
      </c>
      <c r="K262" s="45"/>
      <c r="L262" s="33">
        <f>Source!U84</f>
        <v>0</v>
      </c>
      <c r="O262" s="19">
        <f>G262</f>
        <v>1633.24</v>
      </c>
      <c r="P262" s="19">
        <f>J262</f>
        <v>10959.04</v>
      </c>
      <c r="Q262" s="19">
        <f>L262</f>
        <v>0</v>
      </c>
      <c r="W262">
        <f>IF(Source!BI84&lt;=1,H261, 0)</f>
        <v>1633.24</v>
      </c>
      <c r="X262">
        <f>IF(Source!BI84=2,H261, 0)</f>
        <v>0</v>
      </c>
      <c r="Y262">
        <f>IF(Source!BI84=3,H261, 0)</f>
        <v>0</v>
      </c>
      <c r="Z262">
        <f>IF(Source!BI84=4,H261, 0)</f>
        <v>0</v>
      </c>
    </row>
    <row r="263" spans="1:26" ht="57" x14ac:dyDescent="0.2">
      <c r="A263" s="40" t="str">
        <f>Source!E85</f>
        <v>26</v>
      </c>
      <c r="B263" s="41" t="str">
        <f>Source!F85</f>
        <v>т03-01-01-035</v>
      </c>
      <c r="C263" s="41" t="str">
        <f>Source!G85</f>
        <v>Перевозка грузов I класса автомобилями бортовыми грузоподъемностью до 15 т на расстояние до 35 км</v>
      </c>
      <c r="D263" s="28" t="str">
        <f>Source!H85</f>
        <v>1 Т ГРУЗА</v>
      </c>
      <c r="E263" s="29">
        <f>Source!I85</f>
        <v>38</v>
      </c>
      <c r="F263" s="30">
        <f>Source!AK85</f>
        <v>19.54</v>
      </c>
      <c r="G263" s="31" t="str">
        <f>Source!DC85</f>
        <v/>
      </c>
      <c r="H263" s="30">
        <f>ROUND(Source!AB85*Source!I85, 2)</f>
        <v>742.52</v>
      </c>
      <c r="I263" s="31" t="str">
        <f>Source!BO85</f>
        <v/>
      </c>
      <c r="J263" s="31">
        <f>Source!AZ85</f>
        <v>6.71</v>
      </c>
      <c r="K263" s="30">
        <f>Source!GM85</f>
        <v>4982.3100000000004</v>
      </c>
      <c r="L263" s="36"/>
      <c r="S263">
        <f>ROUND((Source!FX85/100)*((ROUND(0*Source!I85, 2)+ROUND(0*Source!I85, 2))), 2)</f>
        <v>0</v>
      </c>
      <c r="T263">
        <f>Source!X85</f>
        <v>0</v>
      </c>
      <c r="U263">
        <f>ROUND((Source!FY85/100)*((ROUND(0*Source!I85, 2)+ROUND(0*Source!I85, 2))), 2)</f>
        <v>0</v>
      </c>
      <c r="V263">
        <f>Source!Y85</f>
        <v>0</v>
      </c>
    </row>
    <row r="264" spans="1:26" ht="15" x14ac:dyDescent="0.25">
      <c r="G264" s="45">
        <f>H263</f>
        <v>742.52</v>
      </c>
      <c r="H264" s="45"/>
      <c r="J264" s="45">
        <f>K263</f>
        <v>4982.3100000000004</v>
      </c>
      <c r="K264" s="45"/>
      <c r="L264" s="33">
        <f>Source!U85</f>
        <v>0</v>
      </c>
      <c r="O264" s="19">
        <f>G264</f>
        <v>742.52</v>
      </c>
      <c r="P264" s="19">
        <f>J264</f>
        <v>4982.3100000000004</v>
      </c>
      <c r="Q264" s="19">
        <f>L264</f>
        <v>0</v>
      </c>
      <c r="W264">
        <f>IF(Source!BI85&lt;=1,H263, 0)</f>
        <v>742.52</v>
      </c>
      <c r="X264">
        <f>IF(Source!BI85=2,H263, 0)</f>
        <v>0</v>
      </c>
      <c r="Y264">
        <f>IF(Source!BI85=3,H263, 0)</f>
        <v>0</v>
      </c>
      <c r="Z264">
        <f>IF(Source!BI85=4,H263, 0)</f>
        <v>0</v>
      </c>
    </row>
    <row r="265" spans="1:26" ht="15" x14ac:dyDescent="0.25">
      <c r="A265" s="47" t="str">
        <f>CONCATENATE("Итого по разделу: ",IF(Source!G87&lt;&gt;"Новый раздел", Source!G87, ""))</f>
        <v>Итого по разделу: 1 Общестроительные работы</v>
      </c>
      <c r="B265" s="47"/>
      <c r="C265" s="47"/>
      <c r="D265" s="47"/>
      <c r="E265" s="47"/>
      <c r="F265" s="47"/>
      <c r="G265" s="46">
        <f>SUM(O22:O264)</f>
        <v>240559.69000000003</v>
      </c>
      <c r="H265" s="46"/>
      <c r="I265" s="20"/>
      <c r="J265" s="46">
        <f>SUM(P22:P264)</f>
        <v>1614767.19</v>
      </c>
      <c r="K265" s="46"/>
      <c r="L265" s="33">
        <f>SUM(Q22:Q264)</f>
        <v>1886.8039583999998</v>
      </c>
    </row>
    <row r="266" spans="1:26" ht="16.5" x14ac:dyDescent="0.25">
      <c r="A266" s="48" t="str">
        <f>CONCATENATE("Раздел: ",IF(Source!G116&lt;&gt;"Новый раздел", Source!G116, ""))</f>
        <v>Раздел: 2 Отопление</v>
      </c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</row>
    <row r="267" spans="1:26" ht="14.25" x14ac:dyDescent="0.2">
      <c r="A267" s="38" t="str">
        <f>Source!E120</f>
        <v>27</v>
      </c>
      <c r="B267" s="39" t="str">
        <f>Source!F120</f>
        <v>65-19-1</v>
      </c>
      <c r="C267" s="39" t="str">
        <f>Source!G120</f>
        <v>Демонтаж радиаторов весом до 80 кг</v>
      </c>
      <c r="D267" s="22" t="str">
        <f>Source!H120</f>
        <v>100 ШТ</v>
      </c>
      <c r="E267" s="10">
        <f>Source!I120</f>
        <v>0.23</v>
      </c>
      <c r="F267" s="23">
        <f>Source!AL120+Source!AM120+Source!AO120</f>
        <v>935.72</v>
      </c>
      <c r="G267" s="24"/>
      <c r="H267" s="23"/>
      <c r="I267" s="24" t="str">
        <f>Source!BO120</f>
        <v/>
      </c>
      <c r="J267" s="24"/>
      <c r="K267" s="23"/>
      <c r="L267" s="25"/>
      <c r="S267">
        <f>ROUND((Source!FX120/100)*((ROUND(Source!AF120*Source!I120, 2)+ROUND(Source!AE120*Source!I120, 2))), 2)</f>
        <v>152.49</v>
      </c>
      <c r="T267">
        <f>Source!X120</f>
        <v>1023.2</v>
      </c>
      <c r="U267">
        <f>ROUND((Source!FY120/100)*((ROUND(Source!AF120*Source!I120, 2)+ROUND(Source!AE120*Source!I120, 2))), 2)</f>
        <v>103.04</v>
      </c>
      <c r="V267">
        <f>Source!Y120</f>
        <v>691.35</v>
      </c>
    </row>
    <row r="268" spans="1:26" ht="14.25" x14ac:dyDescent="0.2">
      <c r="A268" s="38"/>
      <c r="B268" s="39"/>
      <c r="C268" s="39" t="s">
        <v>999</v>
      </c>
      <c r="D268" s="22"/>
      <c r="E268" s="10"/>
      <c r="F268" s="23">
        <f>Source!AO120</f>
        <v>865.7</v>
      </c>
      <c r="G268" s="24" t="str">
        <f>Source!DG120</f>
        <v/>
      </c>
      <c r="H268" s="23">
        <f>ROUND(Source!AF120*Source!I120, 2)</f>
        <v>199.11</v>
      </c>
      <c r="I268" s="24"/>
      <c r="J268" s="24">
        <f>IF(Source!BA120&lt;&gt; 0, Source!BA120, 1)</f>
        <v>6.71</v>
      </c>
      <c r="K268" s="23">
        <f>Source!S120</f>
        <v>1336.03</v>
      </c>
      <c r="L268" s="25"/>
      <c r="R268">
        <f>H268</f>
        <v>199.11</v>
      </c>
    </row>
    <row r="269" spans="1:26" ht="14.25" x14ac:dyDescent="0.2">
      <c r="A269" s="38"/>
      <c r="B269" s="39"/>
      <c r="C269" s="39" t="s">
        <v>301</v>
      </c>
      <c r="D269" s="22"/>
      <c r="E269" s="10"/>
      <c r="F269" s="23">
        <f>Source!AM120</f>
        <v>70.02</v>
      </c>
      <c r="G269" s="24" t="str">
        <f>Source!DE120</f>
        <v/>
      </c>
      <c r="H269" s="23">
        <f>ROUND(Source!AD120*Source!I120, 2)</f>
        <v>16.100000000000001</v>
      </c>
      <c r="I269" s="24"/>
      <c r="J269" s="24">
        <f>IF(Source!BB120&lt;&gt; 0, Source!BB120, 1)</f>
        <v>6.71</v>
      </c>
      <c r="K269" s="23">
        <f>Source!Q120</f>
        <v>108.06</v>
      </c>
      <c r="L269" s="25"/>
    </row>
    <row r="270" spans="1:26" ht="14.25" x14ac:dyDescent="0.2">
      <c r="A270" s="38"/>
      <c r="B270" s="39"/>
      <c r="C270" s="39" t="s">
        <v>1000</v>
      </c>
      <c r="D270" s="22"/>
      <c r="E270" s="10"/>
      <c r="F270" s="23">
        <f>Source!AN120</f>
        <v>30.24</v>
      </c>
      <c r="G270" s="24" t="str">
        <f>Source!DF120</f>
        <v/>
      </c>
      <c r="H270" s="26">
        <f>ROUND(Source!AE120*Source!I120, 2)</f>
        <v>6.96</v>
      </c>
      <c r="I270" s="24"/>
      <c r="J270" s="24">
        <f>IF(Source!BS120&lt;&gt; 0, Source!BS120, 1)</f>
        <v>6.71</v>
      </c>
      <c r="K270" s="26">
        <f>Source!R120</f>
        <v>46.67</v>
      </c>
      <c r="L270" s="25"/>
      <c r="R270">
        <f>H270</f>
        <v>6.96</v>
      </c>
    </row>
    <row r="271" spans="1:26" ht="14.25" x14ac:dyDescent="0.2">
      <c r="A271" s="38"/>
      <c r="B271" s="39"/>
      <c r="C271" s="39" t="s">
        <v>1001</v>
      </c>
      <c r="D271" s="22" t="s">
        <v>1002</v>
      </c>
      <c r="E271" s="10">
        <f>Source!BZ120</f>
        <v>74</v>
      </c>
      <c r="F271" s="42"/>
      <c r="G271" s="24"/>
      <c r="H271" s="23">
        <f>SUM(S267:S273)</f>
        <v>152.49</v>
      </c>
      <c r="I271" s="27"/>
      <c r="J271" s="21">
        <f>Source!AT120</f>
        <v>74</v>
      </c>
      <c r="K271" s="23">
        <f>SUM(T267:T273)</f>
        <v>1023.2</v>
      </c>
      <c r="L271" s="25"/>
    </row>
    <row r="272" spans="1:26" ht="14.25" x14ac:dyDescent="0.2">
      <c r="A272" s="38"/>
      <c r="B272" s="39"/>
      <c r="C272" s="39" t="s">
        <v>1003</v>
      </c>
      <c r="D272" s="22" t="s">
        <v>1002</v>
      </c>
      <c r="E272" s="10">
        <f>Source!CA120</f>
        <v>50</v>
      </c>
      <c r="F272" s="42"/>
      <c r="G272" s="24"/>
      <c r="H272" s="23">
        <f>SUM(U267:U273)</f>
        <v>103.04</v>
      </c>
      <c r="I272" s="27"/>
      <c r="J272" s="21">
        <f>Source!AU120</f>
        <v>50</v>
      </c>
      <c r="K272" s="23">
        <f>SUM(V267:V273)</f>
        <v>691.35</v>
      </c>
      <c r="L272" s="25"/>
    </row>
    <row r="273" spans="1:26" ht="14.25" x14ac:dyDescent="0.2">
      <c r="A273" s="40"/>
      <c r="B273" s="41"/>
      <c r="C273" s="41" t="s">
        <v>1004</v>
      </c>
      <c r="D273" s="28" t="s">
        <v>1005</v>
      </c>
      <c r="E273" s="29">
        <f>Source!AQ120</f>
        <v>110</v>
      </c>
      <c r="F273" s="30"/>
      <c r="G273" s="31" t="str">
        <f>Source!DI120</f>
        <v/>
      </c>
      <c r="H273" s="30"/>
      <c r="I273" s="31"/>
      <c r="J273" s="31"/>
      <c r="K273" s="30"/>
      <c r="L273" s="32">
        <f>Source!U120</f>
        <v>25.3</v>
      </c>
    </row>
    <row r="274" spans="1:26" ht="15" x14ac:dyDescent="0.25">
      <c r="G274" s="45">
        <f>H268+H269+H271+H272</f>
        <v>470.74000000000007</v>
      </c>
      <c r="H274" s="45"/>
      <c r="J274" s="45">
        <f>K268+K269+K271+K272</f>
        <v>3158.64</v>
      </c>
      <c r="K274" s="45"/>
      <c r="L274" s="33">
        <f>Source!U120</f>
        <v>25.3</v>
      </c>
      <c r="O274" s="19">
        <f>G274</f>
        <v>470.74000000000007</v>
      </c>
      <c r="P274" s="19">
        <f>J274</f>
        <v>3158.64</v>
      </c>
      <c r="Q274" s="19">
        <f>L274</f>
        <v>25.3</v>
      </c>
      <c r="W274">
        <f>IF(Source!BI120&lt;=1,H268+H269+H271+H272, 0)</f>
        <v>470.74000000000007</v>
      </c>
      <c r="X274">
        <f>IF(Source!BI120=2,H268+H269+H271+H272, 0)</f>
        <v>0</v>
      </c>
      <c r="Y274">
        <f>IF(Source!BI120=3,H268+H269+H271+H272, 0)</f>
        <v>0</v>
      </c>
      <c r="Z274">
        <f>IF(Source!BI120=4,H268+H269+H271+H272, 0)</f>
        <v>0</v>
      </c>
    </row>
    <row r="275" spans="1:26" ht="14.25" x14ac:dyDescent="0.2">
      <c r="A275" s="38" t="str">
        <f>Source!E121</f>
        <v>28</v>
      </c>
      <c r="B275" s="39" t="str">
        <f>Source!F121</f>
        <v>18-03-001-02</v>
      </c>
      <c r="C275" s="39" t="str">
        <f>Source!G121</f>
        <v>Установка радиаторов стальных</v>
      </c>
      <c r="D275" s="22" t="str">
        <f>Source!H121</f>
        <v>100 квт</v>
      </c>
      <c r="E275" s="10">
        <f>Source!I121</f>
        <v>0.52991999999999995</v>
      </c>
      <c r="F275" s="23">
        <f>Source!AL121+Source!AM121+Source!AO121</f>
        <v>1942.27</v>
      </c>
      <c r="G275" s="24"/>
      <c r="H275" s="23"/>
      <c r="I275" s="24" t="str">
        <f>Source!BO121</f>
        <v/>
      </c>
      <c r="J275" s="24"/>
      <c r="K275" s="23"/>
      <c r="L275" s="25"/>
      <c r="S275">
        <f>ROUND((Source!FX121/100)*((ROUND(Source!AF121*Source!I121, 2)+ROUND(Source!AE121*Source!I121, 2))), 2)</f>
        <v>382.87</v>
      </c>
      <c r="T275">
        <f>Source!X121</f>
        <v>2564.63</v>
      </c>
      <c r="U275">
        <f>ROUND((Source!FY121/100)*((ROUND(Source!AF121*Source!I121, 2)+ROUND(Source!AE121*Source!I121, 2))), 2)</f>
        <v>234.47</v>
      </c>
      <c r="V275">
        <f>Source!Y121</f>
        <v>1583.38</v>
      </c>
    </row>
    <row r="276" spans="1:26" ht="14.25" x14ac:dyDescent="0.2">
      <c r="A276" s="38"/>
      <c r="B276" s="39"/>
      <c r="C276" s="39" t="s">
        <v>999</v>
      </c>
      <c r="D276" s="22"/>
      <c r="E276" s="10"/>
      <c r="F276" s="23">
        <f>Source!AO121</f>
        <v>588.42999999999995</v>
      </c>
      <c r="G276" s="24" t="str">
        <f>Source!DG121</f>
        <v/>
      </c>
      <c r="H276" s="23">
        <f>ROUND(Source!AF121*Source!I121, 2)</f>
        <v>311.82</v>
      </c>
      <c r="I276" s="24"/>
      <c r="J276" s="24">
        <f>IF(Source!BA121&lt;&gt; 0, Source!BA121, 1)</f>
        <v>6.71</v>
      </c>
      <c r="K276" s="23">
        <f>Source!S121</f>
        <v>2092.3200000000002</v>
      </c>
      <c r="L276" s="25"/>
      <c r="R276">
        <f>H276</f>
        <v>311.82</v>
      </c>
    </row>
    <row r="277" spans="1:26" ht="14.25" x14ac:dyDescent="0.2">
      <c r="A277" s="38"/>
      <c r="B277" s="39"/>
      <c r="C277" s="39" t="s">
        <v>301</v>
      </c>
      <c r="D277" s="22"/>
      <c r="E277" s="10"/>
      <c r="F277" s="23">
        <f>Source!AM121</f>
        <v>192.58</v>
      </c>
      <c r="G277" s="24" t="str">
        <f>Source!DE121</f>
        <v/>
      </c>
      <c r="H277" s="23">
        <f>ROUND(Source!AD121*Source!I121, 2)</f>
        <v>102.05</v>
      </c>
      <c r="I277" s="24"/>
      <c r="J277" s="24">
        <f>IF(Source!BB121&lt;&gt; 0, Source!BB121, 1)</f>
        <v>6.71</v>
      </c>
      <c r="K277" s="23">
        <f>Source!Q121</f>
        <v>684.77</v>
      </c>
      <c r="L277" s="25"/>
    </row>
    <row r="278" spans="1:26" ht="14.25" x14ac:dyDescent="0.2">
      <c r="A278" s="38"/>
      <c r="B278" s="39"/>
      <c r="C278" s="39" t="s">
        <v>1000</v>
      </c>
      <c r="D278" s="22"/>
      <c r="E278" s="10"/>
      <c r="F278" s="23">
        <f>Source!AN121</f>
        <v>38.75</v>
      </c>
      <c r="G278" s="24" t="str">
        <f>Source!DF121</f>
        <v/>
      </c>
      <c r="H278" s="26">
        <f>ROUND(Source!AE121*Source!I121, 2)</f>
        <v>20.53</v>
      </c>
      <c r="I278" s="24"/>
      <c r="J278" s="24">
        <f>IF(Source!BS121&lt;&gt; 0, Source!BS121, 1)</f>
        <v>6.71</v>
      </c>
      <c r="K278" s="26">
        <f>Source!R121</f>
        <v>137.79</v>
      </c>
      <c r="L278" s="25"/>
      <c r="R278">
        <f>H278</f>
        <v>20.53</v>
      </c>
    </row>
    <row r="279" spans="1:26" ht="14.25" x14ac:dyDescent="0.2">
      <c r="A279" s="38"/>
      <c r="B279" s="39"/>
      <c r="C279" s="39" t="s">
        <v>1006</v>
      </c>
      <c r="D279" s="22"/>
      <c r="E279" s="10"/>
      <c r="F279" s="23">
        <f>Source!AL121</f>
        <v>1161.26</v>
      </c>
      <c r="G279" s="24" t="str">
        <f>Source!DD121</f>
        <v/>
      </c>
      <c r="H279" s="23">
        <f>ROUND(Source!AC121*Source!I121, 2)</f>
        <v>615.37</v>
      </c>
      <c r="I279" s="24"/>
      <c r="J279" s="24">
        <f>IF(Source!BC121&lt;&gt; 0, Source!BC121, 1)</f>
        <v>6.71</v>
      </c>
      <c r="K279" s="23">
        <f>Source!P121</f>
        <v>4129.17</v>
      </c>
      <c r="L279" s="25"/>
    </row>
    <row r="280" spans="1:26" ht="14.25" x14ac:dyDescent="0.2">
      <c r="A280" s="38"/>
      <c r="B280" s="39"/>
      <c r="C280" s="39" t="s">
        <v>1001</v>
      </c>
      <c r="D280" s="22" t="s">
        <v>1002</v>
      </c>
      <c r="E280" s="10">
        <f>Source!BZ121</f>
        <v>128</v>
      </c>
      <c r="F280" s="49" t="str">
        <f>CONCATENATE(" )", Source!DL121, Source!FT121, "=", Source!FX121)</f>
        <v xml:space="preserve"> )*0,9=115,2</v>
      </c>
      <c r="G280" s="50"/>
      <c r="H280" s="23">
        <f>SUM(S275:S284)</f>
        <v>382.87</v>
      </c>
      <c r="I280" s="27"/>
      <c r="J280" s="21">
        <f>Source!AT121</f>
        <v>115</v>
      </c>
      <c r="K280" s="23">
        <f>SUM(T275:T284)</f>
        <v>2564.63</v>
      </c>
      <c r="L280" s="25"/>
    </row>
    <row r="281" spans="1:26" ht="14.25" x14ac:dyDescent="0.2">
      <c r="A281" s="38"/>
      <c r="B281" s="39"/>
      <c r="C281" s="39" t="s">
        <v>1003</v>
      </c>
      <c r="D281" s="22" t="s">
        <v>1002</v>
      </c>
      <c r="E281" s="10">
        <f>Source!CA121</f>
        <v>83</v>
      </c>
      <c r="F281" s="49" t="str">
        <f>CONCATENATE(" )", Source!DM121, Source!FU121, "=", Source!FY121)</f>
        <v xml:space="preserve"> )*0,85=70,55</v>
      </c>
      <c r="G281" s="50"/>
      <c r="H281" s="23">
        <f>SUM(U275:U284)</f>
        <v>234.47</v>
      </c>
      <c r="I281" s="27"/>
      <c r="J281" s="21">
        <f>Source!AU121</f>
        <v>71</v>
      </c>
      <c r="K281" s="23">
        <f>SUM(V275:V284)</f>
        <v>1583.38</v>
      </c>
      <c r="L281" s="25"/>
    </row>
    <row r="282" spans="1:26" ht="14.25" x14ac:dyDescent="0.2">
      <c r="A282" s="38"/>
      <c r="B282" s="39"/>
      <c r="C282" s="39" t="s">
        <v>1004</v>
      </c>
      <c r="D282" s="22" t="s">
        <v>1005</v>
      </c>
      <c r="E282" s="10">
        <f>Source!AQ121</f>
        <v>65.599999999999994</v>
      </c>
      <c r="F282" s="23"/>
      <c r="G282" s="24" t="str">
        <f>Source!DI121</f>
        <v/>
      </c>
      <c r="H282" s="23"/>
      <c r="I282" s="24"/>
      <c r="J282" s="24"/>
      <c r="K282" s="23"/>
      <c r="L282" s="34">
        <f>Source!U121</f>
        <v>34.762751999999992</v>
      </c>
    </row>
    <row r="283" spans="1:26" ht="42.75" x14ac:dyDescent="0.2">
      <c r="A283" s="38" t="str">
        <f>Source!E122</f>
        <v>28,1</v>
      </c>
      <c r="B283" s="39" t="str">
        <f>Source!F122</f>
        <v>18.5.10.05-0009</v>
      </c>
      <c r="C283" s="39" t="str">
        <f>Source!G122</f>
        <v>Радиаторы биметаллические, марка «Rifar-A 500», количество секций 12, мощность 2304 Вт прим.</v>
      </c>
      <c r="D283" s="22" t="str">
        <f>Source!H122</f>
        <v>шт.</v>
      </c>
      <c r="E283" s="10">
        <f>Source!I122</f>
        <v>23.000000000000004</v>
      </c>
      <c r="F283" s="23">
        <f>Source!AL122+Source!AM122+Source!AO122</f>
        <v>1503.69</v>
      </c>
      <c r="G283" s="37" t="s">
        <v>3</v>
      </c>
      <c r="H283" s="23">
        <f>ROUND(Source!AC122*Source!I122, 2)+ROUND(Source!AD122*Source!I122, 2)+ROUND(Source!AF122*Source!I122, 2)</f>
        <v>34584.870000000003</v>
      </c>
      <c r="I283" s="24"/>
      <c r="J283" s="24">
        <f>IF(Source!BC122&lt;&gt; 0, Source!BC122, 1)</f>
        <v>6.71</v>
      </c>
      <c r="K283" s="23">
        <f>Source!O122</f>
        <v>232064.48</v>
      </c>
      <c r="L283" s="25"/>
      <c r="S283">
        <f>ROUND((Source!FX122/100)*((ROUND(Source!AF122*Source!I122, 2)+ROUND(Source!AE122*Source!I122, 2))), 2)</f>
        <v>0</v>
      </c>
      <c r="T283">
        <f>Source!X122</f>
        <v>0</v>
      </c>
      <c r="U283">
        <f>ROUND((Source!FY122/100)*((ROUND(Source!AF122*Source!I122, 2)+ROUND(Source!AE122*Source!I122, 2))), 2)</f>
        <v>0</v>
      </c>
      <c r="V283">
        <f>Source!Y122</f>
        <v>0</v>
      </c>
      <c r="W283">
        <f>IF(Source!BI122&lt;=1,H283, 0)</f>
        <v>34584.870000000003</v>
      </c>
      <c r="X283">
        <f>IF(Source!BI122=2,H283, 0)</f>
        <v>0</v>
      </c>
      <c r="Y283">
        <f>IF(Source!BI122=3,H283, 0)</f>
        <v>0</v>
      </c>
      <c r="Z283">
        <f>IF(Source!BI122=4,H283, 0)</f>
        <v>0</v>
      </c>
    </row>
    <row r="284" spans="1:26" ht="14.25" x14ac:dyDescent="0.2">
      <c r="A284" s="40" t="str">
        <f>Source!E123</f>
        <v>28,2</v>
      </c>
      <c r="B284" s="41" t="str">
        <f>Source!F123</f>
        <v>18.5.10.06</v>
      </c>
      <c r="C284" s="41" t="str">
        <f>Source!G123</f>
        <v>Радиаторы</v>
      </c>
      <c r="D284" s="28" t="str">
        <f>Source!H123</f>
        <v>квт</v>
      </c>
      <c r="E284" s="29">
        <f>Source!I123</f>
        <v>52.991999999999997</v>
      </c>
      <c r="F284" s="30">
        <f>Source!AL123+Source!AM123+Source!AO123</f>
        <v>0</v>
      </c>
      <c r="G284" s="35" t="s">
        <v>3</v>
      </c>
      <c r="H284" s="30">
        <f>ROUND(Source!AC123*Source!I123, 2)+ROUND(Source!AD123*Source!I123, 2)+ROUND(Source!AF123*Source!I123, 2)</f>
        <v>0</v>
      </c>
      <c r="I284" s="31"/>
      <c r="J284" s="31">
        <f>IF(Source!BC123&lt;&gt; 0, Source!BC123, 1)</f>
        <v>6.71</v>
      </c>
      <c r="K284" s="30">
        <f>Source!O123</f>
        <v>0</v>
      </c>
      <c r="L284" s="36"/>
      <c r="S284">
        <f>ROUND((Source!FX123/100)*((ROUND(Source!AF123*Source!I123, 2)+ROUND(Source!AE123*Source!I123, 2))), 2)</f>
        <v>0</v>
      </c>
      <c r="T284">
        <f>Source!X123</f>
        <v>0</v>
      </c>
      <c r="U284">
        <f>ROUND((Source!FY123/100)*((ROUND(Source!AF123*Source!I123, 2)+ROUND(Source!AE123*Source!I123, 2))), 2)</f>
        <v>0</v>
      </c>
      <c r="V284">
        <f>Source!Y123</f>
        <v>0</v>
      </c>
      <c r="W284">
        <f>IF(Source!BI123&lt;=1,H284, 0)</f>
        <v>0</v>
      </c>
      <c r="X284">
        <f>IF(Source!BI123=2,H284, 0)</f>
        <v>0</v>
      </c>
      <c r="Y284">
        <f>IF(Source!BI123=3,H284, 0)</f>
        <v>0</v>
      </c>
      <c r="Z284">
        <f>IF(Source!BI123=4,H284, 0)</f>
        <v>0</v>
      </c>
    </row>
    <row r="285" spans="1:26" ht="15" x14ac:dyDescent="0.25">
      <c r="G285" s="45">
        <f>H276+H277+H279+H280+H281+SUM(H283:H284)</f>
        <v>36231.450000000004</v>
      </c>
      <c r="H285" s="45"/>
      <c r="J285" s="45">
        <f>K276+K277+K279+K280+K281+SUM(K283:K284)</f>
        <v>243118.75</v>
      </c>
      <c r="K285" s="45"/>
      <c r="L285" s="33">
        <f>Source!U121</f>
        <v>34.762751999999992</v>
      </c>
      <c r="O285" s="19">
        <f>G285</f>
        <v>36231.450000000004</v>
      </c>
      <c r="P285" s="19">
        <f>J285</f>
        <v>243118.75</v>
      </c>
      <c r="Q285" s="19">
        <f>L285</f>
        <v>34.762751999999992</v>
      </c>
      <c r="W285">
        <f>IF(Source!BI121&lt;=1,H276+H277+H279+H280+H281, 0)</f>
        <v>1646.5800000000002</v>
      </c>
      <c r="X285">
        <f>IF(Source!BI121=2,H276+H277+H279+H280+H281, 0)</f>
        <v>0</v>
      </c>
      <c r="Y285">
        <f>IF(Source!BI121=3,H276+H277+H279+H280+H281, 0)</f>
        <v>0</v>
      </c>
      <c r="Z285">
        <f>IF(Source!BI121=4,H276+H277+H279+H280+H281, 0)</f>
        <v>0</v>
      </c>
    </row>
    <row r="286" spans="1:26" ht="57" x14ac:dyDescent="0.2">
      <c r="A286" s="38" t="str">
        <f>Source!E124</f>
        <v>29</v>
      </c>
      <c r="B286" s="39" t="str">
        <f>Source!F124</f>
        <v>16-05-001-01</v>
      </c>
      <c r="C286" s="39" t="str">
        <f>Source!G124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286" s="22" t="str">
        <f>Source!H124</f>
        <v>ШТ</v>
      </c>
      <c r="E286" s="10">
        <f>Source!I124</f>
        <v>46</v>
      </c>
      <c r="F286" s="23">
        <f>Source!AL124+Source!AM124+Source!AO124</f>
        <v>42.04</v>
      </c>
      <c r="G286" s="24"/>
      <c r="H286" s="23"/>
      <c r="I286" s="24" t="str">
        <f>Source!BO124</f>
        <v/>
      </c>
      <c r="J286" s="24"/>
      <c r="K286" s="23"/>
      <c r="L286" s="25"/>
      <c r="S286">
        <f>ROUND((Source!FX124/100)*((ROUND(Source!AF124*Source!I124, 2)+ROUND(Source!AE124*Source!I124, 2))), 2)</f>
        <v>712.74</v>
      </c>
      <c r="T286">
        <f>Source!X124</f>
        <v>4774.2</v>
      </c>
      <c r="U286">
        <f>ROUND((Source!FY124/100)*((ROUND(Source!AF124*Source!I124, 2)+ROUND(Source!AE124*Source!I124, 2))), 2)</f>
        <v>436.49</v>
      </c>
      <c r="V286">
        <f>Source!Y124</f>
        <v>2947.55</v>
      </c>
    </row>
    <row r="287" spans="1:26" ht="14.25" x14ac:dyDescent="0.2">
      <c r="A287" s="38"/>
      <c r="B287" s="39"/>
      <c r="C287" s="39" t="s">
        <v>999</v>
      </c>
      <c r="D287" s="22"/>
      <c r="E287" s="10"/>
      <c r="F287" s="23">
        <f>Source!AO124</f>
        <v>13.33</v>
      </c>
      <c r="G287" s="24" t="str">
        <f>Source!DG124</f>
        <v/>
      </c>
      <c r="H287" s="23">
        <f>ROUND(Source!AF124*Source!I124, 2)</f>
        <v>613.17999999999995</v>
      </c>
      <c r="I287" s="24"/>
      <c r="J287" s="24">
        <f>IF(Source!BA124&lt;&gt; 0, Source!BA124, 1)</f>
        <v>6.71</v>
      </c>
      <c r="K287" s="23">
        <f>Source!S124</f>
        <v>4114.4399999999996</v>
      </c>
      <c r="L287" s="25"/>
      <c r="R287">
        <f>H287</f>
        <v>613.17999999999995</v>
      </c>
    </row>
    <row r="288" spans="1:26" ht="14.25" x14ac:dyDescent="0.2">
      <c r="A288" s="38"/>
      <c r="B288" s="39"/>
      <c r="C288" s="39" t="s">
        <v>301</v>
      </c>
      <c r="D288" s="22"/>
      <c r="E288" s="10"/>
      <c r="F288" s="23">
        <f>Source!AM124</f>
        <v>3.5</v>
      </c>
      <c r="G288" s="24" t="str">
        <f>Source!DE124</f>
        <v/>
      </c>
      <c r="H288" s="23">
        <f>ROUND(Source!AD124*Source!I124, 2)</f>
        <v>161</v>
      </c>
      <c r="I288" s="24"/>
      <c r="J288" s="24">
        <f>IF(Source!BB124&lt;&gt; 0, Source!BB124, 1)</f>
        <v>6.71</v>
      </c>
      <c r="K288" s="23">
        <f>Source!Q124</f>
        <v>1080.31</v>
      </c>
      <c r="L288" s="25"/>
    </row>
    <row r="289" spans="1:26" ht="14.25" x14ac:dyDescent="0.2">
      <c r="A289" s="38"/>
      <c r="B289" s="39"/>
      <c r="C289" s="39" t="s">
        <v>1000</v>
      </c>
      <c r="D289" s="22"/>
      <c r="E289" s="10"/>
      <c r="F289" s="23">
        <f>Source!AN124</f>
        <v>0.12</v>
      </c>
      <c r="G289" s="24" t="str">
        <f>Source!DF124</f>
        <v/>
      </c>
      <c r="H289" s="26">
        <f>ROUND(Source!AE124*Source!I124, 2)</f>
        <v>5.52</v>
      </c>
      <c r="I289" s="24"/>
      <c r="J289" s="24">
        <f>IF(Source!BS124&lt;&gt; 0, Source!BS124, 1)</f>
        <v>6.71</v>
      </c>
      <c r="K289" s="26">
        <f>Source!R124</f>
        <v>37.04</v>
      </c>
      <c r="L289" s="25"/>
      <c r="R289">
        <f>H289</f>
        <v>5.52</v>
      </c>
    </row>
    <row r="290" spans="1:26" ht="14.25" x14ac:dyDescent="0.2">
      <c r="A290" s="38"/>
      <c r="B290" s="39"/>
      <c r="C290" s="39" t="s">
        <v>1006</v>
      </c>
      <c r="D290" s="22"/>
      <c r="E290" s="10"/>
      <c r="F290" s="23">
        <f>Source!AL124</f>
        <v>25.21</v>
      </c>
      <c r="G290" s="24" t="str">
        <f>Source!DD124</f>
        <v/>
      </c>
      <c r="H290" s="23">
        <f>ROUND(Source!AC124*Source!I124, 2)</f>
        <v>1159.6600000000001</v>
      </c>
      <c r="I290" s="24"/>
      <c r="J290" s="24">
        <f>IF(Source!BC124&lt;&gt; 0, Source!BC124, 1)</f>
        <v>6.71</v>
      </c>
      <c r="K290" s="23">
        <f>Source!P124</f>
        <v>7781.32</v>
      </c>
      <c r="L290" s="25"/>
    </row>
    <row r="291" spans="1:26" ht="14.25" x14ac:dyDescent="0.2">
      <c r="A291" s="38"/>
      <c r="B291" s="39"/>
      <c r="C291" s="39" t="s">
        <v>1001</v>
      </c>
      <c r="D291" s="22" t="s">
        <v>1002</v>
      </c>
      <c r="E291" s="10">
        <f>Source!BZ124</f>
        <v>128</v>
      </c>
      <c r="F291" s="49" t="str">
        <f>CONCATENATE(" )", Source!DL124, Source!FT124, "=", Source!FX124)</f>
        <v xml:space="preserve"> )*0,9=115,2</v>
      </c>
      <c r="G291" s="50"/>
      <c r="H291" s="23">
        <f>SUM(S286:S294)</f>
        <v>712.74</v>
      </c>
      <c r="I291" s="27"/>
      <c r="J291" s="21">
        <f>Source!AT124</f>
        <v>115</v>
      </c>
      <c r="K291" s="23">
        <f>SUM(T286:T294)</f>
        <v>4774.2</v>
      </c>
      <c r="L291" s="25"/>
    </row>
    <row r="292" spans="1:26" ht="14.25" x14ac:dyDescent="0.2">
      <c r="A292" s="38"/>
      <c r="B292" s="39"/>
      <c r="C292" s="39" t="s">
        <v>1003</v>
      </c>
      <c r="D292" s="22" t="s">
        <v>1002</v>
      </c>
      <c r="E292" s="10">
        <f>Source!CA124</f>
        <v>83</v>
      </c>
      <c r="F292" s="49" t="str">
        <f>CONCATENATE(" )", Source!DM124, Source!FU124, "=", Source!FY124)</f>
        <v xml:space="preserve"> )*0,85=70,55</v>
      </c>
      <c r="G292" s="50"/>
      <c r="H292" s="23">
        <f>SUM(U286:U294)</f>
        <v>436.49</v>
      </c>
      <c r="I292" s="27"/>
      <c r="J292" s="21">
        <f>Source!AU124</f>
        <v>71</v>
      </c>
      <c r="K292" s="23">
        <f>SUM(V286:V294)</f>
        <v>2947.55</v>
      </c>
      <c r="L292" s="25"/>
    </row>
    <row r="293" spans="1:26" ht="14.25" x14ac:dyDescent="0.2">
      <c r="A293" s="38"/>
      <c r="B293" s="39"/>
      <c r="C293" s="39" t="s">
        <v>1004</v>
      </c>
      <c r="D293" s="22" t="s">
        <v>1005</v>
      </c>
      <c r="E293" s="10">
        <f>Source!AQ124</f>
        <v>1.47</v>
      </c>
      <c r="F293" s="23"/>
      <c r="G293" s="24" t="str">
        <f>Source!DI124</f>
        <v/>
      </c>
      <c r="H293" s="23"/>
      <c r="I293" s="24"/>
      <c r="J293" s="24"/>
      <c r="K293" s="23"/>
      <c r="L293" s="34">
        <f>Source!U124</f>
        <v>67.62</v>
      </c>
    </row>
    <row r="294" spans="1:26" ht="28.5" x14ac:dyDescent="0.2">
      <c r="A294" s="40" t="str">
        <f>Source!E125</f>
        <v>29,1</v>
      </c>
      <c r="B294" s="41" t="str">
        <f>Source!F125</f>
        <v>18.1.09.06-0067</v>
      </c>
      <c r="C294" s="41" t="str">
        <f>Source!G125</f>
        <v>Кран шаровый муфтовый Valtec для воды диаметром 20 мм со сгоном</v>
      </c>
      <c r="D294" s="28" t="str">
        <f>Source!H125</f>
        <v>шт.</v>
      </c>
      <c r="E294" s="29">
        <f>Source!I125</f>
        <v>46</v>
      </c>
      <c r="F294" s="30">
        <f>Source!AL125+Source!AM125+Source!AO125</f>
        <v>54.73</v>
      </c>
      <c r="G294" s="35" t="s">
        <v>3</v>
      </c>
      <c r="H294" s="30">
        <f>ROUND(Source!AC125*Source!I125, 2)+ROUND(Source!AD125*Source!I125, 2)+ROUND(Source!AF125*Source!I125, 2)</f>
        <v>2517.58</v>
      </c>
      <c r="I294" s="31"/>
      <c r="J294" s="31">
        <f>IF(Source!BC125&lt;&gt; 0, Source!BC125, 1)</f>
        <v>6.71</v>
      </c>
      <c r="K294" s="30">
        <f>Source!O125</f>
        <v>16892.96</v>
      </c>
      <c r="L294" s="36"/>
      <c r="S294">
        <f>ROUND((Source!FX125/100)*((ROUND(Source!AF125*Source!I125, 2)+ROUND(Source!AE125*Source!I125, 2))), 2)</f>
        <v>0</v>
      </c>
      <c r="T294">
        <f>Source!X125</f>
        <v>0</v>
      </c>
      <c r="U294">
        <f>ROUND((Source!FY125/100)*((ROUND(Source!AF125*Source!I125, 2)+ROUND(Source!AE125*Source!I125, 2))), 2)</f>
        <v>0</v>
      </c>
      <c r="V294">
        <f>Source!Y125</f>
        <v>0</v>
      </c>
      <c r="W294">
        <f>IF(Source!BI125&lt;=1,H294, 0)</f>
        <v>2517.58</v>
      </c>
      <c r="X294">
        <f>IF(Source!BI125=2,H294, 0)</f>
        <v>0</v>
      </c>
      <c r="Y294">
        <f>IF(Source!BI125=3,H294, 0)</f>
        <v>0</v>
      </c>
      <c r="Z294">
        <f>IF(Source!BI125=4,H294, 0)</f>
        <v>0</v>
      </c>
    </row>
    <row r="295" spans="1:26" ht="15" x14ac:dyDescent="0.25">
      <c r="G295" s="45">
        <f>H287+H288+H290+H291+H292+SUM(H294:H294)</f>
        <v>5600.65</v>
      </c>
      <c r="H295" s="45"/>
      <c r="J295" s="45">
        <f>K287+K288+K290+K291+K292+SUM(K294:K294)</f>
        <v>37590.78</v>
      </c>
      <c r="K295" s="45"/>
      <c r="L295" s="33">
        <f>Source!U124</f>
        <v>67.62</v>
      </c>
      <c r="O295" s="19">
        <f>G295</f>
        <v>5600.65</v>
      </c>
      <c r="P295" s="19">
        <f>J295</f>
        <v>37590.78</v>
      </c>
      <c r="Q295" s="19">
        <f>L295</f>
        <v>67.62</v>
      </c>
      <c r="W295">
        <f>IF(Source!BI124&lt;=1,H287+H288+H290+H291+H292, 0)</f>
        <v>3083.0699999999997</v>
      </c>
      <c r="X295">
        <f>IF(Source!BI124=2,H287+H288+H290+H291+H292, 0)</f>
        <v>0</v>
      </c>
      <c r="Y295">
        <f>IF(Source!BI124=3,H287+H288+H290+H291+H292, 0)</f>
        <v>0</v>
      </c>
      <c r="Z295">
        <f>IF(Source!BI124=4,H287+H288+H290+H291+H292, 0)</f>
        <v>0</v>
      </c>
    </row>
    <row r="296" spans="1:26" ht="57" x14ac:dyDescent="0.2">
      <c r="A296" s="38" t="str">
        <f>Source!E126</f>
        <v>30</v>
      </c>
      <c r="B296" s="39" t="str">
        <f>Source!F126</f>
        <v>15-04-030-04</v>
      </c>
      <c r="C296" s="39" t="str">
        <f>Source!G126</f>
        <v>Масляная окраска металлических поверхностей решеток, переплетов, труб диаметром менее 50 мм и т.п., количество окрасок 2</v>
      </c>
      <c r="D296" s="22" t="str">
        <f>Source!H126</f>
        <v>100 м2</v>
      </c>
      <c r="E296" s="10">
        <f>Source!I126</f>
        <v>7.5899999999999995E-2</v>
      </c>
      <c r="F296" s="23">
        <f>Source!AL126+Source!AM126+Source!AO126</f>
        <v>720.44</v>
      </c>
      <c r="G296" s="24"/>
      <c r="H296" s="23"/>
      <c r="I296" s="24" t="str">
        <f>Source!BO126</f>
        <v/>
      </c>
      <c r="J296" s="24"/>
      <c r="K296" s="23"/>
      <c r="L296" s="25"/>
      <c r="S296">
        <f>ROUND((Source!FX126/100)*((ROUND(Source!AF126*Source!I126, 2)+ROUND(Source!AE126*Source!I126, 2))), 2)</f>
        <v>45.2</v>
      </c>
      <c r="T296">
        <f>Source!X126</f>
        <v>304.85000000000002</v>
      </c>
      <c r="U296">
        <f>ROUND((Source!FY126/100)*((ROUND(Source!AF126*Source!I126, 2)+ROUND(Source!AE126*Source!I126, 2))), 2)</f>
        <v>22.36</v>
      </c>
      <c r="V296">
        <f>Source!Y126</f>
        <v>150.82</v>
      </c>
    </row>
    <row r="297" spans="1:26" ht="14.25" x14ac:dyDescent="0.2">
      <c r="A297" s="38"/>
      <c r="B297" s="39"/>
      <c r="C297" s="39" t="s">
        <v>999</v>
      </c>
      <c r="D297" s="22"/>
      <c r="E297" s="10"/>
      <c r="F297" s="23">
        <f>Source!AO126</f>
        <v>629.59</v>
      </c>
      <c r="G297" s="24" t="str">
        <f>Source!DG126</f>
        <v/>
      </c>
      <c r="H297" s="23">
        <f>ROUND(Source!AF126*Source!I126, 2)</f>
        <v>47.79</v>
      </c>
      <c r="I297" s="24"/>
      <c r="J297" s="24">
        <f>IF(Source!BA126&lt;&gt; 0, Source!BA126, 1)</f>
        <v>6.71</v>
      </c>
      <c r="K297" s="23">
        <f>Source!S126</f>
        <v>320.64</v>
      </c>
      <c r="L297" s="25"/>
      <c r="R297">
        <f>H297</f>
        <v>47.79</v>
      </c>
    </row>
    <row r="298" spans="1:26" ht="14.25" x14ac:dyDescent="0.2">
      <c r="A298" s="38"/>
      <c r="B298" s="39"/>
      <c r="C298" s="39" t="s">
        <v>301</v>
      </c>
      <c r="D298" s="22"/>
      <c r="E298" s="10"/>
      <c r="F298" s="23">
        <f>Source!AM126</f>
        <v>2.2799999999999998</v>
      </c>
      <c r="G298" s="24" t="str">
        <f>Source!DE126</f>
        <v/>
      </c>
      <c r="H298" s="23">
        <f>ROUND(Source!AD126*Source!I126, 2)</f>
        <v>0.17</v>
      </c>
      <c r="I298" s="24"/>
      <c r="J298" s="24">
        <f>IF(Source!BB126&lt;&gt; 0, Source!BB126, 1)</f>
        <v>6.71</v>
      </c>
      <c r="K298" s="23">
        <f>Source!Q126</f>
        <v>1.1599999999999999</v>
      </c>
      <c r="L298" s="25"/>
    </row>
    <row r="299" spans="1:26" ht="14.25" x14ac:dyDescent="0.2">
      <c r="A299" s="38"/>
      <c r="B299" s="39"/>
      <c r="C299" s="39" t="s">
        <v>1000</v>
      </c>
      <c r="D299" s="22"/>
      <c r="E299" s="10"/>
      <c r="F299" s="23">
        <f>Source!AN126</f>
        <v>0.49</v>
      </c>
      <c r="G299" s="24" t="str">
        <f>Source!DF126</f>
        <v/>
      </c>
      <c r="H299" s="26">
        <f>ROUND(Source!AE126*Source!I126, 2)</f>
        <v>0.04</v>
      </c>
      <c r="I299" s="24"/>
      <c r="J299" s="24">
        <f>IF(Source!BS126&lt;&gt; 0, Source!BS126, 1)</f>
        <v>6.71</v>
      </c>
      <c r="K299" s="26">
        <f>Source!R126</f>
        <v>0.25</v>
      </c>
      <c r="L299" s="25"/>
      <c r="R299">
        <f>H299</f>
        <v>0.04</v>
      </c>
    </row>
    <row r="300" spans="1:26" ht="14.25" x14ac:dyDescent="0.2">
      <c r="A300" s="38"/>
      <c r="B300" s="39"/>
      <c r="C300" s="39" t="s">
        <v>1006</v>
      </c>
      <c r="D300" s="22"/>
      <c r="E300" s="10"/>
      <c r="F300" s="23">
        <f>Source!AL126</f>
        <v>88.57</v>
      </c>
      <c r="G300" s="24" t="str">
        <f>Source!DD126</f>
        <v/>
      </c>
      <c r="H300" s="23">
        <f>ROUND(Source!AC126*Source!I126, 2)</f>
        <v>6.72</v>
      </c>
      <c r="I300" s="24"/>
      <c r="J300" s="24">
        <f>IF(Source!BC126&lt;&gt; 0, Source!BC126, 1)</f>
        <v>6.71</v>
      </c>
      <c r="K300" s="23">
        <f>Source!P126</f>
        <v>45.11</v>
      </c>
      <c r="L300" s="25"/>
    </row>
    <row r="301" spans="1:26" ht="14.25" x14ac:dyDescent="0.2">
      <c r="A301" s="38"/>
      <c r="B301" s="39"/>
      <c r="C301" s="39" t="s">
        <v>1001</v>
      </c>
      <c r="D301" s="22" t="s">
        <v>1002</v>
      </c>
      <c r="E301" s="10">
        <f>Source!BZ126</f>
        <v>105</v>
      </c>
      <c r="F301" s="49" t="str">
        <f>CONCATENATE(" )", Source!DL126, Source!FT126, "=", Source!FX126)</f>
        <v xml:space="preserve"> )*0,9=94,5</v>
      </c>
      <c r="G301" s="50"/>
      <c r="H301" s="23">
        <f>SUM(S296:S305)</f>
        <v>45.2</v>
      </c>
      <c r="I301" s="27"/>
      <c r="J301" s="21">
        <f>Source!AT126</f>
        <v>95</v>
      </c>
      <c r="K301" s="23">
        <f>SUM(T296:T305)</f>
        <v>304.85000000000002</v>
      </c>
      <c r="L301" s="25"/>
    </row>
    <row r="302" spans="1:26" ht="14.25" x14ac:dyDescent="0.2">
      <c r="A302" s="38"/>
      <c r="B302" s="39"/>
      <c r="C302" s="39" t="s">
        <v>1003</v>
      </c>
      <c r="D302" s="22" t="s">
        <v>1002</v>
      </c>
      <c r="E302" s="10">
        <f>Source!CA126</f>
        <v>55</v>
      </c>
      <c r="F302" s="49" t="str">
        <f>CONCATENATE(" )", Source!DM126, Source!FU126, "=", Source!FY126)</f>
        <v xml:space="preserve"> )*0,85=46,75</v>
      </c>
      <c r="G302" s="50"/>
      <c r="H302" s="23">
        <f>SUM(U296:U305)</f>
        <v>22.36</v>
      </c>
      <c r="I302" s="27"/>
      <c r="J302" s="21">
        <f>Source!AU126</f>
        <v>47</v>
      </c>
      <c r="K302" s="23">
        <f>SUM(V296:V305)</f>
        <v>150.82</v>
      </c>
      <c r="L302" s="25"/>
    </row>
    <row r="303" spans="1:26" ht="14.25" x14ac:dyDescent="0.2">
      <c r="A303" s="38"/>
      <c r="B303" s="39"/>
      <c r="C303" s="39" t="s">
        <v>1004</v>
      </c>
      <c r="D303" s="22" t="s">
        <v>1005</v>
      </c>
      <c r="E303" s="10">
        <f>Source!AQ126</f>
        <v>71.06</v>
      </c>
      <c r="F303" s="23"/>
      <c r="G303" s="24" t="str">
        <f>Source!DI126</f>
        <v/>
      </c>
      <c r="H303" s="23"/>
      <c r="I303" s="24"/>
      <c r="J303" s="24"/>
      <c r="K303" s="23"/>
      <c r="L303" s="34">
        <f>Source!U126</f>
        <v>5.3934540000000002</v>
      </c>
    </row>
    <row r="304" spans="1:26" ht="28.5" x14ac:dyDescent="0.2">
      <c r="A304" s="38" t="str">
        <f>Source!E127</f>
        <v>30,1</v>
      </c>
      <c r="B304" s="39" t="str">
        <f>Source!F127</f>
        <v>14.4.02.04</v>
      </c>
      <c r="C304" s="39" t="str">
        <f>Source!G127</f>
        <v>Краски для внутренних работ масляные готовые к применению</v>
      </c>
      <c r="D304" s="22" t="str">
        <f>Source!H127</f>
        <v>т</v>
      </c>
      <c r="E304" s="10">
        <f>Source!I127</f>
        <v>1.867E-3</v>
      </c>
      <c r="F304" s="23">
        <f>Source!AL127+Source!AM127+Source!AO127</f>
        <v>0</v>
      </c>
      <c r="G304" s="37" t="s">
        <v>3</v>
      </c>
      <c r="H304" s="23">
        <f>ROUND(Source!AC127*Source!I127, 2)+ROUND(Source!AD127*Source!I127, 2)+ROUND(Source!AF127*Source!I127, 2)</f>
        <v>0</v>
      </c>
      <c r="I304" s="24"/>
      <c r="J304" s="24">
        <f>IF(Source!BC127&lt;&gt; 0, Source!BC127, 1)</f>
        <v>6.71</v>
      </c>
      <c r="K304" s="23">
        <f>Source!O127</f>
        <v>0</v>
      </c>
      <c r="L304" s="25"/>
      <c r="S304">
        <f>ROUND((Source!FX127/100)*((ROUND(Source!AF127*Source!I127, 2)+ROUND(Source!AE127*Source!I127, 2))), 2)</f>
        <v>0</v>
      </c>
      <c r="T304">
        <f>Source!X127</f>
        <v>0</v>
      </c>
      <c r="U304">
        <f>ROUND((Source!FY127/100)*((ROUND(Source!AF127*Source!I127, 2)+ROUND(Source!AE127*Source!I127, 2))), 2)</f>
        <v>0</v>
      </c>
      <c r="V304">
        <f>Source!Y127</f>
        <v>0</v>
      </c>
      <c r="W304">
        <f>IF(Source!BI127&lt;=1,H304, 0)</f>
        <v>0</v>
      </c>
      <c r="X304">
        <f>IF(Source!BI127=2,H304, 0)</f>
        <v>0</v>
      </c>
      <c r="Y304">
        <f>IF(Source!BI127=3,H304, 0)</f>
        <v>0</v>
      </c>
      <c r="Z304">
        <f>IF(Source!BI127=4,H304, 0)</f>
        <v>0</v>
      </c>
    </row>
    <row r="305" spans="1:26" ht="42.75" x14ac:dyDescent="0.2">
      <c r="A305" s="40" t="str">
        <f>Source!E128</f>
        <v>30,2</v>
      </c>
      <c r="B305" s="41" t="str">
        <f>Source!F128</f>
        <v>14.4.02.04-0101</v>
      </c>
      <c r="C305" s="41" t="str">
        <f>Source!G128</f>
        <v>Краски для внутренних работ масляные готовые к применению МА-15 БИО</v>
      </c>
      <c r="D305" s="28" t="str">
        <f>Source!H128</f>
        <v>т</v>
      </c>
      <c r="E305" s="29">
        <f>Source!I128</f>
        <v>1.867E-3</v>
      </c>
      <c r="F305" s="30">
        <f>Source!AL128+Source!AM128+Source!AO128</f>
        <v>42508.19</v>
      </c>
      <c r="G305" s="35" t="s">
        <v>3</v>
      </c>
      <c r="H305" s="30">
        <f>ROUND(Source!AC128*Source!I128, 2)+ROUND(Source!AD128*Source!I128, 2)+ROUND(Source!AF128*Source!I128, 2)</f>
        <v>79.36</v>
      </c>
      <c r="I305" s="31"/>
      <c r="J305" s="31">
        <f>IF(Source!BC128&lt;&gt; 0, Source!BC128, 1)</f>
        <v>6.71</v>
      </c>
      <c r="K305" s="30">
        <f>Source!O128</f>
        <v>532.52</v>
      </c>
      <c r="L305" s="36"/>
      <c r="S305">
        <f>ROUND((Source!FX128/100)*((ROUND(Source!AF128*Source!I128, 2)+ROUND(Source!AE128*Source!I128, 2))), 2)</f>
        <v>0</v>
      </c>
      <c r="T305">
        <f>Source!X128</f>
        <v>0</v>
      </c>
      <c r="U305">
        <f>ROUND((Source!FY128/100)*((ROUND(Source!AF128*Source!I128, 2)+ROUND(Source!AE128*Source!I128, 2))), 2)</f>
        <v>0</v>
      </c>
      <c r="V305">
        <f>Source!Y128</f>
        <v>0</v>
      </c>
      <c r="W305">
        <f>IF(Source!BI128&lt;=1,H305, 0)</f>
        <v>79.36</v>
      </c>
      <c r="X305">
        <f>IF(Source!BI128=2,H305, 0)</f>
        <v>0</v>
      </c>
      <c r="Y305">
        <f>IF(Source!BI128=3,H305, 0)</f>
        <v>0</v>
      </c>
      <c r="Z305">
        <f>IF(Source!BI128=4,H305, 0)</f>
        <v>0</v>
      </c>
    </row>
    <row r="306" spans="1:26" ht="15" x14ac:dyDescent="0.25">
      <c r="G306" s="45">
        <f>H297+H298+H300+H301+H302+SUM(H304:H305)</f>
        <v>201.6</v>
      </c>
      <c r="H306" s="45"/>
      <c r="J306" s="45">
        <f>K297+K298+K300+K301+K302+SUM(K304:K305)</f>
        <v>1355.1</v>
      </c>
      <c r="K306" s="45"/>
      <c r="L306" s="33">
        <f>Source!U126</f>
        <v>5.3934540000000002</v>
      </c>
      <c r="O306" s="19">
        <f>G306</f>
        <v>201.6</v>
      </c>
      <c r="P306" s="19">
        <f>J306</f>
        <v>1355.1</v>
      </c>
      <c r="Q306" s="19">
        <f>L306</f>
        <v>5.3934540000000002</v>
      </c>
      <c r="W306">
        <f>IF(Source!BI126&lt;=1,H297+H298+H300+H301+H302, 0)</f>
        <v>122.24</v>
      </c>
      <c r="X306">
        <f>IF(Source!BI126=2,H297+H298+H300+H301+H302, 0)</f>
        <v>0</v>
      </c>
      <c r="Y306">
        <f>IF(Source!BI126=3,H297+H298+H300+H301+H302, 0)</f>
        <v>0</v>
      </c>
      <c r="Z306">
        <f>IF(Source!BI126=4,H297+H298+H300+H301+H302, 0)</f>
        <v>0</v>
      </c>
    </row>
    <row r="307" spans="1:26" ht="28.5" x14ac:dyDescent="0.2">
      <c r="A307" s="38" t="str">
        <f>Source!E129</f>
        <v>31</v>
      </c>
      <c r="B307" s="39" t="str">
        <f>Source!F129</f>
        <v>65-24-1</v>
      </c>
      <c r="C307" s="39" t="str">
        <f>Source!G129</f>
        <v>Проверка на прогрев отопительных приборов с регулировкой</v>
      </c>
      <c r="D307" s="22" t="str">
        <f>Source!H129</f>
        <v>100 ШТ</v>
      </c>
      <c r="E307" s="10">
        <f>Source!I129</f>
        <v>0.23</v>
      </c>
      <c r="F307" s="23">
        <f>Source!AL129+Source!AM129+Source!AO129</f>
        <v>134.18</v>
      </c>
      <c r="G307" s="24"/>
      <c r="H307" s="23"/>
      <c r="I307" s="24" t="str">
        <f>Source!BO129</f>
        <v/>
      </c>
      <c r="J307" s="24"/>
      <c r="K307" s="23"/>
      <c r="L307" s="25"/>
      <c r="S307">
        <f>ROUND((Source!FX129/100)*((ROUND(Source!AF129*Source!I129, 2)+ROUND(Source!AE129*Source!I129, 2))), 2)</f>
        <v>22.84</v>
      </c>
      <c r="T307">
        <f>Source!X129</f>
        <v>153.24</v>
      </c>
      <c r="U307">
        <f>ROUND((Source!FY129/100)*((ROUND(Source!AF129*Source!I129, 2)+ROUND(Source!AE129*Source!I129, 2))), 2)</f>
        <v>15.43</v>
      </c>
      <c r="V307">
        <f>Source!Y129</f>
        <v>103.54</v>
      </c>
    </row>
    <row r="308" spans="1:26" ht="14.25" x14ac:dyDescent="0.2">
      <c r="A308" s="38"/>
      <c r="B308" s="39"/>
      <c r="C308" s="39" t="s">
        <v>999</v>
      </c>
      <c r="D308" s="22"/>
      <c r="E308" s="10"/>
      <c r="F308" s="23">
        <f>Source!AO129</f>
        <v>134.18</v>
      </c>
      <c r="G308" s="24" t="str">
        <f>Source!DG129</f>
        <v/>
      </c>
      <c r="H308" s="23">
        <f>ROUND(Source!AF129*Source!I129, 2)</f>
        <v>30.86</v>
      </c>
      <c r="I308" s="24"/>
      <c r="J308" s="24">
        <f>IF(Source!BA129&lt;&gt; 0, Source!BA129, 1)</f>
        <v>6.71</v>
      </c>
      <c r="K308" s="23">
        <f>Source!S129</f>
        <v>207.08</v>
      </c>
      <c r="L308" s="25"/>
      <c r="R308">
        <f>H308</f>
        <v>30.86</v>
      </c>
    </row>
    <row r="309" spans="1:26" ht="14.25" x14ac:dyDescent="0.2">
      <c r="A309" s="38"/>
      <c r="B309" s="39"/>
      <c r="C309" s="39" t="s">
        <v>1001</v>
      </c>
      <c r="D309" s="22" t="s">
        <v>1002</v>
      </c>
      <c r="E309" s="10">
        <f>Source!BZ129</f>
        <v>74</v>
      </c>
      <c r="F309" s="42"/>
      <c r="G309" s="24"/>
      <c r="H309" s="23">
        <f>SUM(S307:S311)</f>
        <v>22.84</v>
      </c>
      <c r="I309" s="27"/>
      <c r="J309" s="21">
        <f>Source!AT129</f>
        <v>74</v>
      </c>
      <c r="K309" s="23">
        <f>SUM(T307:T311)</f>
        <v>153.24</v>
      </c>
      <c r="L309" s="25"/>
    </row>
    <row r="310" spans="1:26" ht="14.25" x14ac:dyDescent="0.2">
      <c r="A310" s="38"/>
      <c r="B310" s="39"/>
      <c r="C310" s="39" t="s">
        <v>1003</v>
      </c>
      <c r="D310" s="22" t="s">
        <v>1002</v>
      </c>
      <c r="E310" s="10">
        <f>Source!CA129</f>
        <v>50</v>
      </c>
      <c r="F310" s="42"/>
      <c r="G310" s="24"/>
      <c r="H310" s="23">
        <f>SUM(U307:U311)</f>
        <v>15.43</v>
      </c>
      <c r="I310" s="27"/>
      <c r="J310" s="21">
        <f>Source!AU129</f>
        <v>50</v>
      </c>
      <c r="K310" s="23">
        <f>SUM(V307:V311)</f>
        <v>103.54</v>
      </c>
      <c r="L310" s="25"/>
    </row>
    <row r="311" spans="1:26" ht="14.25" x14ac:dyDescent="0.2">
      <c r="A311" s="40"/>
      <c r="B311" s="41"/>
      <c r="C311" s="41" t="s">
        <v>1004</v>
      </c>
      <c r="D311" s="28" t="s">
        <v>1005</v>
      </c>
      <c r="E311" s="29">
        <f>Source!AQ129</f>
        <v>15.73</v>
      </c>
      <c r="F311" s="30"/>
      <c r="G311" s="31" t="str">
        <f>Source!DI129</f>
        <v/>
      </c>
      <c r="H311" s="30"/>
      <c r="I311" s="31"/>
      <c r="J311" s="31"/>
      <c r="K311" s="30"/>
      <c r="L311" s="32">
        <f>Source!U129</f>
        <v>3.6179000000000001</v>
      </c>
    </row>
    <row r="312" spans="1:26" ht="15" x14ac:dyDescent="0.25">
      <c r="G312" s="45">
        <f>H308+H309+H310</f>
        <v>69.13</v>
      </c>
      <c r="H312" s="45"/>
      <c r="J312" s="45">
        <f>K308+K309+K310</f>
        <v>463.86000000000007</v>
      </c>
      <c r="K312" s="45"/>
      <c r="L312" s="33">
        <f>Source!U129</f>
        <v>3.6179000000000001</v>
      </c>
      <c r="O312" s="19">
        <f>G312</f>
        <v>69.13</v>
      </c>
      <c r="P312" s="19">
        <f>J312</f>
        <v>463.86000000000007</v>
      </c>
      <c r="Q312" s="19">
        <f>L312</f>
        <v>3.6179000000000001</v>
      </c>
      <c r="W312">
        <f>IF(Source!BI129&lt;=1,H308+H309+H310, 0)</f>
        <v>69.13</v>
      </c>
      <c r="X312">
        <f>IF(Source!BI129=2,H308+H309+H310, 0)</f>
        <v>0</v>
      </c>
      <c r="Y312">
        <f>IF(Source!BI129=3,H308+H309+H310, 0)</f>
        <v>0</v>
      </c>
      <c r="Z312">
        <f>IF(Source!BI129=4,H308+H309+H310, 0)</f>
        <v>0</v>
      </c>
    </row>
    <row r="313" spans="1:26" ht="15" x14ac:dyDescent="0.25">
      <c r="A313" s="47" t="str">
        <f>CONCATENATE("Итого по разделу: ",IF(Source!G131&lt;&gt;"Новый раздел", Source!G131, ""))</f>
        <v>Итого по разделу: 2 Отопление</v>
      </c>
      <c r="B313" s="47"/>
      <c r="C313" s="47"/>
      <c r="D313" s="47"/>
      <c r="E313" s="47"/>
      <c r="F313" s="47"/>
      <c r="G313" s="46">
        <f>SUM(O266:O312)</f>
        <v>42573.57</v>
      </c>
      <c r="H313" s="46"/>
      <c r="I313" s="20"/>
      <c r="J313" s="46">
        <f>SUM(P266:P312)</f>
        <v>285687.13</v>
      </c>
      <c r="K313" s="46"/>
      <c r="L313" s="33">
        <f>SUM(Q266:Q312)</f>
        <v>136.69410599999998</v>
      </c>
    </row>
    <row r="314" spans="1:26" ht="16.5" x14ac:dyDescent="0.25">
      <c r="A314" s="48" t="str">
        <f>CONCATENATE("Раздел: ",IF(Source!G160&lt;&gt;"Новый раздел", Source!G160, ""))</f>
        <v>Раздел: 3 Электромонтажные работы</v>
      </c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</row>
    <row r="315" spans="1:26" ht="14.25" x14ac:dyDescent="0.2">
      <c r="A315" s="38" t="str">
        <f>Source!E164</f>
        <v>32</v>
      </c>
      <c r="B315" s="39" t="str">
        <f>Source!F164</f>
        <v>67-3-1</v>
      </c>
      <c r="C315" s="39" t="str">
        <f>Source!G164</f>
        <v>Демонтаж кабеля</v>
      </c>
      <c r="D315" s="22" t="str">
        <f>Source!H164</f>
        <v>100 м</v>
      </c>
      <c r="E315" s="10">
        <f>Source!I164</f>
        <v>0.18</v>
      </c>
      <c r="F315" s="23">
        <f>Source!AL164+Source!AM164+Source!AO164</f>
        <v>75.5</v>
      </c>
      <c r="G315" s="24"/>
      <c r="H315" s="23"/>
      <c r="I315" s="24" t="str">
        <f>Source!BO164</f>
        <v/>
      </c>
      <c r="J315" s="24"/>
      <c r="K315" s="23"/>
      <c r="L315" s="25"/>
      <c r="S315">
        <f>ROUND((Source!FX164/100)*((ROUND(Source!AF164*Source!I164, 2)+ROUND(Source!AE164*Source!I164, 2))), 2)</f>
        <v>11.53</v>
      </c>
      <c r="T315">
        <f>Source!X164</f>
        <v>77.33</v>
      </c>
      <c r="U315">
        <f>ROUND((Source!FY164/100)*((ROUND(Source!AF164*Source!I164, 2)+ROUND(Source!AE164*Source!I164, 2))), 2)</f>
        <v>8.81</v>
      </c>
      <c r="V315">
        <f>Source!Y164</f>
        <v>59.14</v>
      </c>
    </row>
    <row r="316" spans="1:26" ht="14.25" x14ac:dyDescent="0.2">
      <c r="A316" s="38"/>
      <c r="B316" s="39"/>
      <c r="C316" s="39" t="s">
        <v>999</v>
      </c>
      <c r="D316" s="22"/>
      <c r="E316" s="10"/>
      <c r="F316" s="23">
        <f>Source!AO164</f>
        <v>75.19</v>
      </c>
      <c r="G316" s="24" t="str">
        <f>Source!DG164</f>
        <v/>
      </c>
      <c r="H316" s="23">
        <f>ROUND(Source!AF164*Source!I164, 2)</f>
        <v>13.53</v>
      </c>
      <c r="I316" s="24"/>
      <c r="J316" s="24">
        <f>IF(Source!BA164&lt;&gt; 0, Source!BA164, 1)</f>
        <v>6.71</v>
      </c>
      <c r="K316" s="23">
        <f>Source!S164</f>
        <v>90.81</v>
      </c>
      <c r="L316" s="25"/>
      <c r="R316">
        <f>H316</f>
        <v>13.53</v>
      </c>
    </row>
    <row r="317" spans="1:26" ht="14.25" x14ac:dyDescent="0.2">
      <c r="A317" s="38"/>
      <c r="B317" s="39"/>
      <c r="C317" s="39" t="s">
        <v>301</v>
      </c>
      <c r="D317" s="22"/>
      <c r="E317" s="10"/>
      <c r="F317" s="23">
        <f>Source!AM164</f>
        <v>0.31</v>
      </c>
      <c r="G317" s="24" t="str">
        <f>Source!DE164</f>
        <v/>
      </c>
      <c r="H317" s="23">
        <f>ROUND(Source!AD164*Source!I164, 2)</f>
        <v>0.06</v>
      </c>
      <c r="I317" s="24"/>
      <c r="J317" s="24">
        <f>IF(Source!BB164&lt;&gt; 0, Source!BB164, 1)</f>
        <v>6.71</v>
      </c>
      <c r="K317" s="23">
        <f>Source!Q164</f>
        <v>0.37</v>
      </c>
      <c r="L317" s="25"/>
    </row>
    <row r="318" spans="1:26" ht="14.25" x14ac:dyDescent="0.2">
      <c r="A318" s="38"/>
      <c r="B318" s="39"/>
      <c r="C318" s="39" t="s">
        <v>1000</v>
      </c>
      <c r="D318" s="22"/>
      <c r="E318" s="10"/>
      <c r="F318" s="23">
        <f>Source!AN164</f>
        <v>0.14000000000000001</v>
      </c>
      <c r="G318" s="24" t="str">
        <f>Source!DF164</f>
        <v/>
      </c>
      <c r="H318" s="26">
        <f>ROUND(Source!AE164*Source!I164, 2)</f>
        <v>0.03</v>
      </c>
      <c r="I318" s="24"/>
      <c r="J318" s="24">
        <f>IF(Source!BS164&lt;&gt; 0, Source!BS164, 1)</f>
        <v>6.71</v>
      </c>
      <c r="K318" s="26">
        <f>Source!R164</f>
        <v>0.17</v>
      </c>
      <c r="L318" s="25"/>
      <c r="R318">
        <f>H318</f>
        <v>0.03</v>
      </c>
    </row>
    <row r="319" spans="1:26" ht="14.25" x14ac:dyDescent="0.2">
      <c r="A319" s="38"/>
      <c r="B319" s="39"/>
      <c r="C319" s="39" t="s">
        <v>1001</v>
      </c>
      <c r="D319" s="22" t="s">
        <v>1002</v>
      </c>
      <c r="E319" s="10">
        <f>Source!BZ164</f>
        <v>85</v>
      </c>
      <c r="F319" s="42"/>
      <c r="G319" s="24"/>
      <c r="H319" s="23">
        <f>SUM(S315:S321)</f>
        <v>11.53</v>
      </c>
      <c r="I319" s="27"/>
      <c r="J319" s="21">
        <f>Source!AT164</f>
        <v>85</v>
      </c>
      <c r="K319" s="23">
        <f>SUM(T315:T321)</f>
        <v>77.33</v>
      </c>
      <c r="L319" s="25"/>
    </row>
    <row r="320" spans="1:26" ht="14.25" x14ac:dyDescent="0.2">
      <c r="A320" s="38"/>
      <c r="B320" s="39"/>
      <c r="C320" s="39" t="s">
        <v>1003</v>
      </c>
      <c r="D320" s="22" t="s">
        <v>1002</v>
      </c>
      <c r="E320" s="10">
        <f>Source!CA164</f>
        <v>65</v>
      </c>
      <c r="F320" s="42"/>
      <c r="G320" s="24"/>
      <c r="H320" s="23">
        <f>SUM(U315:U321)</f>
        <v>8.81</v>
      </c>
      <c r="I320" s="27"/>
      <c r="J320" s="21">
        <f>Source!AU164</f>
        <v>65</v>
      </c>
      <c r="K320" s="23">
        <f>SUM(V315:V321)</f>
        <v>59.14</v>
      </c>
      <c r="L320" s="25"/>
    </row>
    <row r="321" spans="1:26" ht="14.25" x14ac:dyDescent="0.2">
      <c r="A321" s="40"/>
      <c r="B321" s="41"/>
      <c r="C321" s="41" t="s">
        <v>1004</v>
      </c>
      <c r="D321" s="28" t="s">
        <v>1005</v>
      </c>
      <c r="E321" s="29">
        <f>Source!AQ164</f>
        <v>9.64</v>
      </c>
      <c r="F321" s="30"/>
      <c r="G321" s="31" t="str">
        <f>Source!DI164</f>
        <v/>
      </c>
      <c r="H321" s="30"/>
      <c r="I321" s="31"/>
      <c r="J321" s="31"/>
      <c r="K321" s="30"/>
      <c r="L321" s="32">
        <f>Source!U164</f>
        <v>1.7352000000000001</v>
      </c>
    </row>
    <row r="322" spans="1:26" ht="15" x14ac:dyDescent="0.25">
      <c r="G322" s="45">
        <f>H316+H317+H319+H320</f>
        <v>33.93</v>
      </c>
      <c r="H322" s="45"/>
      <c r="J322" s="45">
        <f>K316+K317+K319+K320</f>
        <v>227.64999999999998</v>
      </c>
      <c r="K322" s="45"/>
      <c r="L322" s="33">
        <f>Source!U164</f>
        <v>1.7352000000000001</v>
      </c>
      <c r="O322" s="19">
        <f>G322</f>
        <v>33.93</v>
      </c>
      <c r="P322" s="19">
        <f>J322</f>
        <v>227.64999999999998</v>
      </c>
      <c r="Q322" s="19">
        <f>L322</f>
        <v>1.7352000000000001</v>
      </c>
      <c r="W322">
        <f>IF(Source!BI164&lt;=1,H316+H317+H319+H320, 0)</f>
        <v>33.93</v>
      </c>
      <c r="X322">
        <f>IF(Source!BI164=2,H316+H317+H319+H320, 0)</f>
        <v>0</v>
      </c>
      <c r="Y322">
        <f>IF(Source!BI164=3,H316+H317+H319+H320, 0)</f>
        <v>0</v>
      </c>
      <c r="Z322">
        <f>IF(Source!BI164=4,H316+H317+H319+H320, 0)</f>
        <v>0</v>
      </c>
    </row>
    <row r="323" spans="1:26" ht="28.5" x14ac:dyDescent="0.2">
      <c r="A323" s="38" t="str">
        <f>Source!E165</f>
        <v>33</v>
      </c>
      <c r="B323" s="39" t="str">
        <f>Source!F165</f>
        <v>м08-02-390-01</v>
      </c>
      <c r="C323" s="39" t="str">
        <f>Source!G165</f>
        <v>Демонтаж:Короба пластмассовые шириной до 40 мм</v>
      </c>
      <c r="D323" s="22" t="str">
        <f>Source!H165</f>
        <v>100 м</v>
      </c>
      <c r="E323" s="10">
        <f>Source!I165</f>
        <v>0.16</v>
      </c>
      <c r="F323" s="23">
        <f>Source!AL165+Source!AM165+Source!AO165</f>
        <v>206.76</v>
      </c>
      <c r="G323" s="24"/>
      <c r="H323" s="23"/>
      <c r="I323" s="24" t="str">
        <f>Source!BO165</f>
        <v/>
      </c>
      <c r="J323" s="24"/>
      <c r="K323" s="23"/>
      <c r="L323" s="25"/>
      <c r="S323">
        <f>ROUND((Source!FX165/100)*((ROUND(Source!AF165*Source!I165, 2)+ROUND(Source!AE165*Source!I165, 2))), 2)</f>
        <v>7.08</v>
      </c>
      <c r="T323">
        <f>Source!X165</f>
        <v>47.44</v>
      </c>
      <c r="U323">
        <f>ROUND((Source!FY165/100)*((ROUND(Source!AF165*Source!I165, 2)+ROUND(Source!AE165*Source!I165, 2))), 2)</f>
        <v>4.84</v>
      </c>
      <c r="V323">
        <f>Source!Y165</f>
        <v>32.46</v>
      </c>
    </row>
    <row r="324" spans="1:26" x14ac:dyDescent="0.2">
      <c r="C324" s="18" t="str">
        <f>"Объем: "&amp;Source!I165&amp;"=16/"&amp;"100"</f>
        <v>Объем: 0,16=16/100</v>
      </c>
    </row>
    <row r="325" spans="1:26" ht="14.25" x14ac:dyDescent="0.2">
      <c r="A325" s="38"/>
      <c r="B325" s="39"/>
      <c r="C325" s="39" t="s">
        <v>999</v>
      </c>
      <c r="D325" s="22"/>
      <c r="E325" s="10"/>
      <c r="F325" s="23">
        <f>Source!AO165</f>
        <v>154.91999999999999</v>
      </c>
      <c r="G325" s="24" t="str">
        <f>Source!DG165</f>
        <v>)*0,3</v>
      </c>
      <c r="H325" s="23">
        <f>ROUND(Source!AF165*Source!I165, 2)</f>
        <v>7.44</v>
      </c>
      <c r="I325" s="24"/>
      <c r="J325" s="24">
        <f>IF(Source!BA165&lt;&gt; 0, Source!BA165, 1)</f>
        <v>6.71</v>
      </c>
      <c r="K325" s="23">
        <f>Source!S165</f>
        <v>49.9</v>
      </c>
      <c r="L325" s="25"/>
      <c r="R325">
        <f>H325</f>
        <v>7.44</v>
      </c>
    </row>
    <row r="326" spans="1:26" ht="14.25" x14ac:dyDescent="0.2">
      <c r="A326" s="38"/>
      <c r="B326" s="39"/>
      <c r="C326" s="39" t="s">
        <v>301</v>
      </c>
      <c r="D326" s="22"/>
      <c r="E326" s="10"/>
      <c r="F326" s="23">
        <f>Source!AM165</f>
        <v>0.31</v>
      </c>
      <c r="G326" s="24" t="str">
        <f>Source!DE165</f>
        <v>)*0,3</v>
      </c>
      <c r="H326" s="23">
        <f>ROUND(Source!AD165*Source!I165, 2)</f>
        <v>0.01</v>
      </c>
      <c r="I326" s="24"/>
      <c r="J326" s="24">
        <f>IF(Source!BB165&lt;&gt; 0, Source!BB165, 1)</f>
        <v>6.71</v>
      </c>
      <c r="K326" s="23">
        <f>Source!Q165</f>
        <v>0.1</v>
      </c>
      <c r="L326" s="25"/>
    </row>
    <row r="327" spans="1:26" ht="14.25" x14ac:dyDescent="0.2">
      <c r="A327" s="38"/>
      <c r="B327" s="39"/>
      <c r="C327" s="39" t="s">
        <v>1000</v>
      </c>
      <c r="D327" s="22"/>
      <c r="E327" s="10"/>
      <c r="F327" s="23">
        <f>Source!AN165</f>
        <v>0.14000000000000001</v>
      </c>
      <c r="G327" s="24" t="str">
        <f>Source!DF165</f>
        <v>)*0,3</v>
      </c>
      <c r="H327" s="26">
        <f>ROUND(Source!AE165*Source!I165, 2)</f>
        <v>0.01</v>
      </c>
      <c r="I327" s="24"/>
      <c r="J327" s="24">
        <f>IF(Source!BS165&lt;&gt; 0, Source!BS165, 1)</f>
        <v>6.71</v>
      </c>
      <c r="K327" s="26">
        <f>Source!R165</f>
        <v>0.04</v>
      </c>
      <c r="L327" s="25"/>
      <c r="R327">
        <f>H327</f>
        <v>0.01</v>
      </c>
    </row>
    <row r="328" spans="1:26" ht="14.25" x14ac:dyDescent="0.2">
      <c r="A328" s="38"/>
      <c r="B328" s="39"/>
      <c r="C328" s="39" t="s">
        <v>1001</v>
      </c>
      <c r="D328" s="22" t="s">
        <v>1002</v>
      </c>
      <c r="E328" s="10">
        <f>Source!BZ165</f>
        <v>95</v>
      </c>
      <c r="F328" s="42"/>
      <c r="G328" s="24"/>
      <c r="H328" s="23">
        <f>SUM(S323:S330)</f>
        <v>7.08</v>
      </c>
      <c r="I328" s="27"/>
      <c r="J328" s="21">
        <f>Source!AT165</f>
        <v>95</v>
      </c>
      <c r="K328" s="23">
        <f>SUM(T323:T330)</f>
        <v>47.44</v>
      </c>
      <c r="L328" s="25"/>
    </row>
    <row r="329" spans="1:26" ht="14.25" x14ac:dyDescent="0.2">
      <c r="A329" s="38"/>
      <c r="B329" s="39"/>
      <c r="C329" s="39" t="s">
        <v>1003</v>
      </c>
      <c r="D329" s="22" t="s">
        <v>1002</v>
      </c>
      <c r="E329" s="10">
        <f>Source!CA165</f>
        <v>65</v>
      </c>
      <c r="F329" s="42"/>
      <c r="G329" s="24"/>
      <c r="H329" s="23">
        <f>SUM(U323:U330)</f>
        <v>4.84</v>
      </c>
      <c r="I329" s="27"/>
      <c r="J329" s="21">
        <f>Source!AU165</f>
        <v>65</v>
      </c>
      <c r="K329" s="23">
        <f>SUM(V323:V330)</f>
        <v>32.46</v>
      </c>
      <c r="L329" s="25"/>
    </row>
    <row r="330" spans="1:26" ht="14.25" x14ac:dyDescent="0.2">
      <c r="A330" s="40"/>
      <c r="B330" s="41"/>
      <c r="C330" s="41" t="s">
        <v>1004</v>
      </c>
      <c r="D330" s="28" t="s">
        <v>1005</v>
      </c>
      <c r="E330" s="29">
        <f>Source!AQ165</f>
        <v>16.29</v>
      </c>
      <c r="F330" s="30"/>
      <c r="G330" s="31" t="str">
        <f>Source!DI165</f>
        <v>)*0,3</v>
      </c>
      <c r="H330" s="30"/>
      <c r="I330" s="31"/>
      <c r="J330" s="31"/>
      <c r="K330" s="30"/>
      <c r="L330" s="32">
        <f>Source!U165</f>
        <v>0.78191999999999995</v>
      </c>
    </row>
    <row r="331" spans="1:26" ht="15" x14ac:dyDescent="0.25">
      <c r="G331" s="45">
        <f>H325+H326+H328+H329</f>
        <v>19.37</v>
      </c>
      <c r="H331" s="45"/>
      <c r="J331" s="45">
        <f>K325+K326+K328+K329</f>
        <v>129.9</v>
      </c>
      <c r="K331" s="45"/>
      <c r="L331" s="33">
        <f>Source!U165</f>
        <v>0.78191999999999995</v>
      </c>
      <c r="O331" s="19">
        <f>G331</f>
        <v>19.37</v>
      </c>
      <c r="P331" s="19">
        <f>J331</f>
        <v>129.9</v>
      </c>
      <c r="Q331" s="19">
        <f>L331</f>
        <v>0.78191999999999995</v>
      </c>
      <c r="W331">
        <f>IF(Source!BI165&lt;=1,H325+H326+H328+H329, 0)</f>
        <v>0</v>
      </c>
      <c r="X331">
        <f>IF(Source!BI165=2,H325+H326+H328+H329, 0)</f>
        <v>19.37</v>
      </c>
      <c r="Y331">
        <f>IF(Source!BI165=3,H325+H326+H328+H329, 0)</f>
        <v>0</v>
      </c>
      <c r="Z331">
        <f>IF(Source!BI165=4,H325+H326+H328+H329, 0)</f>
        <v>0</v>
      </c>
    </row>
    <row r="332" spans="1:26" ht="71.25" x14ac:dyDescent="0.2">
      <c r="A332" s="38" t="str">
        <f>Source!E166</f>
        <v>34</v>
      </c>
      <c r="B332" s="39" t="str">
        <f>Source!F166</f>
        <v>м08-03-594-08</v>
      </c>
      <c r="C332" s="39" t="str">
        <f>Source!G166</f>
        <v>Демонтаж :Светильник отдельно устанавливаемый на подвесах (штангах) с количеством ламп в светильнике до 4 (на склад для хранения)</v>
      </c>
      <c r="D332" s="22" t="str">
        <f>Source!H166</f>
        <v>100 ШТ</v>
      </c>
      <c r="E332" s="10">
        <f>Source!I166</f>
        <v>1.2</v>
      </c>
      <c r="F332" s="23">
        <f>Source!AL166+Source!AM166+Source!AO166</f>
        <v>1663.44</v>
      </c>
      <c r="G332" s="24"/>
      <c r="H332" s="23"/>
      <c r="I332" s="24" t="str">
        <f>Source!BO166</f>
        <v/>
      </c>
      <c r="J332" s="24"/>
      <c r="K332" s="23"/>
      <c r="L332" s="25"/>
      <c r="S332">
        <f>ROUND((Source!FX166/100)*((ROUND(Source!AF166*Source!I166, 2)+ROUND(Source!AE166*Source!I166, 2))), 2)</f>
        <v>1177.5899999999999</v>
      </c>
      <c r="T332">
        <f>Source!X166</f>
        <v>7901.67</v>
      </c>
      <c r="U332">
        <f>ROUND((Source!FY166/100)*((ROUND(Source!AF166*Source!I166, 2)+ROUND(Source!AE166*Source!I166, 2))), 2)</f>
        <v>805.72</v>
      </c>
      <c r="V332">
        <f>Source!Y166</f>
        <v>5406.41</v>
      </c>
    </row>
    <row r="333" spans="1:26" x14ac:dyDescent="0.2">
      <c r="C333" s="18" t="str">
        <f>"Объем: "&amp;Source!I166&amp;"=120/"&amp;"100"</f>
        <v>Объем: 1,2=120/100</v>
      </c>
    </row>
    <row r="334" spans="1:26" ht="14.25" x14ac:dyDescent="0.2">
      <c r="A334" s="38"/>
      <c r="B334" s="39"/>
      <c r="C334" s="39" t="s">
        <v>999</v>
      </c>
      <c r="D334" s="22"/>
      <c r="E334" s="10"/>
      <c r="F334" s="23">
        <f>Source!AO166</f>
        <v>1468.16</v>
      </c>
      <c r="G334" s="24" t="str">
        <f>Source!DG166</f>
        <v>)*0,7</v>
      </c>
      <c r="H334" s="23">
        <f>ROUND(Source!AF166*Source!I166, 2)</f>
        <v>1233.25</v>
      </c>
      <c r="I334" s="24"/>
      <c r="J334" s="24">
        <f>IF(Source!BA166&lt;&gt; 0, Source!BA166, 1)</f>
        <v>6.71</v>
      </c>
      <c r="K334" s="23">
        <f>Source!S166</f>
        <v>8275.1200000000008</v>
      </c>
      <c r="L334" s="25"/>
      <c r="R334">
        <f>H334</f>
        <v>1233.25</v>
      </c>
    </row>
    <row r="335" spans="1:26" ht="14.25" x14ac:dyDescent="0.2">
      <c r="A335" s="38"/>
      <c r="B335" s="39"/>
      <c r="C335" s="39" t="s">
        <v>301</v>
      </c>
      <c r="D335" s="22"/>
      <c r="E335" s="10"/>
      <c r="F335" s="23">
        <f>Source!AM166</f>
        <v>53.31</v>
      </c>
      <c r="G335" s="24" t="str">
        <f>Source!DE166</f>
        <v>)*0,7</v>
      </c>
      <c r="H335" s="23">
        <f>ROUND(Source!AD166*Source!I166, 2)</f>
        <v>44.78</v>
      </c>
      <c r="I335" s="24"/>
      <c r="J335" s="24">
        <f>IF(Source!BB166&lt;&gt; 0, Source!BB166, 1)</f>
        <v>6.71</v>
      </c>
      <c r="K335" s="23">
        <f>Source!Q166</f>
        <v>300.5</v>
      </c>
      <c r="L335" s="25"/>
    </row>
    <row r="336" spans="1:26" ht="14.25" x14ac:dyDescent="0.2">
      <c r="A336" s="38"/>
      <c r="B336" s="39"/>
      <c r="C336" s="39" t="s">
        <v>1000</v>
      </c>
      <c r="D336" s="22"/>
      <c r="E336" s="10"/>
      <c r="F336" s="23">
        <f>Source!AN166</f>
        <v>7.53</v>
      </c>
      <c r="G336" s="24" t="str">
        <f>Source!DF166</f>
        <v>)*0,7</v>
      </c>
      <c r="H336" s="26">
        <f>ROUND(Source!AE166*Source!I166, 2)</f>
        <v>6.32</v>
      </c>
      <c r="I336" s="24"/>
      <c r="J336" s="24">
        <f>IF(Source!BS166&lt;&gt; 0, Source!BS166, 1)</f>
        <v>6.71</v>
      </c>
      <c r="K336" s="26">
        <f>Source!R166</f>
        <v>42.43</v>
      </c>
      <c r="L336" s="25"/>
      <c r="R336">
        <f>H336</f>
        <v>6.32</v>
      </c>
    </row>
    <row r="337" spans="1:26" ht="14.25" x14ac:dyDescent="0.2">
      <c r="A337" s="38"/>
      <c r="B337" s="39"/>
      <c r="C337" s="39" t="s">
        <v>1001</v>
      </c>
      <c r="D337" s="22" t="s">
        <v>1002</v>
      </c>
      <c r="E337" s="10">
        <f>Source!BZ166</f>
        <v>95</v>
      </c>
      <c r="F337" s="42"/>
      <c r="G337" s="24"/>
      <c r="H337" s="23">
        <f>SUM(S332:S339)</f>
        <v>1177.5899999999999</v>
      </c>
      <c r="I337" s="27"/>
      <c r="J337" s="21">
        <f>Source!AT166</f>
        <v>95</v>
      </c>
      <c r="K337" s="23">
        <f>SUM(T332:T339)</f>
        <v>7901.67</v>
      </c>
      <c r="L337" s="25"/>
    </row>
    <row r="338" spans="1:26" ht="14.25" x14ac:dyDescent="0.2">
      <c r="A338" s="38"/>
      <c r="B338" s="39"/>
      <c r="C338" s="39" t="s">
        <v>1003</v>
      </c>
      <c r="D338" s="22" t="s">
        <v>1002</v>
      </c>
      <c r="E338" s="10">
        <f>Source!CA166</f>
        <v>65</v>
      </c>
      <c r="F338" s="42"/>
      <c r="G338" s="24"/>
      <c r="H338" s="23">
        <f>SUM(U332:U339)</f>
        <v>805.72</v>
      </c>
      <c r="I338" s="27"/>
      <c r="J338" s="21">
        <f>Source!AU166</f>
        <v>65</v>
      </c>
      <c r="K338" s="23">
        <f>SUM(V332:V339)</f>
        <v>5406.41</v>
      </c>
      <c r="L338" s="25"/>
    </row>
    <row r="339" spans="1:26" ht="14.25" x14ac:dyDescent="0.2">
      <c r="A339" s="40"/>
      <c r="B339" s="41"/>
      <c r="C339" s="41" t="s">
        <v>1004</v>
      </c>
      <c r="D339" s="28" t="s">
        <v>1005</v>
      </c>
      <c r="E339" s="29">
        <f>Source!AQ166</f>
        <v>148</v>
      </c>
      <c r="F339" s="30"/>
      <c r="G339" s="31" t="str">
        <f>Source!DI166</f>
        <v>)*0,7</v>
      </c>
      <c r="H339" s="30"/>
      <c r="I339" s="31"/>
      <c r="J339" s="31"/>
      <c r="K339" s="30"/>
      <c r="L339" s="32">
        <f>Source!U166</f>
        <v>124.32</v>
      </c>
    </row>
    <row r="340" spans="1:26" ht="15" x14ac:dyDescent="0.25">
      <c r="G340" s="45">
        <f>H334+H335+H337+H338</f>
        <v>3261.34</v>
      </c>
      <c r="H340" s="45"/>
      <c r="J340" s="45">
        <f>K334+K335+K337+K338</f>
        <v>21883.7</v>
      </c>
      <c r="K340" s="45"/>
      <c r="L340" s="33">
        <f>Source!U166</f>
        <v>124.32</v>
      </c>
      <c r="O340" s="19">
        <f>G340</f>
        <v>3261.34</v>
      </c>
      <c r="P340" s="19">
        <f>J340</f>
        <v>21883.7</v>
      </c>
      <c r="Q340" s="19">
        <f>L340</f>
        <v>124.32</v>
      </c>
      <c r="W340">
        <f>IF(Source!BI166&lt;=1,H334+H335+H337+H338, 0)</f>
        <v>0</v>
      </c>
      <c r="X340">
        <f>IF(Source!BI166=2,H334+H335+H337+H338, 0)</f>
        <v>3261.34</v>
      </c>
      <c r="Y340">
        <f>IF(Source!BI166=3,H334+H335+H337+H338, 0)</f>
        <v>0</v>
      </c>
      <c r="Z340">
        <f>IF(Source!BI166=4,H334+H335+H337+H338, 0)</f>
        <v>0</v>
      </c>
    </row>
    <row r="341" spans="1:26" ht="85.5" x14ac:dyDescent="0.2">
      <c r="A341" s="38" t="str">
        <f>Source!E167</f>
        <v>35</v>
      </c>
      <c r="B341" s="39" t="str">
        <f>Source!F167</f>
        <v>м08-03-525-09 прим.</v>
      </c>
      <c r="C341" s="39" t="str">
        <f>Source!G167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341" s="22" t="str">
        <f>Source!H167</f>
        <v>КОМПЛ</v>
      </c>
      <c r="E341" s="10">
        <f>Source!I167</f>
        <v>1</v>
      </c>
      <c r="F341" s="23">
        <f>Source!AL167+Source!AM167+Source!AO167</f>
        <v>65.78</v>
      </c>
      <c r="G341" s="24"/>
      <c r="H341" s="23"/>
      <c r="I341" s="24" t="str">
        <f>Source!BO167</f>
        <v/>
      </c>
      <c r="J341" s="24"/>
      <c r="K341" s="23"/>
      <c r="L341" s="25"/>
      <c r="S341">
        <f>ROUND((Source!FX167/100)*((ROUND(Source!AF167*Source!I167, 2)+ROUND(Source!AE167*Source!I167, 2))), 2)</f>
        <v>12.33</v>
      </c>
      <c r="T341">
        <f>Source!X167</f>
        <v>82.75</v>
      </c>
      <c r="U341">
        <f>ROUND((Source!FY167/100)*((ROUND(Source!AF167*Source!I167, 2)+ROUND(Source!AE167*Source!I167, 2))), 2)</f>
        <v>8.44</v>
      </c>
      <c r="V341">
        <f>Source!Y167</f>
        <v>56.62</v>
      </c>
    </row>
    <row r="342" spans="1:26" ht="14.25" x14ac:dyDescent="0.2">
      <c r="A342" s="38"/>
      <c r="B342" s="39"/>
      <c r="C342" s="39" t="s">
        <v>999</v>
      </c>
      <c r="D342" s="22"/>
      <c r="E342" s="10"/>
      <c r="F342" s="23">
        <f>Source!AO167</f>
        <v>21.63</v>
      </c>
      <c r="G342" s="24" t="str">
        <f>Source!DG167</f>
        <v>)*0,6</v>
      </c>
      <c r="H342" s="23">
        <f>ROUND(Source!AF167*Source!I167, 2)</f>
        <v>12.98</v>
      </c>
      <c r="I342" s="24"/>
      <c r="J342" s="24">
        <f>IF(Source!BA167&lt;&gt; 0, Source!BA167, 1)</f>
        <v>6.71</v>
      </c>
      <c r="K342" s="23">
        <f>Source!S167</f>
        <v>87.1</v>
      </c>
      <c r="L342" s="25"/>
      <c r="R342">
        <f>H342</f>
        <v>12.98</v>
      </c>
    </row>
    <row r="343" spans="1:26" ht="14.25" x14ac:dyDescent="0.2">
      <c r="A343" s="38"/>
      <c r="B343" s="39"/>
      <c r="C343" s="39" t="s">
        <v>301</v>
      </c>
      <c r="D343" s="22"/>
      <c r="E343" s="10"/>
      <c r="F343" s="23">
        <f>Source!AM167</f>
        <v>0.59</v>
      </c>
      <c r="G343" s="24" t="str">
        <f>Source!DE167</f>
        <v>)*0,6</v>
      </c>
      <c r="H343" s="23">
        <f>ROUND(Source!AD167*Source!I167, 2)</f>
        <v>0.35</v>
      </c>
      <c r="I343" s="24"/>
      <c r="J343" s="24">
        <f>IF(Source!BB167&lt;&gt; 0, Source!BB167, 1)</f>
        <v>6.71</v>
      </c>
      <c r="K343" s="23">
        <f>Source!Q167</f>
        <v>2.35</v>
      </c>
      <c r="L343" s="25"/>
    </row>
    <row r="344" spans="1:26" ht="14.25" x14ac:dyDescent="0.2">
      <c r="A344" s="38"/>
      <c r="B344" s="39"/>
      <c r="C344" s="39" t="s">
        <v>1001</v>
      </c>
      <c r="D344" s="22" t="s">
        <v>1002</v>
      </c>
      <c r="E344" s="10">
        <f>Source!BZ167</f>
        <v>95</v>
      </c>
      <c r="F344" s="42"/>
      <c r="G344" s="24"/>
      <c r="H344" s="23">
        <f>SUM(S341:S346)</f>
        <v>12.33</v>
      </c>
      <c r="I344" s="27"/>
      <c r="J344" s="21">
        <f>Source!AT167</f>
        <v>95</v>
      </c>
      <c r="K344" s="23">
        <f>SUM(T341:T346)</f>
        <v>82.75</v>
      </c>
      <c r="L344" s="25"/>
    </row>
    <row r="345" spans="1:26" ht="14.25" x14ac:dyDescent="0.2">
      <c r="A345" s="38"/>
      <c r="B345" s="39"/>
      <c r="C345" s="39" t="s">
        <v>1003</v>
      </c>
      <c r="D345" s="22" t="s">
        <v>1002</v>
      </c>
      <c r="E345" s="10">
        <f>Source!CA167</f>
        <v>65</v>
      </c>
      <c r="F345" s="42"/>
      <c r="G345" s="24"/>
      <c r="H345" s="23">
        <f>SUM(U341:U346)</f>
        <v>8.44</v>
      </c>
      <c r="I345" s="27"/>
      <c r="J345" s="21">
        <f>Source!AU167</f>
        <v>65</v>
      </c>
      <c r="K345" s="23">
        <f>SUM(V341:V346)</f>
        <v>56.62</v>
      </c>
      <c r="L345" s="25"/>
    </row>
    <row r="346" spans="1:26" ht="14.25" x14ac:dyDescent="0.2">
      <c r="A346" s="40"/>
      <c r="B346" s="41"/>
      <c r="C346" s="41" t="s">
        <v>1004</v>
      </c>
      <c r="D346" s="28" t="s">
        <v>1005</v>
      </c>
      <c r="E346" s="29">
        <f>Source!AQ167</f>
        <v>2.09</v>
      </c>
      <c r="F346" s="30"/>
      <c r="G346" s="31" t="str">
        <f>Source!DI167</f>
        <v>)*0,6</v>
      </c>
      <c r="H346" s="30"/>
      <c r="I346" s="31"/>
      <c r="J346" s="31"/>
      <c r="K346" s="30"/>
      <c r="L346" s="32">
        <f>Source!U167</f>
        <v>1.2539999999999998</v>
      </c>
    </row>
    <row r="347" spans="1:26" ht="15" x14ac:dyDescent="0.25">
      <c r="G347" s="45">
        <f>H342+H343+H344+H345</f>
        <v>34.1</v>
      </c>
      <c r="H347" s="45"/>
      <c r="J347" s="45">
        <f>K342+K343+K344+K345</f>
        <v>228.82</v>
      </c>
      <c r="K347" s="45"/>
      <c r="L347" s="33">
        <f>Source!U167</f>
        <v>1.2539999999999998</v>
      </c>
      <c r="O347" s="19">
        <f>G347</f>
        <v>34.1</v>
      </c>
      <c r="P347" s="19">
        <f>J347</f>
        <v>228.82</v>
      </c>
      <c r="Q347" s="19">
        <f>L347</f>
        <v>1.2539999999999998</v>
      </c>
      <c r="W347">
        <f>IF(Source!BI167&lt;=1,H342+H343+H344+H345, 0)</f>
        <v>0</v>
      </c>
      <c r="X347">
        <f>IF(Source!BI167=2,H342+H343+H344+H345, 0)</f>
        <v>34.1</v>
      </c>
      <c r="Y347">
        <f>IF(Source!BI167=3,H342+H343+H344+H345, 0)</f>
        <v>0</v>
      </c>
      <c r="Z347">
        <f>IF(Source!BI167=4,H342+H343+H344+H345, 0)</f>
        <v>0</v>
      </c>
    </row>
    <row r="348" spans="1:26" ht="85.5" x14ac:dyDescent="0.2">
      <c r="A348" s="38" t="str">
        <f>Source!E168</f>
        <v>36</v>
      </c>
      <c r="B348" s="39" t="str">
        <f>Source!F168</f>
        <v>м08-03-525-09 прим.</v>
      </c>
      <c r="C348" s="39" t="str">
        <f>Source!G168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348" s="22" t="str">
        <f>Source!H168</f>
        <v>КОМПЛ</v>
      </c>
      <c r="E348" s="10">
        <f>Source!I168</f>
        <v>1</v>
      </c>
      <c r="F348" s="23">
        <f>Source!AL168+Source!AM168+Source!AO168</f>
        <v>65.78</v>
      </c>
      <c r="G348" s="24"/>
      <c r="H348" s="23"/>
      <c r="I348" s="24" t="str">
        <f>Source!BO168</f>
        <v/>
      </c>
      <c r="J348" s="24"/>
      <c r="K348" s="23"/>
      <c r="L348" s="25"/>
      <c r="S348">
        <f>ROUND((Source!FX168/100)*((ROUND(Source!AF168*Source!I168, 2)+ROUND(Source!AE168*Source!I168, 2))), 2)</f>
        <v>20.55</v>
      </c>
      <c r="T348">
        <f>Source!X168</f>
        <v>137.88</v>
      </c>
      <c r="U348">
        <f>ROUND((Source!FY168/100)*((ROUND(Source!AF168*Source!I168, 2)+ROUND(Source!AE168*Source!I168, 2))), 2)</f>
        <v>14.06</v>
      </c>
      <c r="V348">
        <f>Source!Y168</f>
        <v>94.34</v>
      </c>
    </row>
    <row r="349" spans="1:26" ht="14.25" x14ac:dyDescent="0.2">
      <c r="A349" s="38"/>
      <c r="B349" s="39"/>
      <c r="C349" s="39" t="s">
        <v>999</v>
      </c>
      <c r="D349" s="22"/>
      <c r="E349" s="10"/>
      <c r="F349" s="23">
        <f>Source!AO168</f>
        <v>21.63</v>
      </c>
      <c r="G349" s="24" t="str">
        <f>Source!DG168</f>
        <v/>
      </c>
      <c r="H349" s="23">
        <f>ROUND(Source!AF168*Source!I168, 2)</f>
        <v>21.63</v>
      </c>
      <c r="I349" s="24"/>
      <c r="J349" s="24">
        <f>IF(Source!BA168&lt;&gt; 0, Source!BA168, 1)</f>
        <v>6.71</v>
      </c>
      <c r="K349" s="23">
        <f>Source!S168</f>
        <v>145.13999999999999</v>
      </c>
      <c r="L349" s="25"/>
      <c r="R349">
        <f>H349</f>
        <v>21.63</v>
      </c>
    </row>
    <row r="350" spans="1:26" ht="14.25" x14ac:dyDescent="0.2">
      <c r="A350" s="38"/>
      <c r="B350" s="39"/>
      <c r="C350" s="39" t="s">
        <v>301</v>
      </c>
      <c r="D350" s="22"/>
      <c r="E350" s="10"/>
      <c r="F350" s="23">
        <f>Source!AM168</f>
        <v>0.59</v>
      </c>
      <c r="G350" s="24" t="str">
        <f>Source!DE168</f>
        <v/>
      </c>
      <c r="H350" s="23">
        <f>ROUND(Source!AD168*Source!I168, 2)</f>
        <v>0.59</v>
      </c>
      <c r="I350" s="24"/>
      <c r="J350" s="24">
        <f>IF(Source!BB168&lt;&gt; 0, Source!BB168, 1)</f>
        <v>6.71</v>
      </c>
      <c r="K350" s="23">
        <f>Source!Q168</f>
        <v>3.96</v>
      </c>
      <c r="L350" s="25"/>
    </row>
    <row r="351" spans="1:26" ht="14.25" x14ac:dyDescent="0.2">
      <c r="A351" s="38"/>
      <c r="B351" s="39"/>
      <c r="C351" s="39" t="s">
        <v>1006</v>
      </c>
      <c r="D351" s="22"/>
      <c r="E351" s="10"/>
      <c r="F351" s="23">
        <f>Source!AL168</f>
        <v>43.56</v>
      </c>
      <c r="G351" s="24" t="str">
        <f>Source!DD168</f>
        <v/>
      </c>
      <c r="H351" s="23">
        <f>ROUND(Source!AC168*Source!I168, 2)</f>
        <v>43.56</v>
      </c>
      <c r="I351" s="24"/>
      <c r="J351" s="24">
        <f>IF(Source!BC168&lt;&gt; 0, Source!BC168, 1)</f>
        <v>6.71</v>
      </c>
      <c r="K351" s="23">
        <f>Source!P168</f>
        <v>292.29000000000002</v>
      </c>
      <c r="L351" s="25"/>
    </row>
    <row r="352" spans="1:26" ht="14.25" x14ac:dyDescent="0.2">
      <c r="A352" s="38"/>
      <c r="B352" s="39"/>
      <c r="C352" s="39" t="s">
        <v>1001</v>
      </c>
      <c r="D352" s="22" t="s">
        <v>1002</v>
      </c>
      <c r="E352" s="10">
        <f>Source!BZ168</f>
        <v>95</v>
      </c>
      <c r="F352" s="42"/>
      <c r="G352" s="24"/>
      <c r="H352" s="23">
        <f>SUM(S348:S354)</f>
        <v>20.55</v>
      </c>
      <c r="I352" s="27"/>
      <c r="J352" s="21">
        <f>Source!AT168</f>
        <v>95</v>
      </c>
      <c r="K352" s="23">
        <f>SUM(T348:T354)</f>
        <v>137.88</v>
      </c>
      <c r="L352" s="25"/>
    </row>
    <row r="353" spans="1:26" ht="14.25" x14ac:dyDescent="0.2">
      <c r="A353" s="38"/>
      <c r="B353" s="39"/>
      <c r="C353" s="39" t="s">
        <v>1003</v>
      </c>
      <c r="D353" s="22" t="s">
        <v>1002</v>
      </c>
      <c r="E353" s="10">
        <f>Source!CA168</f>
        <v>65</v>
      </c>
      <c r="F353" s="42"/>
      <c r="G353" s="24"/>
      <c r="H353" s="23">
        <f>SUM(U348:U354)</f>
        <v>14.06</v>
      </c>
      <c r="I353" s="27"/>
      <c r="J353" s="21">
        <f>Source!AU168</f>
        <v>65</v>
      </c>
      <c r="K353" s="23">
        <f>SUM(V348:V354)</f>
        <v>94.34</v>
      </c>
      <c r="L353" s="25"/>
    </row>
    <row r="354" spans="1:26" ht="14.25" x14ac:dyDescent="0.2">
      <c r="A354" s="40"/>
      <c r="B354" s="41"/>
      <c r="C354" s="41" t="s">
        <v>1004</v>
      </c>
      <c r="D354" s="28" t="s">
        <v>1005</v>
      </c>
      <c r="E354" s="29">
        <f>Source!AQ168</f>
        <v>2.09</v>
      </c>
      <c r="F354" s="30"/>
      <c r="G354" s="31" t="str">
        <f>Source!DI168</f>
        <v/>
      </c>
      <c r="H354" s="30"/>
      <c r="I354" s="31"/>
      <c r="J354" s="31"/>
      <c r="K354" s="30"/>
      <c r="L354" s="32">
        <f>Source!U168</f>
        <v>2.09</v>
      </c>
    </row>
    <row r="355" spans="1:26" ht="15" x14ac:dyDescent="0.25">
      <c r="G355" s="45">
        <f>H349+H350+H351+H352+H353</f>
        <v>100.39</v>
      </c>
      <c r="H355" s="45"/>
      <c r="J355" s="45">
        <f>K349+K350+K351+K352+K353</f>
        <v>673.61</v>
      </c>
      <c r="K355" s="45"/>
      <c r="L355" s="33">
        <f>Source!U168</f>
        <v>2.09</v>
      </c>
      <c r="O355" s="19">
        <f>G355</f>
        <v>100.39</v>
      </c>
      <c r="P355" s="19">
        <f>J355</f>
        <v>673.61</v>
      </c>
      <c r="Q355" s="19">
        <f>L355</f>
        <v>2.09</v>
      </c>
      <c r="W355">
        <f>IF(Source!BI168&lt;=1,H349+H350+H351+H352+H353, 0)</f>
        <v>0</v>
      </c>
      <c r="X355">
        <f>IF(Source!BI168=2,H349+H350+H351+H352+H353, 0)</f>
        <v>100.39</v>
      </c>
      <c r="Y355">
        <f>IF(Source!BI168=3,H349+H350+H351+H352+H353, 0)</f>
        <v>0</v>
      </c>
      <c r="Z355">
        <f>IF(Source!BI168=4,H349+H350+H351+H352+H353, 0)</f>
        <v>0</v>
      </c>
    </row>
    <row r="356" spans="1:26" ht="14.25" x14ac:dyDescent="0.2">
      <c r="A356" s="38" t="str">
        <f>Source!E169</f>
        <v>37</v>
      </c>
      <c r="B356" s="39" t="str">
        <f>Source!F169</f>
        <v>67-4-1</v>
      </c>
      <c r="C356" s="39" t="str">
        <f>Source!G169</f>
        <v>Демонтаж выключателей, розеток</v>
      </c>
      <c r="D356" s="22" t="str">
        <f>Source!H169</f>
        <v>100 ШТ</v>
      </c>
      <c r="E356" s="10">
        <f>Source!I169</f>
        <v>0.3</v>
      </c>
      <c r="F356" s="23">
        <f>Source!AL169+Source!AM169+Source!AO169</f>
        <v>45.55</v>
      </c>
      <c r="G356" s="24"/>
      <c r="H356" s="23"/>
      <c r="I356" s="24" t="str">
        <f>Source!BO169</f>
        <v/>
      </c>
      <c r="J356" s="24"/>
      <c r="K356" s="23"/>
      <c r="L356" s="25"/>
      <c r="S356">
        <f>ROUND((Source!FX169/100)*((ROUND(Source!AF169*Source!I169, 2)+ROUND(Source!AE169*Source!I169, 2))), 2)</f>
        <v>11.62</v>
      </c>
      <c r="T356">
        <f>Source!X169</f>
        <v>77.94</v>
      </c>
      <c r="U356">
        <f>ROUND((Source!FY169/100)*((ROUND(Source!AF169*Source!I169, 2)+ROUND(Source!AE169*Source!I169, 2))), 2)</f>
        <v>8.89</v>
      </c>
      <c r="V356">
        <f>Source!Y169</f>
        <v>59.6</v>
      </c>
    </row>
    <row r="357" spans="1:26" ht="14.25" x14ac:dyDescent="0.2">
      <c r="A357" s="38"/>
      <c r="B357" s="39"/>
      <c r="C357" s="39" t="s">
        <v>999</v>
      </c>
      <c r="D357" s="22"/>
      <c r="E357" s="10"/>
      <c r="F357" s="23">
        <f>Source!AO169</f>
        <v>45.55</v>
      </c>
      <c r="G357" s="24" t="str">
        <f>Source!DG169</f>
        <v/>
      </c>
      <c r="H357" s="23">
        <f>ROUND(Source!AF169*Source!I169, 2)</f>
        <v>13.67</v>
      </c>
      <c r="I357" s="24"/>
      <c r="J357" s="24">
        <f>IF(Source!BA169&lt;&gt; 0, Source!BA169, 1)</f>
        <v>6.71</v>
      </c>
      <c r="K357" s="23">
        <f>Source!S169</f>
        <v>91.69</v>
      </c>
      <c r="L357" s="25"/>
      <c r="R357">
        <f>H357</f>
        <v>13.67</v>
      </c>
    </row>
    <row r="358" spans="1:26" ht="14.25" x14ac:dyDescent="0.2">
      <c r="A358" s="38"/>
      <c r="B358" s="39"/>
      <c r="C358" s="39" t="s">
        <v>1001</v>
      </c>
      <c r="D358" s="22" t="s">
        <v>1002</v>
      </c>
      <c r="E358" s="10">
        <f>Source!BZ169</f>
        <v>85</v>
      </c>
      <c r="F358" s="42"/>
      <c r="G358" s="24"/>
      <c r="H358" s="23">
        <f>SUM(S356:S360)</f>
        <v>11.62</v>
      </c>
      <c r="I358" s="27"/>
      <c r="J358" s="21">
        <f>Source!AT169</f>
        <v>85</v>
      </c>
      <c r="K358" s="23">
        <f>SUM(T356:T360)</f>
        <v>77.94</v>
      </c>
      <c r="L358" s="25"/>
    </row>
    <row r="359" spans="1:26" ht="14.25" x14ac:dyDescent="0.2">
      <c r="A359" s="38"/>
      <c r="B359" s="39"/>
      <c r="C359" s="39" t="s">
        <v>1003</v>
      </c>
      <c r="D359" s="22" t="s">
        <v>1002</v>
      </c>
      <c r="E359" s="10">
        <f>Source!CA169</f>
        <v>65</v>
      </c>
      <c r="F359" s="42"/>
      <c r="G359" s="24"/>
      <c r="H359" s="23">
        <f>SUM(U356:U360)</f>
        <v>8.89</v>
      </c>
      <c r="I359" s="27"/>
      <c r="J359" s="21">
        <f>Source!AU169</f>
        <v>65</v>
      </c>
      <c r="K359" s="23">
        <f>SUM(V356:V360)</f>
        <v>59.6</v>
      </c>
      <c r="L359" s="25"/>
    </row>
    <row r="360" spans="1:26" ht="14.25" x14ac:dyDescent="0.2">
      <c r="A360" s="40"/>
      <c r="B360" s="41"/>
      <c r="C360" s="41" t="s">
        <v>1004</v>
      </c>
      <c r="D360" s="28" t="s">
        <v>1005</v>
      </c>
      <c r="E360" s="29">
        <f>Source!AQ169</f>
        <v>5.84</v>
      </c>
      <c r="F360" s="30"/>
      <c r="G360" s="31" t="str">
        <f>Source!DI169</f>
        <v/>
      </c>
      <c r="H360" s="30"/>
      <c r="I360" s="31"/>
      <c r="J360" s="31"/>
      <c r="K360" s="30"/>
      <c r="L360" s="32">
        <f>Source!U169</f>
        <v>1.752</v>
      </c>
    </row>
    <row r="361" spans="1:26" ht="15" x14ac:dyDescent="0.25">
      <c r="G361" s="45">
        <f>H357+H358+H359</f>
        <v>34.18</v>
      </c>
      <c r="H361" s="45"/>
      <c r="J361" s="45">
        <f>K357+K358+K359</f>
        <v>229.23</v>
      </c>
      <c r="K361" s="45"/>
      <c r="L361" s="33">
        <f>Source!U169</f>
        <v>1.752</v>
      </c>
      <c r="O361" s="19">
        <f>G361</f>
        <v>34.18</v>
      </c>
      <c r="P361" s="19">
        <f>J361</f>
        <v>229.23</v>
      </c>
      <c r="Q361" s="19">
        <f>L361</f>
        <v>1.752</v>
      </c>
      <c r="W361">
        <f>IF(Source!BI169&lt;=1,H357+H358+H359, 0)</f>
        <v>34.18</v>
      </c>
      <c r="X361">
        <f>IF(Source!BI169=2,H357+H358+H359, 0)</f>
        <v>0</v>
      </c>
      <c r="Y361">
        <f>IF(Source!BI169=3,H357+H358+H359, 0)</f>
        <v>0</v>
      </c>
      <c r="Z361">
        <f>IF(Source!BI169=4,H357+H358+H359, 0)</f>
        <v>0</v>
      </c>
    </row>
    <row r="362" spans="1:26" ht="42.75" x14ac:dyDescent="0.2">
      <c r="A362" s="38" t="str">
        <f>Source!E170</f>
        <v>38</v>
      </c>
      <c r="B362" s="39" t="str">
        <f>Source!F170</f>
        <v>69-1-2</v>
      </c>
      <c r="C362" s="39" t="str">
        <f>Source!G170</f>
        <v>Пробивка отверстий в кирпичных стенах для  вручную при толщине стен в 1 кирпич</v>
      </c>
      <c r="D362" s="22" t="str">
        <f>Source!H170</f>
        <v>100 ШТ</v>
      </c>
      <c r="E362" s="10">
        <f>Source!I170</f>
        <v>0.14000000000000001</v>
      </c>
      <c r="F362" s="23">
        <f>Source!AL170+Source!AM170+Source!AO170</f>
        <v>666.9</v>
      </c>
      <c r="G362" s="24"/>
      <c r="H362" s="23"/>
      <c r="I362" s="24" t="str">
        <f>Source!BO170</f>
        <v/>
      </c>
      <c r="J362" s="24"/>
      <c r="K362" s="23"/>
      <c r="L362" s="25"/>
      <c r="S362">
        <f>ROUND((Source!FX170/100)*((ROUND(Source!AF170*Source!I170, 2)+ROUND(Source!AE170*Source!I170, 2))), 2)</f>
        <v>72.83</v>
      </c>
      <c r="T362">
        <f>Source!X170</f>
        <v>488.66</v>
      </c>
      <c r="U362">
        <f>ROUND((Source!FY170/100)*((ROUND(Source!AF170*Source!I170, 2)+ROUND(Source!AE170*Source!I170, 2))), 2)</f>
        <v>46.69</v>
      </c>
      <c r="V362">
        <f>Source!Y170</f>
        <v>313.25</v>
      </c>
    </row>
    <row r="363" spans="1:26" ht="14.25" x14ac:dyDescent="0.2">
      <c r="A363" s="38"/>
      <c r="B363" s="39"/>
      <c r="C363" s="39" t="s">
        <v>999</v>
      </c>
      <c r="D363" s="22"/>
      <c r="E363" s="10"/>
      <c r="F363" s="23">
        <f>Source!AO170</f>
        <v>666.9</v>
      </c>
      <c r="G363" s="24" t="str">
        <f>Source!DG170</f>
        <v/>
      </c>
      <c r="H363" s="23">
        <f>ROUND(Source!AF170*Source!I170, 2)</f>
        <v>93.37</v>
      </c>
      <c r="I363" s="24"/>
      <c r="J363" s="24">
        <f>IF(Source!BA170&lt;&gt; 0, Source!BA170, 1)</f>
        <v>6.71</v>
      </c>
      <c r="K363" s="23">
        <f>Source!S170</f>
        <v>626.49</v>
      </c>
      <c r="L363" s="25"/>
      <c r="R363">
        <f>H363</f>
        <v>93.37</v>
      </c>
    </row>
    <row r="364" spans="1:26" ht="14.25" x14ac:dyDescent="0.2">
      <c r="A364" s="38"/>
      <c r="B364" s="39"/>
      <c r="C364" s="39" t="s">
        <v>1001</v>
      </c>
      <c r="D364" s="22" t="s">
        <v>1002</v>
      </c>
      <c r="E364" s="10">
        <f>Source!BZ170</f>
        <v>78</v>
      </c>
      <c r="F364" s="42"/>
      <c r="G364" s="24"/>
      <c r="H364" s="23">
        <f>SUM(S362:S366)</f>
        <v>72.83</v>
      </c>
      <c r="I364" s="27"/>
      <c r="J364" s="21">
        <f>Source!AT170</f>
        <v>78</v>
      </c>
      <c r="K364" s="23">
        <f>SUM(T362:T366)</f>
        <v>488.66</v>
      </c>
      <c r="L364" s="25"/>
    </row>
    <row r="365" spans="1:26" ht="14.25" x14ac:dyDescent="0.2">
      <c r="A365" s="38"/>
      <c r="B365" s="39"/>
      <c r="C365" s="39" t="s">
        <v>1003</v>
      </c>
      <c r="D365" s="22" t="s">
        <v>1002</v>
      </c>
      <c r="E365" s="10">
        <f>Source!CA170</f>
        <v>50</v>
      </c>
      <c r="F365" s="42"/>
      <c r="G365" s="24"/>
      <c r="H365" s="23">
        <f>SUM(U362:U366)</f>
        <v>46.69</v>
      </c>
      <c r="I365" s="27"/>
      <c r="J365" s="21">
        <f>Source!AU170</f>
        <v>50</v>
      </c>
      <c r="K365" s="23">
        <f>SUM(V362:V366)</f>
        <v>313.25</v>
      </c>
      <c r="L365" s="25"/>
    </row>
    <row r="366" spans="1:26" ht="14.25" x14ac:dyDescent="0.2">
      <c r="A366" s="40"/>
      <c r="B366" s="41"/>
      <c r="C366" s="41" t="s">
        <v>1004</v>
      </c>
      <c r="D366" s="28" t="s">
        <v>1005</v>
      </c>
      <c r="E366" s="29">
        <f>Source!AQ170</f>
        <v>85.5</v>
      </c>
      <c r="F366" s="30"/>
      <c r="G366" s="31" t="str">
        <f>Source!DI170</f>
        <v/>
      </c>
      <c r="H366" s="30"/>
      <c r="I366" s="31"/>
      <c r="J366" s="31"/>
      <c r="K366" s="30"/>
      <c r="L366" s="32">
        <f>Source!U170</f>
        <v>11.97</v>
      </c>
    </row>
    <row r="367" spans="1:26" ht="15" x14ac:dyDescent="0.25">
      <c r="G367" s="45">
        <f>H363+H364+H365</f>
        <v>212.89</v>
      </c>
      <c r="H367" s="45"/>
      <c r="J367" s="45">
        <f>K363+K364+K365</f>
        <v>1428.4</v>
      </c>
      <c r="K367" s="45"/>
      <c r="L367" s="33">
        <f>Source!U170</f>
        <v>11.97</v>
      </c>
      <c r="O367" s="19">
        <f>G367</f>
        <v>212.89</v>
      </c>
      <c r="P367" s="19">
        <f>J367</f>
        <v>1428.4</v>
      </c>
      <c r="Q367" s="19">
        <f>L367</f>
        <v>11.97</v>
      </c>
      <c r="W367">
        <f>IF(Source!BI170&lt;=1,H363+H364+H365, 0)</f>
        <v>212.89</v>
      </c>
      <c r="X367">
        <f>IF(Source!BI170=2,H363+H364+H365, 0)</f>
        <v>0</v>
      </c>
      <c r="Y367">
        <f>IF(Source!BI170=3,H363+H364+H365, 0)</f>
        <v>0</v>
      </c>
      <c r="Z367">
        <f>IF(Source!BI170=4,H363+H364+H365, 0)</f>
        <v>0</v>
      </c>
    </row>
    <row r="368" spans="1:26" ht="28.5" x14ac:dyDescent="0.2">
      <c r="A368" s="38" t="str">
        <f>Source!E171</f>
        <v>39</v>
      </c>
      <c r="B368" s="39" t="str">
        <f>Source!F171</f>
        <v>м08-02-410-02 прим.</v>
      </c>
      <c r="C368" s="39" t="str">
        <f>Source!G171</f>
        <v>Труба полиэтиленовая по основанию пола, диаметр до 50 мм</v>
      </c>
      <c r="D368" s="22" t="str">
        <f>Source!H171</f>
        <v>100 м</v>
      </c>
      <c r="E368" s="10">
        <f>Source!I171</f>
        <v>9.8000000000000004E-2</v>
      </c>
      <c r="F368" s="23">
        <f>Source!AL171+Source!AM171+Source!AO171</f>
        <v>250.92</v>
      </c>
      <c r="G368" s="24"/>
      <c r="H368" s="23"/>
      <c r="I368" s="24" t="str">
        <f>Source!BO171</f>
        <v/>
      </c>
      <c r="J368" s="24"/>
      <c r="K368" s="23"/>
      <c r="L368" s="25"/>
      <c r="S368">
        <f>ROUND((Source!FX171/100)*((ROUND(Source!AF171*Source!I171, 2)+ROUND(Source!AE171*Source!I171, 2))), 2)</f>
        <v>13.63</v>
      </c>
      <c r="T368">
        <f>Source!X171</f>
        <v>91.46</v>
      </c>
      <c r="U368">
        <f>ROUND((Source!FY171/100)*((ROUND(Source!AF171*Source!I171, 2)+ROUND(Source!AE171*Source!I171, 2))), 2)</f>
        <v>9.33</v>
      </c>
      <c r="V368">
        <f>Source!Y171</f>
        <v>62.58</v>
      </c>
    </row>
    <row r="369" spans="1:26" x14ac:dyDescent="0.2">
      <c r="C369" s="18" t="str">
        <f>"Объем: "&amp;Source!I171&amp;"=9,8/"&amp;"100"</f>
        <v>Объем: 0,098=9,8/100</v>
      </c>
    </row>
    <row r="370" spans="1:26" ht="14.25" x14ac:dyDescent="0.2">
      <c r="A370" s="38"/>
      <c r="B370" s="39"/>
      <c r="C370" s="39" t="s">
        <v>999</v>
      </c>
      <c r="D370" s="22"/>
      <c r="E370" s="10"/>
      <c r="F370" s="23">
        <f>Source!AO171</f>
        <v>143.63</v>
      </c>
      <c r="G370" s="24" t="str">
        <f>Source!DG171</f>
        <v/>
      </c>
      <c r="H370" s="23">
        <f>ROUND(Source!AF171*Source!I171, 2)</f>
        <v>14.08</v>
      </c>
      <c r="I370" s="24"/>
      <c r="J370" s="24">
        <f>IF(Source!BA171&lt;&gt; 0, Source!BA171, 1)</f>
        <v>6.71</v>
      </c>
      <c r="K370" s="23">
        <f>Source!S171</f>
        <v>94.45</v>
      </c>
      <c r="L370" s="25"/>
      <c r="R370">
        <f>H370</f>
        <v>14.08</v>
      </c>
    </row>
    <row r="371" spans="1:26" ht="14.25" x14ac:dyDescent="0.2">
      <c r="A371" s="38"/>
      <c r="B371" s="39"/>
      <c r="C371" s="39" t="s">
        <v>301</v>
      </c>
      <c r="D371" s="22"/>
      <c r="E371" s="10"/>
      <c r="F371" s="23">
        <f>Source!AM171</f>
        <v>19.55</v>
      </c>
      <c r="G371" s="24" t="str">
        <f>Source!DE171</f>
        <v/>
      </c>
      <c r="H371" s="23">
        <f>ROUND(Source!AD171*Source!I171, 2)</f>
        <v>1.92</v>
      </c>
      <c r="I371" s="24"/>
      <c r="J371" s="24">
        <f>IF(Source!BB171&lt;&gt; 0, Source!BB171, 1)</f>
        <v>6.71</v>
      </c>
      <c r="K371" s="23">
        <f>Source!Q171</f>
        <v>12.86</v>
      </c>
      <c r="L371" s="25"/>
    </row>
    <row r="372" spans="1:26" ht="14.25" x14ac:dyDescent="0.2">
      <c r="A372" s="38"/>
      <c r="B372" s="39"/>
      <c r="C372" s="39" t="s">
        <v>1000</v>
      </c>
      <c r="D372" s="22"/>
      <c r="E372" s="10"/>
      <c r="F372" s="23">
        <f>Source!AN171</f>
        <v>2.77</v>
      </c>
      <c r="G372" s="24" t="str">
        <f>Source!DF171</f>
        <v/>
      </c>
      <c r="H372" s="26">
        <f>ROUND(Source!AE171*Source!I171, 2)</f>
        <v>0.27</v>
      </c>
      <c r="I372" s="24"/>
      <c r="J372" s="24">
        <f>IF(Source!BS171&lt;&gt; 0, Source!BS171, 1)</f>
        <v>6.71</v>
      </c>
      <c r="K372" s="26">
        <f>Source!R171</f>
        <v>1.82</v>
      </c>
      <c r="L372" s="25"/>
      <c r="R372">
        <f>H372</f>
        <v>0.27</v>
      </c>
    </row>
    <row r="373" spans="1:26" ht="14.25" x14ac:dyDescent="0.2">
      <c r="A373" s="38"/>
      <c r="B373" s="39"/>
      <c r="C373" s="39" t="s">
        <v>1006</v>
      </c>
      <c r="D373" s="22"/>
      <c r="E373" s="10"/>
      <c r="F373" s="23">
        <f>Source!AL171</f>
        <v>87.74</v>
      </c>
      <c r="G373" s="24" t="str">
        <f>Source!DD171</f>
        <v/>
      </c>
      <c r="H373" s="23">
        <f>ROUND(Source!AC171*Source!I171, 2)</f>
        <v>8.6</v>
      </c>
      <c r="I373" s="24"/>
      <c r="J373" s="24">
        <f>IF(Source!BC171&lt;&gt; 0, Source!BC171, 1)</f>
        <v>6.71</v>
      </c>
      <c r="K373" s="23">
        <f>Source!P171</f>
        <v>57.7</v>
      </c>
      <c r="L373" s="25"/>
    </row>
    <row r="374" spans="1:26" ht="14.25" x14ac:dyDescent="0.2">
      <c r="A374" s="38"/>
      <c r="B374" s="39"/>
      <c r="C374" s="39" t="s">
        <v>1001</v>
      </c>
      <c r="D374" s="22" t="s">
        <v>1002</v>
      </c>
      <c r="E374" s="10">
        <f>Source!BZ171</f>
        <v>95</v>
      </c>
      <c r="F374" s="42"/>
      <c r="G374" s="24"/>
      <c r="H374" s="23">
        <f>SUM(S368:S377)</f>
        <v>13.63</v>
      </c>
      <c r="I374" s="27"/>
      <c r="J374" s="21">
        <f>Source!AT171</f>
        <v>95</v>
      </c>
      <c r="K374" s="23">
        <f>SUM(T368:T377)</f>
        <v>91.46</v>
      </c>
      <c r="L374" s="25"/>
    </row>
    <row r="375" spans="1:26" ht="14.25" x14ac:dyDescent="0.2">
      <c r="A375" s="38"/>
      <c r="B375" s="39"/>
      <c r="C375" s="39" t="s">
        <v>1003</v>
      </c>
      <c r="D375" s="22" t="s">
        <v>1002</v>
      </c>
      <c r="E375" s="10">
        <f>Source!CA171</f>
        <v>65</v>
      </c>
      <c r="F375" s="42"/>
      <c r="G375" s="24"/>
      <c r="H375" s="23">
        <f>SUM(U368:U377)</f>
        <v>9.33</v>
      </c>
      <c r="I375" s="27"/>
      <c r="J375" s="21">
        <f>Source!AU171</f>
        <v>65</v>
      </c>
      <c r="K375" s="23">
        <f>SUM(V368:V377)</f>
        <v>62.58</v>
      </c>
      <c r="L375" s="25"/>
    </row>
    <row r="376" spans="1:26" ht="14.25" x14ac:dyDescent="0.2">
      <c r="A376" s="38"/>
      <c r="B376" s="39"/>
      <c r="C376" s="39" t="s">
        <v>1004</v>
      </c>
      <c r="D376" s="22" t="s">
        <v>1005</v>
      </c>
      <c r="E376" s="10">
        <f>Source!AQ171</f>
        <v>15.28</v>
      </c>
      <c r="F376" s="23"/>
      <c r="G376" s="24" t="str">
        <f>Source!DI171</f>
        <v/>
      </c>
      <c r="H376" s="23"/>
      <c r="I376" s="24"/>
      <c r="J376" s="24"/>
      <c r="K376" s="23"/>
      <c r="L376" s="34">
        <f>Source!U171</f>
        <v>1.4974400000000001</v>
      </c>
    </row>
    <row r="377" spans="1:26" ht="28.5" x14ac:dyDescent="0.2">
      <c r="A377" s="40" t="str">
        <f>Source!E172</f>
        <v>39,1</v>
      </c>
      <c r="B377" s="41" t="str">
        <f>Source!F172</f>
        <v>24.3.03.13-0304</v>
      </c>
      <c r="C377" s="41" t="str">
        <f>Source!G172</f>
        <v>Трубы гладкие одностенные легкие из ПНД, диаметром 32 мм</v>
      </c>
      <c r="D377" s="28" t="str">
        <f>Source!H172</f>
        <v>10 м</v>
      </c>
      <c r="E377" s="29">
        <f>Source!I172</f>
        <v>0.98</v>
      </c>
      <c r="F377" s="30">
        <f>Source!AL172+Source!AM172+Source!AO172</f>
        <v>99.42</v>
      </c>
      <c r="G377" s="35" t="s">
        <v>3</v>
      </c>
      <c r="H377" s="30">
        <f>ROUND(Source!AC172*Source!I172, 2)+ROUND(Source!AD172*Source!I172, 2)+ROUND(Source!AF172*Source!I172, 2)</f>
        <v>97.43</v>
      </c>
      <c r="I377" s="31"/>
      <c r="J377" s="31">
        <f>IF(Source!BC172&lt;&gt; 0, Source!BC172, 1)</f>
        <v>6.71</v>
      </c>
      <c r="K377" s="30">
        <f>Source!O172</f>
        <v>653.77</v>
      </c>
      <c r="L377" s="36"/>
      <c r="S377">
        <f>ROUND((Source!FX172/100)*((ROUND(Source!AF172*Source!I172, 2)+ROUND(Source!AE172*Source!I172, 2))), 2)</f>
        <v>0</v>
      </c>
      <c r="T377">
        <f>Source!X172</f>
        <v>0</v>
      </c>
      <c r="U377">
        <f>ROUND((Source!FY172/100)*((ROUND(Source!AF172*Source!I172, 2)+ROUND(Source!AE172*Source!I172, 2))), 2)</f>
        <v>0</v>
      </c>
      <c r="V377">
        <f>Source!Y172</f>
        <v>0</v>
      </c>
      <c r="W377">
        <f>IF(Source!BI172&lt;=1,H377, 0)</f>
        <v>0</v>
      </c>
      <c r="X377">
        <f>IF(Source!BI172=2,H377, 0)</f>
        <v>97.43</v>
      </c>
      <c r="Y377">
        <f>IF(Source!BI172=3,H377, 0)</f>
        <v>0</v>
      </c>
      <c r="Z377">
        <f>IF(Source!BI172=4,H377, 0)</f>
        <v>0</v>
      </c>
    </row>
    <row r="378" spans="1:26" ht="15" x14ac:dyDescent="0.25">
      <c r="G378" s="45">
        <f>H370+H371+H373+H374+H375+SUM(H377:H377)</f>
        <v>144.99</v>
      </c>
      <c r="H378" s="45"/>
      <c r="J378" s="45">
        <f>K370+K371+K373+K374+K375+SUM(K377:K377)</f>
        <v>972.81999999999994</v>
      </c>
      <c r="K378" s="45"/>
      <c r="L378" s="33">
        <f>Source!U171</f>
        <v>1.4974400000000001</v>
      </c>
      <c r="O378" s="19">
        <f>G378</f>
        <v>144.99</v>
      </c>
      <c r="P378" s="19">
        <f>J378</f>
        <v>972.81999999999994</v>
      </c>
      <c r="Q378" s="19">
        <f>L378</f>
        <v>1.4974400000000001</v>
      </c>
      <c r="W378">
        <f>IF(Source!BI171&lt;=1,H370+H371+H373+H374+H375, 0)</f>
        <v>0</v>
      </c>
      <c r="X378">
        <f>IF(Source!BI171=2,H370+H371+H373+H374+H375, 0)</f>
        <v>47.56</v>
      </c>
      <c r="Y378">
        <f>IF(Source!BI171=3,H370+H371+H373+H374+H375, 0)</f>
        <v>0</v>
      </c>
      <c r="Z378">
        <f>IF(Source!BI171=4,H370+H371+H373+H374+H375, 0)</f>
        <v>0</v>
      </c>
    </row>
    <row r="379" spans="1:26" ht="14.25" x14ac:dyDescent="0.2">
      <c r="A379" s="38" t="str">
        <f>Source!E173</f>
        <v>40</v>
      </c>
      <c r="B379" s="39" t="str">
        <f>Source!F173</f>
        <v>м10-08-019-01</v>
      </c>
      <c r="C379" s="39" t="str">
        <f>Source!G173</f>
        <v>Коробка ответвительная на стене</v>
      </c>
      <c r="D379" s="22" t="str">
        <f>Source!H173</f>
        <v>ШТ</v>
      </c>
      <c r="E379" s="10">
        <f>Source!I173</f>
        <v>142</v>
      </c>
      <c r="F379" s="23">
        <f>Source!AL173+Source!AM173+Source!AO173</f>
        <v>5.29</v>
      </c>
      <c r="G379" s="24"/>
      <c r="H379" s="23"/>
      <c r="I379" s="24" t="str">
        <f>Source!BO173</f>
        <v/>
      </c>
      <c r="J379" s="24"/>
      <c r="K379" s="23"/>
      <c r="L379" s="25"/>
      <c r="S379">
        <f>ROUND((Source!FX173/100)*((ROUND(Source!AF173*Source!I173, 2)+ROUND(Source!AE173*Source!I173, 2))), 2)</f>
        <v>554.37</v>
      </c>
      <c r="T379">
        <f>Source!X173</f>
        <v>3719.81</v>
      </c>
      <c r="U379">
        <f>ROUND((Source!FY173/100)*((ROUND(Source!AF173*Source!I173, 2)+ROUND(Source!AE173*Source!I173, 2))), 2)</f>
        <v>415.78</v>
      </c>
      <c r="V379">
        <f>Source!Y173</f>
        <v>2789.86</v>
      </c>
    </row>
    <row r="380" spans="1:26" ht="14.25" x14ac:dyDescent="0.2">
      <c r="A380" s="38"/>
      <c r="B380" s="39"/>
      <c r="C380" s="39" t="s">
        <v>999</v>
      </c>
      <c r="D380" s="22"/>
      <c r="E380" s="10"/>
      <c r="F380" s="23">
        <f>Source!AO173</f>
        <v>4.88</v>
      </c>
      <c r="G380" s="24" t="str">
        <f>Source!DG173</f>
        <v/>
      </c>
      <c r="H380" s="23">
        <f>ROUND(Source!AF173*Source!I173, 2)</f>
        <v>692.96</v>
      </c>
      <c r="I380" s="24"/>
      <c r="J380" s="24">
        <f>IF(Source!BA173&lt;&gt; 0, Source!BA173, 1)</f>
        <v>6.71</v>
      </c>
      <c r="K380" s="23">
        <f>Source!S173</f>
        <v>4649.76</v>
      </c>
      <c r="L380" s="25"/>
      <c r="R380">
        <f>H380</f>
        <v>692.96</v>
      </c>
    </row>
    <row r="381" spans="1:26" ht="14.25" x14ac:dyDescent="0.2">
      <c r="A381" s="38"/>
      <c r="B381" s="39"/>
      <c r="C381" s="39" t="s">
        <v>1006</v>
      </c>
      <c r="D381" s="22"/>
      <c r="E381" s="10"/>
      <c r="F381" s="23">
        <f>Source!AL173</f>
        <v>0.41</v>
      </c>
      <c r="G381" s="24" t="str">
        <f>Source!DD173</f>
        <v/>
      </c>
      <c r="H381" s="23">
        <f>ROUND(Source!AC173*Source!I173, 2)</f>
        <v>58.22</v>
      </c>
      <c r="I381" s="24"/>
      <c r="J381" s="24">
        <f>IF(Source!BC173&lt;&gt; 0, Source!BC173, 1)</f>
        <v>6.71</v>
      </c>
      <c r="K381" s="23">
        <f>Source!P173</f>
        <v>390.66</v>
      </c>
      <c r="L381" s="25"/>
    </row>
    <row r="382" spans="1:26" ht="14.25" x14ac:dyDescent="0.2">
      <c r="A382" s="38"/>
      <c r="B382" s="39"/>
      <c r="C382" s="39" t="s">
        <v>1001</v>
      </c>
      <c r="D382" s="22" t="s">
        <v>1002</v>
      </c>
      <c r="E382" s="10">
        <f>Source!BZ173</f>
        <v>80</v>
      </c>
      <c r="F382" s="42"/>
      <c r="G382" s="24"/>
      <c r="H382" s="23">
        <f>SUM(S379:S385)</f>
        <v>554.37</v>
      </c>
      <c r="I382" s="27"/>
      <c r="J382" s="21">
        <f>Source!AT173</f>
        <v>80</v>
      </c>
      <c r="K382" s="23">
        <f>SUM(T379:T385)</f>
        <v>3719.81</v>
      </c>
      <c r="L382" s="25"/>
    </row>
    <row r="383" spans="1:26" ht="14.25" x14ac:dyDescent="0.2">
      <c r="A383" s="38"/>
      <c r="B383" s="39"/>
      <c r="C383" s="39" t="s">
        <v>1003</v>
      </c>
      <c r="D383" s="22" t="s">
        <v>1002</v>
      </c>
      <c r="E383" s="10">
        <f>Source!CA173</f>
        <v>60</v>
      </c>
      <c r="F383" s="42"/>
      <c r="G383" s="24"/>
      <c r="H383" s="23">
        <f>SUM(U379:U385)</f>
        <v>415.78</v>
      </c>
      <c r="I383" s="27"/>
      <c r="J383" s="21">
        <f>Source!AU173</f>
        <v>60</v>
      </c>
      <c r="K383" s="23">
        <f>SUM(V379:V385)</f>
        <v>2789.86</v>
      </c>
      <c r="L383" s="25"/>
    </row>
    <row r="384" spans="1:26" ht="14.25" x14ac:dyDescent="0.2">
      <c r="A384" s="38"/>
      <c r="B384" s="39"/>
      <c r="C384" s="39" t="s">
        <v>1004</v>
      </c>
      <c r="D384" s="22" t="s">
        <v>1005</v>
      </c>
      <c r="E384" s="10">
        <f>Source!AQ173</f>
        <v>0.5</v>
      </c>
      <c r="F384" s="23"/>
      <c r="G384" s="24" t="str">
        <f>Source!DI173</f>
        <v/>
      </c>
      <c r="H384" s="23"/>
      <c r="I384" s="24"/>
      <c r="J384" s="24"/>
      <c r="K384" s="23"/>
      <c r="L384" s="34">
        <f>Source!U173</f>
        <v>71</v>
      </c>
    </row>
    <row r="385" spans="1:26" ht="28.5" x14ac:dyDescent="0.2">
      <c r="A385" s="40" t="str">
        <f>Source!E174</f>
        <v>40,1</v>
      </c>
      <c r="B385" s="41" t="str">
        <f>Source!F174</f>
        <v>20.5.02.04-0004</v>
      </c>
      <c r="C385" s="41" t="str">
        <f>Source!G174</f>
        <v>Коробка ответвительная SchneiderElectrik 100x100x50мм прим.</v>
      </c>
      <c r="D385" s="28" t="str">
        <f>Source!H174</f>
        <v>10 шт.</v>
      </c>
      <c r="E385" s="29">
        <f>Source!I174</f>
        <v>14.2</v>
      </c>
      <c r="F385" s="30">
        <f>Source!AL174+Source!AM174+Source!AO174</f>
        <v>62.4</v>
      </c>
      <c r="G385" s="35" t="s">
        <v>3</v>
      </c>
      <c r="H385" s="30">
        <f>ROUND(Source!AC174*Source!I174, 2)+ROUND(Source!AD174*Source!I174, 2)+ROUND(Source!AF174*Source!I174, 2)</f>
        <v>886.08</v>
      </c>
      <c r="I385" s="31"/>
      <c r="J385" s="31">
        <f>IF(Source!BC174&lt;&gt; 0, Source!BC174, 1)</f>
        <v>6.71</v>
      </c>
      <c r="K385" s="30">
        <f>Source!O174</f>
        <v>5945.6</v>
      </c>
      <c r="L385" s="36"/>
      <c r="S385">
        <f>ROUND((Source!FX174/100)*((ROUND(Source!AF174*Source!I174, 2)+ROUND(Source!AE174*Source!I174, 2))), 2)</f>
        <v>0</v>
      </c>
      <c r="T385">
        <f>Source!X174</f>
        <v>0</v>
      </c>
      <c r="U385">
        <f>ROUND((Source!FY174/100)*((ROUND(Source!AF174*Source!I174, 2)+ROUND(Source!AE174*Source!I174, 2))), 2)</f>
        <v>0</v>
      </c>
      <c r="V385">
        <f>Source!Y174</f>
        <v>0</v>
      </c>
      <c r="W385">
        <f>IF(Source!BI174&lt;=1,H385, 0)</f>
        <v>0</v>
      </c>
      <c r="X385">
        <f>IF(Source!BI174=2,H385, 0)</f>
        <v>886.08</v>
      </c>
      <c r="Y385">
        <f>IF(Source!BI174=3,H385, 0)</f>
        <v>0</v>
      </c>
      <c r="Z385">
        <f>IF(Source!BI174=4,H385, 0)</f>
        <v>0</v>
      </c>
    </row>
    <row r="386" spans="1:26" ht="15" x14ac:dyDescent="0.25">
      <c r="G386" s="45">
        <f>H380+H381+H382+H383+SUM(H385:H385)</f>
        <v>2607.4100000000003</v>
      </c>
      <c r="H386" s="45"/>
      <c r="J386" s="45">
        <f>K380+K381+K382+K383+SUM(K385:K385)</f>
        <v>17495.690000000002</v>
      </c>
      <c r="K386" s="45"/>
      <c r="L386" s="33">
        <f>Source!U173</f>
        <v>71</v>
      </c>
      <c r="O386" s="19">
        <f>G386</f>
        <v>2607.4100000000003</v>
      </c>
      <c r="P386" s="19">
        <f>J386</f>
        <v>17495.690000000002</v>
      </c>
      <c r="Q386" s="19">
        <f>L386</f>
        <v>71</v>
      </c>
      <c r="W386">
        <f>IF(Source!BI173&lt;=1,H380+H381+H382+H383, 0)</f>
        <v>0</v>
      </c>
      <c r="X386">
        <f>IF(Source!BI173=2,H380+H381+H382+H383, 0)</f>
        <v>1721.3300000000002</v>
      </c>
      <c r="Y386">
        <f>IF(Source!BI173=3,H380+H381+H382+H383, 0)</f>
        <v>0</v>
      </c>
      <c r="Z386">
        <f>IF(Source!BI173=4,H380+H381+H382+H383, 0)</f>
        <v>0</v>
      </c>
    </row>
    <row r="387" spans="1:26" ht="28.5" x14ac:dyDescent="0.2">
      <c r="A387" s="38" t="str">
        <f>Source!E175</f>
        <v>41</v>
      </c>
      <c r="B387" s="39" t="str">
        <f>Source!F175</f>
        <v>м08-02-390-03</v>
      </c>
      <c r="C387" s="39" t="str">
        <f>Source!G175</f>
        <v>Короба пластмассовые шириной до 120 мм</v>
      </c>
      <c r="D387" s="22" t="str">
        <f>Source!H175</f>
        <v>100 м</v>
      </c>
      <c r="E387" s="10">
        <f>Source!I175</f>
        <v>0.65</v>
      </c>
      <c r="F387" s="23">
        <f>Source!AL175+Source!AM175+Source!AO175</f>
        <v>286.92</v>
      </c>
      <c r="G387" s="24"/>
      <c r="H387" s="23"/>
      <c r="I387" s="24" t="str">
        <f>Source!BO175</f>
        <v/>
      </c>
      <c r="J387" s="24"/>
      <c r="K387" s="23"/>
      <c r="L387" s="25"/>
      <c r="S387">
        <f>ROUND((Source!FX175/100)*((ROUND(Source!AF175*Source!I175, 2)+ROUND(Source!AE175*Source!I175, 2))), 2)</f>
        <v>119.47</v>
      </c>
      <c r="T387">
        <f>Source!X175</f>
        <v>801.67</v>
      </c>
      <c r="U387">
        <f>ROUND((Source!FY175/100)*((ROUND(Source!AF175*Source!I175, 2)+ROUND(Source!AE175*Source!I175, 2))), 2)</f>
        <v>81.739999999999995</v>
      </c>
      <c r="V387">
        <f>Source!Y175</f>
        <v>548.51</v>
      </c>
    </row>
    <row r="388" spans="1:26" x14ac:dyDescent="0.2">
      <c r="C388" s="18" t="str">
        <f>"Объем: "&amp;Source!I175&amp;"=65/"&amp;"100"</f>
        <v>Объем: 0,65=65/100</v>
      </c>
    </row>
    <row r="389" spans="1:26" ht="14.25" x14ac:dyDescent="0.2">
      <c r="A389" s="38"/>
      <c r="B389" s="39"/>
      <c r="C389" s="39" t="s">
        <v>999</v>
      </c>
      <c r="D389" s="22"/>
      <c r="E389" s="10"/>
      <c r="F389" s="23">
        <f>Source!AO175</f>
        <v>193.34</v>
      </c>
      <c r="G389" s="24" t="str">
        <f>Source!DG175</f>
        <v/>
      </c>
      <c r="H389" s="23">
        <f>ROUND(Source!AF175*Source!I175, 2)</f>
        <v>125.67</v>
      </c>
      <c r="I389" s="24"/>
      <c r="J389" s="24">
        <f>IF(Source!BA175&lt;&gt; 0, Source!BA175, 1)</f>
        <v>6.71</v>
      </c>
      <c r="K389" s="23">
        <f>Source!S175</f>
        <v>843.25</v>
      </c>
      <c r="L389" s="25"/>
      <c r="R389">
        <f>H389</f>
        <v>125.67</v>
      </c>
    </row>
    <row r="390" spans="1:26" ht="14.25" x14ac:dyDescent="0.2">
      <c r="A390" s="38"/>
      <c r="B390" s="39"/>
      <c r="C390" s="39" t="s">
        <v>301</v>
      </c>
      <c r="D390" s="22"/>
      <c r="E390" s="10"/>
      <c r="F390" s="23">
        <f>Source!AM175</f>
        <v>0.31</v>
      </c>
      <c r="G390" s="24" t="str">
        <f>Source!DE175</f>
        <v/>
      </c>
      <c r="H390" s="23">
        <f>ROUND(Source!AD175*Source!I175, 2)</f>
        <v>0.2</v>
      </c>
      <c r="I390" s="24"/>
      <c r="J390" s="24">
        <f>IF(Source!BB175&lt;&gt; 0, Source!BB175, 1)</f>
        <v>6.71</v>
      </c>
      <c r="K390" s="23">
        <f>Source!Q175</f>
        <v>1.35</v>
      </c>
      <c r="L390" s="25"/>
    </row>
    <row r="391" spans="1:26" ht="14.25" x14ac:dyDescent="0.2">
      <c r="A391" s="38"/>
      <c r="B391" s="39"/>
      <c r="C391" s="39" t="s">
        <v>1000</v>
      </c>
      <c r="D391" s="22"/>
      <c r="E391" s="10"/>
      <c r="F391" s="23">
        <f>Source!AN175</f>
        <v>0.14000000000000001</v>
      </c>
      <c r="G391" s="24" t="str">
        <f>Source!DF175</f>
        <v/>
      </c>
      <c r="H391" s="26">
        <f>ROUND(Source!AE175*Source!I175, 2)</f>
        <v>0.09</v>
      </c>
      <c r="I391" s="24"/>
      <c r="J391" s="24">
        <f>IF(Source!BS175&lt;&gt; 0, Source!BS175, 1)</f>
        <v>6.71</v>
      </c>
      <c r="K391" s="26">
        <f>Source!R175</f>
        <v>0.61</v>
      </c>
      <c r="L391" s="25"/>
      <c r="R391">
        <f>H391</f>
        <v>0.09</v>
      </c>
    </row>
    <row r="392" spans="1:26" ht="14.25" x14ac:dyDescent="0.2">
      <c r="A392" s="38"/>
      <c r="B392" s="39"/>
      <c r="C392" s="39" t="s">
        <v>1006</v>
      </c>
      <c r="D392" s="22"/>
      <c r="E392" s="10"/>
      <c r="F392" s="23">
        <f>Source!AL175</f>
        <v>93.27</v>
      </c>
      <c r="G392" s="24" t="str">
        <f>Source!DD175</f>
        <v/>
      </c>
      <c r="H392" s="23">
        <f>ROUND(Source!AC175*Source!I175, 2)</f>
        <v>60.63</v>
      </c>
      <c r="I392" s="24"/>
      <c r="J392" s="24">
        <f>IF(Source!BC175&lt;&gt; 0, Source!BC175, 1)</f>
        <v>6.71</v>
      </c>
      <c r="K392" s="23">
        <f>Source!P175</f>
        <v>406.8</v>
      </c>
      <c r="L392" s="25"/>
    </row>
    <row r="393" spans="1:26" ht="14.25" x14ac:dyDescent="0.2">
      <c r="A393" s="38"/>
      <c r="B393" s="39"/>
      <c r="C393" s="39" t="s">
        <v>1001</v>
      </c>
      <c r="D393" s="22" t="s">
        <v>1002</v>
      </c>
      <c r="E393" s="10">
        <f>Source!BZ175</f>
        <v>95</v>
      </c>
      <c r="F393" s="42"/>
      <c r="G393" s="24"/>
      <c r="H393" s="23">
        <f>SUM(S387:S396)</f>
        <v>119.47</v>
      </c>
      <c r="I393" s="27"/>
      <c r="J393" s="21">
        <f>Source!AT175</f>
        <v>95</v>
      </c>
      <c r="K393" s="23">
        <f>SUM(T387:T396)</f>
        <v>801.67</v>
      </c>
      <c r="L393" s="25"/>
    </row>
    <row r="394" spans="1:26" ht="14.25" x14ac:dyDescent="0.2">
      <c r="A394" s="38"/>
      <c r="B394" s="39"/>
      <c r="C394" s="39" t="s">
        <v>1003</v>
      </c>
      <c r="D394" s="22" t="s">
        <v>1002</v>
      </c>
      <c r="E394" s="10">
        <f>Source!CA175</f>
        <v>65</v>
      </c>
      <c r="F394" s="42"/>
      <c r="G394" s="24"/>
      <c r="H394" s="23">
        <f>SUM(U387:U396)</f>
        <v>81.739999999999995</v>
      </c>
      <c r="I394" s="27"/>
      <c r="J394" s="21">
        <f>Source!AU175</f>
        <v>65</v>
      </c>
      <c r="K394" s="23">
        <f>SUM(V387:V396)</f>
        <v>548.51</v>
      </c>
      <c r="L394" s="25"/>
    </row>
    <row r="395" spans="1:26" ht="14.25" x14ac:dyDescent="0.2">
      <c r="A395" s="38"/>
      <c r="B395" s="39"/>
      <c r="C395" s="39" t="s">
        <v>1004</v>
      </c>
      <c r="D395" s="22" t="s">
        <v>1005</v>
      </c>
      <c r="E395" s="10">
        <f>Source!AQ175</f>
        <v>20.329999999999998</v>
      </c>
      <c r="F395" s="23"/>
      <c r="G395" s="24" t="str">
        <f>Source!DI175</f>
        <v/>
      </c>
      <c r="H395" s="23"/>
      <c r="I395" s="24"/>
      <c r="J395" s="24"/>
      <c r="K395" s="23"/>
      <c r="L395" s="34">
        <f>Source!U175</f>
        <v>13.214499999999999</v>
      </c>
    </row>
    <row r="396" spans="1:26" ht="28.5" x14ac:dyDescent="0.2">
      <c r="A396" s="40" t="str">
        <f>Source!E176</f>
        <v>41,1</v>
      </c>
      <c r="B396" s="41" t="str">
        <f>Source!F176</f>
        <v>20.2.05.04-0034</v>
      </c>
      <c r="C396" s="41" t="str">
        <f>Source!G176</f>
        <v>Кабель-канал (короб)  Efapel 110x50 мм прим.</v>
      </c>
      <c r="D396" s="28" t="str">
        <f>Source!H176</f>
        <v>100 м</v>
      </c>
      <c r="E396" s="29">
        <f>Source!I176</f>
        <v>0.65</v>
      </c>
      <c r="F396" s="30">
        <f>Source!AL176+Source!AM176+Source!AO176</f>
        <v>1360</v>
      </c>
      <c r="G396" s="35" t="s">
        <v>3</v>
      </c>
      <c r="H396" s="30">
        <f>ROUND(Source!AC176*Source!I176, 2)+ROUND(Source!AD176*Source!I176, 2)+ROUND(Source!AF176*Source!I176, 2)</f>
        <v>884</v>
      </c>
      <c r="I396" s="31"/>
      <c r="J396" s="31">
        <f>IF(Source!BC176&lt;&gt; 0, Source!BC176, 1)</f>
        <v>6.71</v>
      </c>
      <c r="K396" s="30">
        <f>Source!O176</f>
        <v>5931.64</v>
      </c>
      <c r="L396" s="36"/>
      <c r="S396">
        <f>ROUND((Source!FX176/100)*((ROUND(Source!AF176*Source!I176, 2)+ROUND(Source!AE176*Source!I176, 2))), 2)</f>
        <v>0</v>
      </c>
      <c r="T396">
        <f>Source!X176</f>
        <v>0</v>
      </c>
      <c r="U396">
        <f>ROUND((Source!FY176/100)*((ROUND(Source!AF176*Source!I176, 2)+ROUND(Source!AE176*Source!I176, 2))), 2)</f>
        <v>0</v>
      </c>
      <c r="V396">
        <f>Source!Y176</f>
        <v>0</v>
      </c>
      <c r="W396">
        <f>IF(Source!BI176&lt;=1,H396, 0)</f>
        <v>0</v>
      </c>
      <c r="X396">
        <f>IF(Source!BI176=2,H396, 0)</f>
        <v>884</v>
      </c>
      <c r="Y396">
        <f>IF(Source!BI176=3,H396, 0)</f>
        <v>0</v>
      </c>
      <c r="Z396">
        <f>IF(Source!BI176=4,H396, 0)</f>
        <v>0</v>
      </c>
    </row>
    <row r="397" spans="1:26" ht="15" x14ac:dyDescent="0.25">
      <c r="G397" s="45">
        <f>H389+H390+H392+H393+H394+SUM(H396:H396)</f>
        <v>1271.71</v>
      </c>
      <c r="H397" s="45"/>
      <c r="J397" s="45">
        <f>K389+K390+K392+K393+K394+SUM(K396:K396)</f>
        <v>8533.2200000000012</v>
      </c>
      <c r="K397" s="45"/>
      <c r="L397" s="33">
        <f>Source!U175</f>
        <v>13.214499999999999</v>
      </c>
      <c r="O397" s="19">
        <f>G397</f>
        <v>1271.71</v>
      </c>
      <c r="P397" s="19">
        <f>J397</f>
        <v>8533.2200000000012</v>
      </c>
      <c r="Q397" s="19">
        <f>L397</f>
        <v>13.214499999999999</v>
      </c>
      <c r="W397">
        <f>IF(Source!BI175&lt;=1,H389+H390+H392+H393+H394, 0)</f>
        <v>0</v>
      </c>
      <c r="X397">
        <f>IF(Source!BI175=2,H389+H390+H392+H393+H394, 0)</f>
        <v>387.71000000000004</v>
      </c>
      <c r="Y397">
        <f>IF(Source!BI175=3,H389+H390+H392+H393+H394, 0)</f>
        <v>0</v>
      </c>
      <c r="Z397">
        <f>IF(Source!BI175=4,H389+H390+H392+H393+H394, 0)</f>
        <v>0</v>
      </c>
    </row>
    <row r="398" spans="1:26" ht="28.5" x14ac:dyDescent="0.2">
      <c r="A398" s="38" t="str">
        <f>Source!E177</f>
        <v>42</v>
      </c>
      <c r="B398" s="39" t="str">
        <f>Source!F177</f>
        <v>м08-10-010-01</v>
      </c>
      <c r="C398" s="39" t="str">
        <f>Source!G177</f>
        <v>Прокладка труб гофрированных ПВХ для защиты проводов и кабелей</v>
      </c>
      <c r="D398" s="22" t="str">
        <f>Source!H177</f>
        <v>100 м</v>
      </c>
      <c r="E398" s="10">
        <f>Source!I177</f>
        <v>4.3</v>
      </c>
      <c r="F398" s="23">
        <f>Source!AL177+Source!AM177+Source!AO177</f>
        <v>156.32999999999998</v>
      </c>
      <c r="G398" s="24"/>
      <c r="H398" s="23"/>
      <c r="I398" s="24" t="str">
        <f>Source!BO177</f>
        <v/>
      </c>
      <c r="J398" s="24"/>
      <c r="K398" s="23"/>
      <c r="L398" s="25"/>
      <c r="S398">
        <f>ROUND((Source!FX177/100)*((ROUND(Source!AF177*Source!I177, 2)+ROUND(Source!AE177*Source!I177, 2))), 2)</f>
        <v>570.02</v>
      </c>
      <c r="T398">
        <f>Source!X177</f>
        <v>3824.84</v>
      </c>
      <c r="U398">
        <f>ROUND((Source!FY177/100)*((ROUND(Source!AF177*Source!I177, 2)+ROUND(Source!AE177*Source!I177, 2))), 2)</f>
        <v>390.01</v>
      </c>
      <c r="V398">
        <f>Source!Y177</f>
        <v>2617</v>
      </c>
    </row>
    <row r="399" spans="1:26" ht="14.25" x14ac:dyDescent="0.2">
      <c r="A399" s="38"/>
      <c r="B399" s="39"/>
      <c r="C399" s="39" t="s">
        <v>999</v>
      </c>
      <c r="D399" s="22"/>
      <c r="E399" s="10"/>
      <c r="F399" s="23">
        <f>Source!AO177</f>
        <v>139.54</v>
      </c>
      <c r="G399" s="24" t="str">
        <f>Source!DG177</f>
        <v/>
      </c>
      <c r="H399" s="23">
        <f>ROUND(Source!AF177*Source!I177, 2)</f>
        <v>600.02</v>
      </c>
      <c r="I399" s="24"/>
      <c r="J399" s="24">
        <f>IF(Source!BA177&lt;&gt; 0, Source!BA177, 1)</f>
        <v>6.71</v>
      </c>
      <c r="K399" s="23">
        <f>Source!S177</f>
        <v>4026.15</v>
      </c>
      <c r="L399" s="25"/>
      <c r="R399">
        <f>H399</f>
        <v>600.02</v>
      </c>
    </row>
    <row r="400" spans="1:26" ht="14.25" x14ac:dyDescent="0.2">
      <c r="A400" s="38"/>
      <c r="B400" s="39"/>
      <c r="C400" s="39" t="s">
        <v>1006</v>
      </c>
      <c r="D400" s="22"/>
      <c r="E400" s="10"/>
      <c r="F400" s="23">
        <f>Source!AL177</f>
        <v>16.79</v>
      </c>
      <c r="G400" s="24" t="str">
        <f>Source!DD177</f>
        <v/>
      </c>
      <c r="H400" s="23">
        <f>ROUND(Source!AC177*Source!I177, 2)</f>
        <v>72.2</v>
      </c>
      <c r="I400" s="24"/>
      <c r="J400" s="24">
        <f>IF(Source!BC177&lt;&gt; 0, Source!BC177, 1)</f>
        <v>6.71</v>
      </c>
      <c r="K400" s="23">
        <f>Source!P177</f>
        <v>484.44</v>
      </c>
      <c r="L400" s="25"/>
    </row>
    <row r="401" spans="1:26" ht="14.25" x14ac:dyDescent="0.2">
      <c r="A401" s="38"/>
      <c r="B401" s="39"/>
      <c r="C401" s="39" t="s">
        <v>1001</v>
      </c>
      <c r="D401" s="22" t="s">
        <v>1002</v>
      </c>
      <c r="E401" s="10">
        <f>Source!BZ177</f>
        <v>95</v>
      </c>
      <c r="F401" s="42"/>
      <c r="G401" s="24"/>
      <c r="H401" s="23">
        <f>SUM(S398:S404)</f>
        <v>570.02</v>
      </c>
      <c r="I401" s="27"/>
      <c r="J401" s="21">
        <f>Source!AT177</f>
        <v>95</v>
      </c>
      <c r="K401" s="23">
        <f>SUM(T398:T404)</f>
        <v>3824.84</v>
      </c>
      <c r="L401" s="25"/>
    </row>
    <row r="402" spans="1:26" ht="14.25" x14ac:dyDescent="0.2">
      <c r="A402" s="38"/>
      <c r="B402" s="39"/>
      <c r="C402" s="39" t="s">
        <v>1003</v>
      </c>
      <c r="D402" s="22" t="s">
        <v>1002</v>
      </c>
      <c r="E402" s="10">
        <f>Source!CA177</f>
        <v>65</v>
      </c>
      <c r="F402" s="42"/>
      <c r="G402" s="24"/>
      <c r="H402" s="23">
        <f>SUM(U398:U404)</f>
        <v>390.01</v>
      </c>
      <c r="I402" s="27"/>
      <c r="J402" s="21">
        <f>Source!AU177</f>
        <v>65</v>
      </c>
      <c r="K402" s="23">
        <f>SUM(V398:V404)</f>
        <v>2617</v>
      </c>
      <c r="L402" s="25"/>
    </row>
    <row r="403" spans="1:26" ht="14.25" x14ac:dyDescent="0.2">
      <c r="A403" s="38"/>
      <c r="B403" s="39"/>
      <c r="C403" s="39" t="s">
        <v>1004</v>
      </c>
      <c r="D403" s="22" t="s">
        <v>1005</v>
      </c>
      <c r="E403" s="10">
        <f>Source!AQ177</f>
        <v>15.2</v>
      </c>
      <c r="F403" s="23"/>
      <c r="G403" s="24" t="str">
        <f>Source!DI177</f>
        <v/>
      </c>
      <c r="H403" s="23"/>
      <c r="I403" s="24"/>
      <c r="J403" s="24"/>
      <c r="K403" s="23"/>
      <c r="L403" s="34">
        <f>Source!U177</f>
        <v>65.36</v>
      </c>
    </row>
    <row r="404" spans="1:26" ht="42.75" x14ac:dyDescent="0.2">
      <c r="A404" s="40" t="str">
        <f>Source!E178</f>
        <v>42,1</v>
      </c>
      <c r="B404" s="41" t="str">
        <f>Source!F178</f>
        <v>24.3.03.05-0012</v>
      </c>
      <c r="C404" s="41" t="str">
        <f>Source!G178</f>
        <v>Трубы гибкие гофрированные легкие из ПНД, серии BL, с зондом, диаметром 20 мм</v>
      </c>
      <c r="D404" s="28" t="str">
        <f>Source!H178</f>
        <v>10 м</v>
      </c>
      <c r="E404" s="29">
        <f>Source!I178</f>
        <v>43</v>
      </c>
      <c r="F404" s="30">
        <f>Source!AL178+Source!AM178+Source!AO178</f>
        <v>31.6</v>
      </c>
      <c r="G404" s="35" t="s">
        <v>3</v>
      </c>
      <c r="H404" s="30">
        <f>ROUND(Source!AC178*Source!I178, 2)+ROUND(Source!AD178*Source!I178, 2)+ROUND(Source!AF178*Source!I178, 2)</f>
        <v>1358.8</v>
      </c>
      <c r="I404" s="31"/>
      <c r="J404" s="31">
        <f>IF(Source!BC178&lt;&gt; 0, Source!BC178, 1)</f>
        <v>6.71</v>
      </c>
      <c r="K404" s="30">
        <f>Source!O178</f>
        <v>9117.5499999999993</v>
      </c>
      <c r="L404" s="36"/>
      <c r="S404">
        <f>ROUND((Source!FX178/100)*((ROUND(Source!AF178*Source!I178, 2)+ROUND(Source!AE178*Source!I178, 2))), 2)</f>
        <v>0</v>
      </c>
      <c r="T404">
        <f>Source!X178</f>
        <v>0</v>
      </c>
      <c r="U404">
        <f>ROUND((Source!FY178/100)*((ROUND(Source!AF178*Source!I178, 2)+ROUND(Source!AE178*Source!I178, 2))), 2)</f>
        <v>0</v>
      </c>
      <c r="V404">
        <f>Source!Y178</f>
        <v>0</v>
      </c>
      <c r="W404">
        <f>IF(Source!BI178&lt;=1,H404, 0)</f>
        <v>0</v>
      </c>
      <c r="X404">
        <f>IF(Source!BI178=2,H404, 0)</f>
        <v>1358.8</v>
      </c>
      <c r="Y404">
        <f>IF(Source!BI178=3,H404, 0)</f>
        <v>0</v>
      </c>
      <c r="Z404">
        <f>IF(Source!BI178=4,H404, 0)</f>
        <v>0</v>
      </c>
    </row>
    <row r="405" spans="1:26" ht="15" x14ac:dyDescent="0.25">
      <c r="G405" s="45">
        <f>H399+H400+H401+H402+SUM(H404:H404)</f>
        <v>2991.05</v>
      </c>
      <c r="H405" s="45"/>
      <c r="J405" s="45">
        <f>K399+K400+K401+K402+SUM(K404:K404)</f>
        <v>20069.98</v>
      </c>
      <c r="K405" s="45"/>
      <c r="L405" s="33">
        <f>Source!U177</f>
        <v>65.36</v>
      </c>
      <c r="O405" s="19">
        <f>G405</f>
        <v>2991.05</v>
      </c>
      <c r="P405" s="19">
        <f>J405</f>
        <v>20069.98</v>
      </c>
      <c r="Q405" s="19">
        <f>L405</f>
        <v>65.36</v>
      </c>
      <c r="W405">
        <f>IF(Source!BI177&lt;=1,H399+H400+H401+H402, 0)</f>
        <v>0</v>
      </c>
      <c r="X405">
        <f>IF(Source!BI177=2,H399+H400+H401+H402, 0)</f>
        <v>1632.25</v>
      </c>
      <c r="Y405">
        <f>IF(Source!BI177=3,H399+H400+H401+H402, 0)</f>
        <v>0</v>
      </c>
      <c r="Z405">
        <f>IF(Source!BI177=4,H399+H400+H401+H402, 0)</f>
        <v>0</v>
      </c>
    </row>
    <row r="406" spans="1:26" ht="28.5" x14ac:dyDescent="0.2">
      <c r="A406" s="38" t="str">
        <f>Source!E179</f>
        <v>43</v>
      </c>
      <c r="B406" s="39" t="str">
        <f>Source!F179</f>
        <v>м08-02-399-02 прим.</v>
      </c>
      <c r="C406" s="39" t="str">
        <f>Source!G179</f>
        <v>Провод в коробах, сечением до 35 мм2</v>
      </c>
      <c r="D406" s="22" t="str">
        <f>Source!H179</f>
        <v>100 м</v>
      </c>
      <c r="E406" s="10">
        <f>Source!I179</f>
        <v>0.95</v>
      </c>
      <c r="F406" s="23">
        <f>Source!AL179+Source!AM179+Source!AO179</f>
        <v>50.72</v>
      </c>
      <c r="G406" s="24"/>
      <c r="H406" s="23"/>
      <c r="I406" s="24" t="str">
        <f>Source!BO179</f>
        <v/>
      </c>
      <c r="J406" s="24"/>
      <c r="K406" s="23"/>
      <c r="L406" s="25"/>
      <c r="S406">
        <f>ROUND((Source!FX179/100)*((ROUND(Source!AF179*Source!I179, 2)+ROUND(Source!AE179*Source!I179, 2))), 2)</f>
        <v>32.130000000000003</v>
      </c>
      <c r="T406">
        <f>Source!X179</f>
        <v>215.58</v>
      </c>
      <c r="U406">
        <f>ROUND((Source!FY179/100)*((ROUND(Source!AF179*Source!I179, 2)+ROUND(Source!AE179*Source!I179, 2))), 2)</f>
        <v>21.98</v>
      </c>
      <c r="V406">
        <f>Source!Y179</f>
        <v>147.5</v>
      </c>
    </row>
    <row r="407" spans="1:26" x14ac:dyDescent="0.2">
      <c r="C407" s="18" t="str">
        <f>"Объем: "&amp;Source!I179&amp;"=95/"&amp;"100"</f>
        <v>Объем: 0,95=95/100</v>
      </c>
    </row>
    <row r="408" spans="1:26" ht="14.25" x14ac:dyDescent="0.2">
      <c r="A408" s="38"/>
      <c r="B408" s="39"/>
      <c r="C408" s="39" t="s">
        <v>999</v>
      </c>
      <c r="D408" s="22"/>
      <c r="E408" s="10"/>
      <c r="F408" s="23">
        <f>Source!AO179</f>
        <v>35.340000000000003</v>
      </c>
      <c r="G408" s="24" t="str">
        <f>Source!DG179</f>
        <v/>
      </c>
      <c r="H408" s="23">
        <f>ROUND(Source!AF179*Source!I179, 2)</f>
        <v>33.57</v>
      </c>
      <c r="I408" s="24"/>
      <c r="J408" s="24">
        <f>IF(Source!BA179&lt;&gt; 0, Source!BA179, 1)</f>
        <v>6.71</v>
      </c>
      <c r="K408" s="23">
        <f>Source!S179</f>
        <v>225.27</v>
      </c>
      <c r="L408" s="25"/>
      <c r="R408">
        <f>H408</f>
        <v>33.57</v>
      </c>
    </row>
    <row r="409" spans="1:26" ht="14.25" x14ac:dyDescent="0.2">
      <c r="A409" s="38"/>
      <c r="B409" s="39"/>
      <c r="C409" s="39" t="s">
        <v>301</v>
      </c>
      <c r="D409" s="22"/>
      <c r="E409" s="10"/>
      <c r="F409" s="23">
        <f>Source!AM179</f>
        <v>1.78</v>
      </c>
      <c r="G409" s="24" t="str">
        <f>Source!DE179</f>
        <v/>
      </c>
      <c r="H409" s="23">
        <f>ROUND(Source!AD179*Source!I179, 2)</f>
        <v>1.69</v>
      </c>
      <c r="I409" s="24"/>
      <c r="J409" s="24">
        <f>IF(Source!BB179&lt;&gt; 0, Source!BB179, 1)</f>
        <v>6.71</v>
      </c>
      <c r="K409" s="23">
        <f>Source!Q179</f>
        <v>11.35</v>
      </c>
      <c r="L409" s="25"/>
    </row>
    <row r="410" spans="1:26" ht="14.25" x14ac:dyDescent="0.2">
      <c r="A410" s="38"/>
      <c r="B410" s="39"/>
      <c r="C410" s="39" t="s">
        <v>1000</v>
      </c>
      <c r="D410" s="22"/>
      <c r="E410" s="10"/>
      <c r="F410" s="23">
        <f>Source!AN179</f>
        <v>0.26</v>
      </c>
      <c r="G410" s="24" t="str">
        <f>Source!DF179</f>
        <v/>
      </c>
      <c r="H410" s="26">
        <f>ROUND(Source!AE179*Source!I179, 2)</f>
        <v>0.25</v>
      </c>
      <c r="I410" s="24"/>
      <c r="J410" s="24">
        <f>IF(Source!BS179&lt;&gt; 0, Source!BS179, 1)</f>
        <v>6.71</v>
      </c>
      <c r="K410" s="26">
        <f>Source!R179</f>
        <v>1.66</v>
      </c>
      <c r="L410" s="25"/>
      <c r="R410">
        <f>H410</f>
        <v>0.25</v>
      </c>
    </row>
    <row r="411" spans="1:26" ht="14.25" x14ac:dyDescent="0.2">
      <c r="A411" s="38"/>
      <c r="B411" s="39"/>
      <c r="C411" s="39" t="s">
        <v>1006</v>
      </c>
      <c r="D411" s="22"/>
      <c r="E411" s="10"/>
      <c r="F411" s="23">
        <f>Source!AL179</f>
        <v>13.6</v>
      </c>
      <c r="G411" s="24" t="str">
        <f>Source!DD179</f>
        <v/>
      </c>
      <c r="H411" s="23">
        <f>ROUND(Source!AC179*Source!I179, 2)</f>
        <v>12.92</v>
      </c>
      <c r="I411" s="24"/>
      <c r="J411" s="24">
        <f>IF(Source!BC179&lt;&gt; 0, Source!BC179, 1)</f>
        <v>6.71</v>
      </c>
      <c r="K411" s="23">
        <f>Source!P179</f>
        <v>86.69</v>
      </c>
      <c r="L411" s="25"/>
    </row>
    <row r="412" spans="1:26" ht="14.25" x14ac:dyDescent="0.2">
      <c r="A412" s="38"/>
      <c r="B412" s="39"/>
      <c r="C412" s="39" t="s">
        <v>1001</v>
      </c>
      <c r="D412" s="22" t="s">
        <v>1002</v>
      </c>
      <c r="E412" s="10">
        <f>Source!BZ179</f>
        <v>95</v>
      </c>
      <c r="F412" s="42"/>
      <c r="G412" s="24"/>
      <c r="H412" s="23">
        <f>SUM(S406:S415)</f>
        <v>32.130000000000003</v>
      </c>
      <c r="I412" s="27"/>
      <c r="J412" s="21">
        <f>Source!AT179</f>
        <v>95</v>
      </c>
      <c r="K412" s="23">
        <f>SUM(T406:T415)</f>
        <v>215.58</v>
      </c>
      <c r="L412" s="25"/>
    </row>
    <row r="413" spans="1:26" ht="14.25" x14ac:dyDescent="0.2">
      <c r="A413" s="38"/>
      <c r="B413" s="39"/>
      <c r="C413" s="39" t="s">
        <v>1003</v>
      </c>
      <c r="D413" s="22" t="s">
        <v>1002</v>
      </c>
      <c r="E413" s="10">
        <f>Source!CA179</f>
        <v>65</v>
      </c>
      <c r="F413" s="42"/>
      <c r="G413" s="24"/>
      <c r="H413" s="23">
        <f>SUM(U406:U415)</f>
        <v>21.98</v>
      </c>
      <c r="I413" s="27"/>
      <c r="J413" s="21">
        <f>Source!AU179</f>
        <v>65</v>
      </c>
      <c r="K413" s="23">
        <f>SUM(V406:V415)</f>
        <v>147.5</v>
      </c>
      <c r="L413" s="25"/>
    </row>
    <row r="414" spans="1:26" ht="14.25" x14ac:dyDescent="0.2">
      <c r="A414" s="38"/>
      <c r="B414" s="39"/>
      <c r="C414" s="39" t="s">
        <v>1004</v>
      </c>
      <c r="D414" s="22" t="s">
        <v>1005</v>
      </c>
      <c r="E414" s="10">
        <f>Source!AQ179</f>
        <v>3.76</v>
      </c>
      <c r="F414" s="23"/>
      <c r="G414" s="24" t="str">
        <f>Source!DI179</f>
        <v/>
      </c>
      <c r="H414" s="23"/>
      <c r="I414" s="24"/>
      <c r="J414" s="24"/>
      <c r="K414" s="23"/>
      <c r="L414" s="34">
        <f>Source!U179</f>
        <v>3.5719999999999996</v>
      </c>
    </row>
    <row r="415" spans="1:26" ht="85.5" x14ac:dyDescent="0.2">
      <c r="A415" s="40" t="str">
        <f>Source!E180</f>
        <v>43,1</v>
      </c>
      <c r="B415" s="41" t="str">
        <f>Source!F180</f>
        <v>21.1.06.09-0152</v>
      </c>
      <c r="C415" s="41" t="str">
        <f>Source!G180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15" s="28" t="str">
        <f>Source!H180</f>
        <v>1000 м</v>
      </c>
      <c r="E415" s="29">
        <f>Source!I180</f>
        <v>9.5000000000000001E-2</v>
      </c>
      <c r="F415" s="30">
        <f>Source!AL180+Source!AM180+Source!AO180</f>
        <v>6920.41</v>
      </c>
      <c r="G415" s="35" t="s">
        <v>3</v>
      </c>
      <c r="H415" s="30">
        <f>ROUND(Source!AC180*Source!I180, 2)+ROUND(Source!AD180*Source!I180, 2)+ROUND(Source!AF180*Source!I180, 2)</f>
        <v>657.44</v>
      </c>
      <c r="I415" s="31"/>
      <c r="J415" s="31">
        <f>IF(Source!BC180&lt;&gt; 0, Source!BC180, 1)</f>
        <v>6.71</v>
      </c>
      <c r="K415" s="30">
        <f>Source!O180</f>
        <v>4411.42</v>
      </c>
      <c r="L415" s="36"/>
      <c r="S415">
        <f>ROUND((Source!FX180/100)*((ROUND(Source!AF180*Source!I180, 2)+ROUND(Source!AE180*Source!I180, 2))), 2)</f>
        <v>0</v>
      </c>
      <c r="T415">
        <f>Source!X180</f>
        <v>0</v>
      </c>
      <c r="U415">
        <f>ROUND((Source!FY180/100)*((ROUND(Source!AF180*Source!I180, 2)+ROUND(Source!AE180*Source!I180, 2))), 2)</f>
        <v>0</v>
      </c>
      <c r="V415">
        <f>Source!Y180</f>
        <v>0</v>
      </c>
      <c r="W415">
        <f>IF(Source!BI180&lt;=1,H415, 0)</f>
        <v>0</v>
      </c>
      <c r="X415">
        <f>IF(Source!BI180=2,H415, 0)</f>
        <v>657.44</v>
      </c>
      <c r="Y415">
        <f>IF(Source!BI180=3,H415, 0)</f>
        <v>0</v>
      </c>
      <c r="Z415">
        <f>IF(Source!BI180=4,H415, 0)</f>
        <v>0</v>
      </c>
    </row>
    <row r="416" spans="1:26" ht="15" x14ac:dyDescent="0.25">
      <c r="G416" s="45">
        <f>H408+H409+H411+H412+H413+SUM(H415:H415)</f>
        <v>759.73</v>
      </c>
      <c r="H416" s="45"/>
      <c r="J416" s="45">
        <f>K408+K409+K411+K412+K413+SUM(K415:K415)</f>
        <v>5097.8100000000004</v>
      </c>
      <c r="K416" s="45"/>
      <c r="L416" s="33">
        <f>Source!U179</f>
        <v>3.5719999999999996</v>
      </c>
      <c r="O416" s="19">
        <f>G416</f>
        <v>759.73</v>
      </c>
      <c r="P416" s="19">
        <f>J416</f>
        <v>5097.8100000000004</v>
      </c>
      <c r="Q416" s="19">
        <f>L416</f>
        <v>3.5719999999999996</v>
      </c>
      <c r="W416">
        <f>IF(Source!BI179&lt;=1,H408+H409+H411+H412+H413, 0)</f>
        <v>0</v>
      </c>
      <c r="X416">
        <f>IF(Source!BI179=2,H408+H409+H411+H412+H413, 0)</f>
        <v>102.29</v>
      </c>
      <c r="Y416">
        <f>IF(Source!BI179=3,H408+H409+H411+H412+H413, 0)</f>
        <v>0</v>
      </c>
      <c r="Z416">
        <f>IF(Source!BI179=4,H408+H409+H411+H412+H413, 0)</f>
        <v>0</v>
      </c>
    </row>
    <row r="417" spans="1:26" ht="71.25" x14ac:dyDescent="0.2">
      <c r="A417" s="38" t="str">
        <f>Source!E181</f>
        <v>44</v>
      </c>
      <c r="B417" s="39" t="str">
        <f>Source!F181</f>
        <v>м08-02-412-03</v>
      </c>
      <c r="C417" s="39" t="str">
        <f>Source!G181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17" s="22" t="str">
        <f>Source!H181</f>
        <v>100 м</v>
      </c>
      <c r="E417" s="10">
        <f>Source!I181</f>
        <v>7.8</v>
      </c>
      <c r="F417" s="23">
        <f>Source!AL181+Source!AM181+Source!AO181</f>
        <v>87.15</v>
      </c>
      <c r="G417" s="24"/>
      <c r="H417" s="23"/>
      <c r="I417" s="24" t="str">
        <f>Source!BO181</f>
        <v/>
      </c>
      <c r="J417" s="24"/>
      <c r="K417" s="23"/>
      <c r="L417" s="25"/>
      <c r="S417">
        <f>ROUND((Source!FX181/100)*((ROUND(Source!AF181*Source!I181, 2)+ROUND(Source!AE181*Source!I181, 2))), 2)</f>
        <v>443.78</v>
      </c>
      <c r="T417">
        <f>Source!X181</f>
        <v>2977.8</v>
      </c>
      <c r="U417">
        <f>ROUND((Source!FY181/100)*((ROUND(Source!AF181*Source!I181, 2)+ROUND(Source!AE181*Source!I181, 2))), 2)</f>
        <v>303.64</v>
      </c>
      <c r="V417">
        <f>Source!Y181</f>
        <v>2037.44</v>
      </c>
    </row>
    <row r="418" spans="1:26" ht="14.25" x14ac:dyDescent="0.2">
      <c r="A418" s="38"/>
      <c r="B418" s="39"/>
      <c r="C418" s="39" t="s">
        <v>999</v>
      </c>
      <c r="D418" s="22"/>
      <c r="E418" s="10"/>
      <c r="F418" s="23">
        <f>Source!AO181</f>
        <v>59.13</v>
      </c>
      <c r="G418" s="24" t="str">
        <f>Source!DG181</f>
        <v/>
      </c>
      <c r="H418" s="23">
        <f>ROUND(Source!AF181*Source!I181, 2)</f>
        <v>461.21</v>
      </c>
      <c r="I418" s="24"/>
      <c r="J418" s="24">
        <f>IF(Source!BA181&lt;&gt; 0, Source!BA181, 1)</f>
        <v>6.71</v>
      </c>
      <c r="K418" s="23">
        <f>Source!S181</f>
        <v>3094.75</v>
      </c>
      <c r="L418" s="25"/>
      <c r="R418">
        <f>H418</f>
        <v>461.21</v>
      </c>
    </row>
    <row r="419" spans="1:26" ht="14.25" x14ac:dyDescent="0.2">
      <c r="A419" s="38"/>
      <c r="B419" s="39"/>
      <c r="C419" s="39" t="s">
        <v>301</v>
      </c>
      <c r="D419" s="22"/>
      <c r="E419" s="10"/>
      <c r="F419" s="23">
        <f>Source!AM181</f>
        <v>5.33</v>
      </c>
      <c r="G419" s="24" t="str">
        <f>Source!DE181</f>
        <v/>
      </c>
      <c r="H419" s="23">
        <f>ROUND(Source!AD181*Source!I181, 2)</f>
        <v>41.57</v>
      </c>
      <c r="I419" s="24"/>
      <c r="J419" s="24">
        <f>IF(Source!BB181&lt;&gt; 0, Source!BB181, 1)</f>
        <v>6.71</v>
      </c>
      <c r="K419" s="23">
        <f>Source!Q181</f>
        <v>278.95999999999998</v>
      </c>
      <c r="L419" s="25"/>
    </row>
    <row r="420" spans="1:26" ht="14.25" x14ac:dyDescent="0.2">
      <c r="A420" s="38"/>
      <c r="B420" s="39"/>
      <c r="C420" s="39" t="s">
        <v>1000</v>
      </c>
      <c r="D420" s="22"/>
      <c r="E420" s="10"/>
      <c r="F420" s="23">
        <f>Source!AN181</f>
        <v>0.76</v>
      </c>
      <c r="G420" s="24" t="str">
        <f>Source!DF181</f>
        <v/>
      </c>
      <c r="H420" s="26">
        <f>ROUND(Source!AE181*Source!I181, 2)</f>
        <v>5.93</v>
      </c>
      <c r="I420" s="24"/>
      <c r="J420" s="24">
        <f>IF(Source!BS181&lt;&gt; 0, Source!BS181, 1)</f>
        <v>6.71</v>
      </c>
      <c r="K420" s="26">
        <f>Source!R181</f>
        <v>39.78</v>
      </c>
      <c r="L420" s="25"/>
      <c r="R420">
        <f>H420</f>
        <v>5.93</v>
      </c>
    </row>
    <row r="421" spans="1:26" ht="14.25" x14ac:dyDescent="0.2">
      <c r="A421" s="38"/>
      <c r="B421" s="39"/>
      <c r="C421" s="39" t="s">
        <v>1006</v>
      </c>
      <c r="D421" s="22"/>
      <c r="E421" s="10"/>
      <c r="F421" s="23">
        <f>Source!AL181</f>
        <v>22.69</v>
      </c>
      <c r="G421" s="24" t="str">
        <f>Source!DD181</f>
        <v/>
      </c>
      <c r="H421" s="23">
        <f>ROUND(Source!AC181*Source!I181, 2)</f>
        <v>176.98</v>
      </c>
      <c r="I421" s="24"/>
      <c r="J421" s="24">
        <f>IF(Source!BC181&lt;&gt; 0, Source!BC181, 1)</f>
        <v>6.71</v>
      </c>
      <c r="K421" s="23">
        <f>Source!P181</f>
        <v>1187.55</v>
      </c>
      <c r="L421" s="25"/>
    </row>
    <row r="422" spans="1:26" ht="14.25" x14ac:dyDescent="0.2">
      <c r="A422" s="38"/>
      <c r="B422" s="39"/>
      <c r="C422" s="39" t="s">
        <v>1001</v>
      </c>
      <c r="D422" s="22" t="s">
        <v>1002</v>
      </c>
      <c r="E422" s="10">
        <f>Source!BZ181</f>
        <v>95</v>
      </c>
      <c r="F422" s="42"/>
      <c r="G422" s="24"/>
      <c r="H422" s="23">
        <f>SUM(S417:S425)</f>
        <v>443.78</v>
      </c>
      <c r="I422" s="27"/>
      <c r="J422" s="21">
        <f>Source!AT181</f>
        <v>95</v>
      </c>
      <c r="K422" s="23">
        <f>SUM(T417:T425)</f>
        <v>2977.8</v>
      </c>
      <c r="L422" s="25"/>
    </row>
    <row r="423" spans="1:26" ht="14.25" x14ac:dyDescent="0.2">
      <c r="A423" s="38"/>
      <c r="B423" s="39"/>
      <c r="C423" s="39" t="s">
        <v>1003</v>
      </c>
      <c r="D423" s="22" t="s">
        <v>1002</v>
      </c>
      <c r="E423" s="10">
        <f>Source!CA181</f>
        <v>65</v>
      </c>
      <c r="F423" s="42"/>
      <c r="G423" s="24"/>
      <c r="H423" s="23">
        <f>SUM(U417:U425)</f>
        <v>303.64</v>
      </c>
      <c r="I423" s="27"/>
      <c r="J423" s="21">
        <f>Source!AU181</f>
        <v>65</v>
      </c>
      <c r="K423" s="23">
        <f>SUM(V417:V425)</f>
        <v>2037.44</v>
      </c>
      <c r="L423" s="25"/>
    </row>
    <row r="424" spans="1:26" ht="14.25" x14ac:dyDescent="0.2">
      <c r="A424" s="38"/>
      <c r="B424" s="39"/>
      <c r="C424" s="39" t="s">
        <v>1004</v>
      </c>
      <c r="D424" s="22" t="s">
        <v>1005</v>
      </c>
      <c r="E424" s="10">
        <f>Source!AQ181</f>
        <v>6.29</v>
      </c>
      <c r="F424" s="23"/>
      <c r="G424" s="24" t="str">
        <f>Source!DI181</f>
        <v/>
      </c>
      <c r="H424" s="23"/>
      <c r="I424" s="24"/>
      <c r="J424" s="24"/>
      <c r="K424" s="23"/>
      <c r="L424" s="34">
        <f>Source!U181</f>
        <v>49.061999999999998</v>
      </c>
    </row>
    <row r="425" spans="1:26" ht="85.5" x14ac:dyDescent="0.2">
      <c r="A425" s="40" t="str">
        <f>Source!E182</f>
        <v>44,1</v>
      </c>
      <c r="B425" s="41" t="str">
        <f>Source!F182</f>
        <v>21.1.06.09-0152</v>
      </c>
      <c r="C425" s="41" t="str">
        <f>Source!G182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25" s="28" t="str">
        <f>Source!H182</f>
        <v>1000 м</v>
      </c>
      <c r="E425" s="29">
        <f>Source!I182</f>
        <v>0.78</v>
      </c>
      <c r="F425" s="30">
        <f>Source!AL182+Source!AM182+Source!AO182</f>
        <v>6920.41</v>
      </c>
      <c r="G425" s="35" t="s">
        <v>3</v>
      </c>
      <c r="H425" s="30">
        <f>ROUND(Source!AC182*Source!I182, 2)+ROUND(Source!AD182*Source!I182, 2)+ROUND(Source!AF182*Source!I182, 2)</f>
        <v>5397.92</v>
      </c>
      <c r="I425" s="31"/>
      <c r="J425" s="31">
        <f>IF(Source!BC182&lt;&gt; 0, Source!BC182, 1)</f>
        <v>6.71</v>
      </c>
      <c r="K425" s="30">
        <f>Source!O182</f>
        <v>36220.04</v>
      </c>
      <c r="L425" s="36"/>
      <c r="S425">
        <f>ROUND((Source!FX182/100)*((ROUND(Source!AF182*Source!I182, 2)+ROUND(Source!AE182*Source!I182, 2))), 2)</f>
        <v>0</v>
      </c>
      <c r="T425">
        <f>Source!X182</f>
        <v>0</v>
      </c>
      <c r="U425">
        <f>ROUND((Source!FY182/100)*((ROUND(Source!AF182*Source!I182, 2)+ROUND(Source!AE182*Source!I182, 2))), 2)</f>
        <v>0</v>
      </c>
      <c r="V425">
        <f>Source!Y182</f>
        <v>0</v>
      </c>
      <c r="W425">
        <f>IF(Source!BI182&lt;=1,H425, 0)</f>
        <v>0</v>
      </c>
      <c r="X425">
        <f>IF(Source!BI182=2,H425, 0)</f>
        <v>5397.92</v>
      </c>
      <c r="Y425">
        <f>IF(Source!BI182=3,H425, 0)</f>
        <v>0</v>
      </c>
      <c r="Z425">
        <f>IF(Source!BI182=4,H425, 0)</f>
        <v>0</v>
      </c>
    </row>
    <row r="426" spans="1:26" ht="15" x14ac:dyDescent="0.25">
      <c r="G426" s="45">
        <f>H418+H419+H421+H422+H423+SUM(H425:H425)</f>
        <v>6825.1</v>
      </c>
      <c r="H426" s="45"/>
      <c r="J426" s="45">
        <f>K418+K419+K421+K422+K423+SUM(K425:K425)</f>
        <v>45796.54</v>
      </c>
      <c r="K426" s="45"/>
      <c r="L426" s="33">
        <f>Source!U181</f>
        <v>49.061999999999998</v>
      </c>
      <c r="O426" s="19">
        <f>G426</f>
        <v>6825.1</v>
      </c>
      <c r="P426" s="19">
        <f>J426</f>
        <v>45796.54</v>
      </c>
      <c r="Q426" s="19">
        <f>L426</f>
        <v>49.061999999999998</v>
      </c>
      <c r="W426">
        <f>IF(Source!BI181&lt;=1,H418+H419+H421+H422+H423, 0)</f>
        <v>0</v>
      </c>
      <c r="X426">
        <f>IF(Source!BI181=2,H418+H419+H421+H422+H423, 0)</f>
        <v>1427.1799999999998</v>
      </c>
      <c r="Y426">
        <f>IF(Source!BI181=3,H418+H419+H421+H422+H423, 0)</f>
        <v>0</v>
      </c>
      <c r="Z426">
        <f>IF(Source!BI181=4,H418+H419+H421+H422+H423, 0)</f>
        <v>0</v>
      </c>
    </row>
    <row r="427" spans="1:26" ht="42.75" x14ac:dyDescent="0.2">
      <c r="A427" s="38" t="str">
        <f>Source!E183</f>
        <v>45</v>
      </c>
      <c r="B427" s="39" t="str">
        <f>Source!F183</f>
        <v>м08-03-591-04</v>
      </c>
      <c r="C427" s="39" t="str">
        <f>Source!G183</f>
        <v>Выключатель двухклавишный неутопленного типа при открытой проводке</v>
      </c>
      <c r="D427" s="22" t="str">
        <f>Source!H183</f>
        <v>100 ШТ</v>
      </c>
      <c r="E427" s="10">
        <f>Source!I183</f>
        <v>7.0000000000000007E-2</v>
      </c>
      <c r="F427" s="23">
        <f>Source!AL183+Source!AM183+Source!AO183</f>
        <v>456.35</v>
      </c>
      <c r="G427" s="24"/>
      <c r="H427" s="23"/>
      <c r="I427" s="24" t="str">
        <f>Source!BO183</f>
        <v/>
      </c>
      <c r="J427" s="24"/>
      <c r="K427" s="23"/>
      <c r="L427" s="25"/>
      <c r="S427">
        <f>ROUND((Source!FX183/100)*((ROUND(Source!AF183*Source!I183, 2)+ROUND(Source!AE183*Source!I183, 2))), 2)</f>
        <v>23.21</v>
      </c>
      <c r="T427">
        <f>Source!X183</f>
        <v>155.79</v>
      </c>
      <c r="U427">
        <f>ROUND((Source!FY183/100)*((ROUND(Source!AF183*Source!I183, 2)+ROUND(Source!AE183*Source!I183, 2))), 2)</f>
        <v>15.88</v>
      </c>
      <c r="V427">
        <f>Source!Y183</f>
        <v>106.59</v>
      </c>
    </row>
    <row r="428" spans="1:26" x14ac:dyDescent="0.2">
      <c r="C428" s="18" t="str">
        <f>"Объем: "&amp;Source!I183&amp;"=7/"&amp;"100"</f>
        <v>Объем: 0,07=7/100</v>
      </c>
    </row>
    <row r="429" spans="1:26" ht="14.25" x14ac:dyDescent="0.2">
      <c r="A429" s="38"/>
      <c r="B429" s="39"/>
      <c r="C429" s="39" t="s">
        <v>999</v>
      </c>
      <c r="D429" s="22"/>
      <c r="E429" s="10"/>
      <c r="F429" s="23">
        <f>Source!AO183</f>
        <v>348.49</v>
      </c>
      <c r="G429" s="24" t="str">
        <f>Source!DG183</f>
        <v/>
      </c>
      <c r="H429" s="23">
        <f>ROUND(Source!AF183*Source!I183, 2)</f>
        <v>24.39</v>
      </c>
      <c r="I429" s="24"/>
      <c r="J429" s="24">
        <f>IF(Source!BA183&lt;&gt; 0, Source!BA183, 1)</f>
        <v>6.71</v>
      </c>
      <c r="K429" s="23">
        <f>Source!S183</f>
        <v>163.69</v>
      </c>
      <c r="L429" s="25"/>
      <c r="R429">
        <f>H429</f>
        <v>24.39</v>
      </c>
    </row>
    <row r="430" spans="1:26" ht="14.25" x14ac:dyDescent="0.2">
      <c r="A430" s="38"/>
      <c r="B430" s="39"/>
      <c r="C430" s="39" t="s">
        <v>301</v>
      </c>
      <c r="D430" s="22"/>
      <c r="E430" s="10"/>
      <c r="F430" s="23">
        <f>Source!AM183</f>
        <v>4.67</v>
      </c>
      <c r="G430" s="24" t="str">
        <f>Source!DE183</f>
        <v/>
      </c>
      <c r="H430" s="23">
        <f>ROUND(Source!AD183*Source!I183, 2)</f>
        <v>0.33</v>
      </c>
      <c r="I430" s="24"/>
      <c r="J430" s="24">
        <f>IF(Source!BB183&lt;&gt; 0, Source!BB183, 1)</f>
        <v>6.71</v>
      </c>
      <c r="K430" s="23">
        <f>Source!Q183</f>
        <v>2.19</v>
      </c>
      <c r="L430" s="25"/>
    </row>
    <row r="431" spans="1:26" ht="14.25" x14ac:dyDescent="0.2">
      <c r="A431" s="38"/>
      <c r="B431" s="39"/>
      <c r="C431" s="39" t="s">
        <v>1000</v>
      </c>
      <c r="D431" s="22"/>
      <c r="E431" s="10"/>
      <c r="F431" s="23">
        <f>Source!AN183</f>
        <v>0.64</v>
      </c>
      <c r="G431" s="24" t="str">
        <f>Source!DF183</f>
        <v/>
      </c>
      <c r="H431" s="26">
        <f>ROUND(Source!AE183*Source!I183, 2)</f>
        <v>0.04</v>
      </c>
      <c r="I431" s="24"/>
      <c r="J431" s="24">
        <f>IF(Source!BS183&lt;&gt; 0, Source!BS183, 1)</f>
        <v>6.71</v>
      </c>
      <c r="K431" s="26">
        <f>Source!R183</f>
        <v>0.3</v>
      </c>
      <c r="L431" s="25"/>
      <c r="R431">
        <f>H431</f>
        <v>0.04</v>
      </c>
    </row>
    <row r="432" spans="1:26" ht="14.25" x14ac:dyDescent="0.2">
      <c r="A432" s="38"/>
      <c r="B432" s="39"/>
      <c r="C432" s="39" t="s">
        <v>1006</v>
      </c>
      <c r="D432" s="22"/>
      <c r="E432" s="10"/>
      <c r="F432" s="23">
        <f>Source!AL183</f>
        <v>103.19</v>
      </c>
      <c r="G432" s="24" t="str">
        <f>Source!DD183</f>
        <v/>
      </c>
      <c r="H432" s="23">
        <f>ROUND(Source!AC183*Source!I183, 2)</f>
        <v>7.22</v>
      </c>
      <c r="I432" s="24"/>
      <c r="J432" s="24">
        <f>IF(Source!BC183&lt;&gt; 0, Source!BC183, 1)</f>
        <v>6.71</v>
      </c>
      <c r="K432" s="23">
        <f>Source!P183</f>
        <v>48.47</v>
      </c>
      <c r="L432" s="25"/>
    </row>
    <row r="433" spans="1:26" ht="14.25" x14ac:dyDescent="0.2">
      <c r="A433" s="38"/>
      <c r="B433" s="39"/>
      <c r="C433" s="39" t="s">
        <v>1001</v>
      </c>
      <c r="D433" s="22" t="s">
        <v>1002</v>
      </c>
      <c r="E433" s="10">
        <f>Source!BZ183</f>
        <v>95</v>
      </c>
      <c r="F433" s="42"/>
      <c r="G433" s="24"/>
      <c r="H433" s="23">
        <f>SUM(S427:S436)</f>
        <v>23.21</v>
      </c>
      <c r="I433" s="27"/>
      <c r="J433" s="21">
        <f>Source!AT183</f>
        <v>95</v>
      </c>
      <c r="K433" s="23">
        <f>SUM(T427:T436)</f>
        <v>155.79</v>
      </c>
      <c r="L433" s="25"/>
    </row>
    <row r="434" spans="1:26" ht="14.25" x14ac:dyDescent="0.2">
      <c r="A434" s="38"/>
      <c r="B434" s="39"/>
      <c r="C434" s="39" t="s">
        <v>1003</v>
      </c>
      <c r="D434" s="22" t="s">
        <v>1002</v>
      </c>
      <c r="E434" s="10">
        <f>Source!CA183</f>
        <v>65</v>
      </c>
      <c r="F434" s="42"/>
      <c r="G434" s="24"/>
      <c r="H434" s="23">
        <f>SUM(U427:U436)</f>
        <v>15.88</v>
      </c>
      <c r="I434" s="27"/>
      <c r="J434" s="21">
        <f>Source!AU183</f>
        <v>65</v>
      </c>
      <c r="K434" s="23">
        <f>SUM(V427:V436)</f>
        <v>106.59</v>
      </c>
      <c r="L434" s="25"/>
    </row>
    <row r="435" spans="1:26" ht="14.25" x14ac:dyDescent="0.2">
      <c r="A435" s="38"/>
      <c r="B435" s="39"/>
      <c r="C435" s="39" t="s">
        <v>1004</v>
      </c>
      <c r="D435" s="22" t="s">
        <v>1005</v>
      </c>
      <c r="E435" s="10">
        <f>Source!AQ183</f>
        <v>35.130000000000003</v>
      </c>
      <c r="F435" s="23"/>
      <c r="G435" s="24" t="str">
        <f>Source!DI183</f>
        <v/>
      </c>
      <c r="H435" s="23"/>
      <c r="I435" s="24"/>
      <c r="J435" s="24"/>
      <c r="K435" s="23"/>
      <c r="L435" s="34">
        <f>Source!U183</f>
        <v>2.4591000000000003</v>
      </c>
    </row>
    <row r="436" spans="1:26" ht="57" x14ac:dyDescent="0.2">
      <c r="A436" s="40" t="str">
        <f>Source!E184</f>
        <v>45,1</v>
      </c>
      <c r="B436" s="41" t="str">
        <f>Source!F184</f>
        <v>20.4.01.01-0011</v>
      </c>
      <c r="C436" s="41" t="str">
        <f>Source!G184</f>
        <v>Выключатель двухклавишный для открытой проводки "EFAPEL" SBR(45х45мм),белый,с супортами прим.</v>
      </c>
      <c r="D436" s="28" t="str">
        <f>Source!H184</f>
        <v>10 шт.</v>
      </c>
      <c r="E436" s="29">
        <f>Source!I184</f>
        <v>0.7</v>
      </c>
      <c r="F436" s="30">
        <f>Source!AL184+Source!AM184+Source!AO184</f>
        <v>85.6</v>
      </c>
      <c r="G436" s="35" t="s">
        <v>3</v>
      </c>
      <c r="H436" s="30">
        <f>ROUND(Source!AC184*Source!I184, 2)+ROUND(Source!AD184*Source!I184, 2)+ROUND(Source!AF184*Source!I184, 2)</f>
        <v>59.92</v>
      </c>
      <c r="I436" s="31"/>
      <c r="J436" s="31">
        <f>IF(Source!BC184&lt;&gt; 0, Source!BC184, 1)</f>
        <v>6.71</v>
      </c>
      <c r="K436" s="30">
        <f>Source!O184</f>
        <v>402.06</v>
      </c>
      <c r="L436" s="36"/>
      <c r="S436">
        <f>ROUND((Source!FX184/100)*((ROUND(Source!AF184*Source!I184, 2)+ROUND(Source!AE184*Source!I184, 2))), 2)</f>
        <v>0</v>
      </c>
      <c r="T436">
        <f>Source!X184</f>
        <v>0</v>
      </c>
      <c r="U436">
        <f>ROUND((Source!FY184/100)*((ROUND(Source!AF184*Source!I184, 2)+ROUND(Source!AE184*Source!I184, 2))), 2)</f>
        <v>0</v>
      </c>
      <c r="V436">
        <f>Source!Y184</f>
        <v>0</v>
      </c>
      <c r="W436">
        <f>IF(Source!BI184&lt;=1,H436, 0)</f>
        <v>0</v>
      </c>
      <c r="X436">
        <f>IF(Source!BI184=2,H436, 0)</f>
        <v>59.92</v>
      </c>
      <c r="Y436">
        <f>IF(Source!BI184=3,H436, 0)</f>
        <v>0</v>
      </c>
      <c r="Z436">
        <f>IF(Source!BI184=4,H436, 0)</f>
        <v>0</v>
      </c>
    </row>
    <row r="437" spans="1:26" ht="15" x14ac:dyDescent="0.25">
      <c r="G437" s="45">
        <f>H429+H430+H432+H433+H434+SUM(H436:H436)</f>
        <v>130.94999999999999</v>
      </c>
      <c r="H437" s="45"/>
      <c r="J437" s="45">
        <f>K429+K430+K432+K433+K434+SUM(K436:K436)</f>
        <v>878.79</v>
      </c>
      <c r="K437" s="45"/>
      <c r="L437" s="33">
        <f>Source!U183</f>
        <v>2.4591000000000003</v>
      </c>
      <c r="O437" s="19">
        <f>G437</f>
        <v>130.94999999999999</v>
      </c>
      <c r="P437" s="19">
        <f>J437</f>
        <v>878.79</v>
      </c>
      <c r="Q437" s="19">
        <f>L437</f>
        <v>2.4591000000000003</v>
      </c>
      <c r="W437">
        <f>IF(Source!BI183&lt;=1,H429+H430+H432+H433+H434, 0)</f>
        <v>0</v>
      </c>
      <c r="X437">
        <f>IF(Source!BI183=2,H429+H430+H432+H433+H434, 0)</f>
        <v>71.03</v>
      </c>
      <c r="Y437">
        <f>IF(Source!BI183=3,H429+H430+H432+H433+H434, 0)</f>
        <v>0</v>
      </c>
      <c r="Z437">
        <f>IF(Source!BI183=4,H429+H430+H432+H433+H434, 0)</f>
        <v>0</v>
      </c>
    </row>
    <row r="438" spans="1:26" ht="28.5" x14ac:dyDescent="0.2">
      <c r="A438" s="38" t="str">
        <f>Source!E185</f>
        <v>46</v>
      </c>
      <c r="B438" s="39" t="str">
        <f>Source!F185</f>
        <v>м08-03-591-08</v>
      </c>
      <c r="C438" s="39" t="str">
        <f>Source!G185</f>
        <v>Розетка штепсельная неутопленного типа при открытой проводке</v>
      </c>
      <c r="D438" s="22" t="str">
        <f>Source!H185</f>
        <v>100 ШТ</v>
      </c>
      <c r="E438" s="10">
        <f>Source!I185</f>
        <v>0.45</v>
      </c>
      <c r="F438" s="23">
        <f>Source!AL185+Source!AM185+Source!AO185</f>
        <v>453.92999999999995</v>
      </c>
      <c r="G438" s="24"/>
      <c r="H438" s="23"/>
      <c r="I438" s="24" t="str">
        <f>Source!BO185</f>
        <v/>
      </c>
      <c r="J438" s="24"/>
      <c r="K438" s="23"/>
      <c r="L438" s="25"/>
      <c r="S438">
        <f>ROUND((Source!FX185/100)*((ROUND(Source!AF185*Source!I185, 2)+ROUND(Source!AE185*Source!I185, 2))), 2)</f>
        <v>146.84</v>
      </c>
      <c r="T438">
        <f>Source!X185</f>
        <v>985.28</v>
      </c>
      <c r="U438">
        <f>ROUND((Source!FY185/100)*((ROUND(Source!AF185*Source!I185, 2)+ROUND(Source!AE185*Source!I185, 2))), 2)</f>
        <v>100.47</v>
      </c>
      <c r="V438">
        <f>Source!Y185</f>
        <v>674.14</v>
      </c>
    </row>
    <row r="439" spans="1:26" x14ac:dyDescent="0.2">
      <c r="C439" s="18" t="str">
        <f>"Объем: "&amp;Source!I185&amp;"=45/"&amp;"100"</f>
        <v>Объем: 0,45=45/100</v>
      </c>
    </row>
    <row r="440" spans="1:26" ht="14.25" x14ac:dyDescent="0.2">
      <c r="A440" s="38"/>
      <c r="B440" s="39"/>
      <c r="C440" s="39" t="s">
        <v>999</v>
      </c>
      <c r="D440" s="22"/>
      <c r="E440" s="10"/>
      <c r="F440" s="23">
        <f>Source!AO185</f>
        <v>342.84</v>
      </c>
      <c r="G440" s="24" t="str">
        <f>Source!DG185</f>
        <v/>
      </c>
      <c r="H440" s="23">
        <f>ROUND(Source!AF185*Source!I185, 2)</f>
        <v>154.28</v>
      </c>
      <c r="I440" s="24"/>
      <c r="J440" s="24">
        <f>IF(Source!BA185&lt;&gt; 0, Source!BA185, 1)</f>
        <v>6.71</v>
      </c>
      <c r="K440" s="23">
        <f>Source!S185</f>
        <v>1035.21</v>
      </c>
      <c r="L440" s="25"/>
      <c r="R440">
        <f>H440</f>
        <v>154.28</v>
      </c>
    </row>
    <row r="441" spans="1:26" ht="14.25" x14ac:dyDescent="0.2">
      <c r="A441" s="38"/>
      <c r="B441" s="39"/>
      <c r="C441" s="39" t="s">
        <v>301</v>
      </c>
      <c r="D441" s="22"/>
      <c r="E441" s="10"/>
      <c r="F441" s="23">
        <f>Source!AM185</f>
        <v>4.67</v>
      </c>
      <c r="G441" s="24" t="str">
        <f>Source!DE185</f>
        <v/>
      </c>
      <c r="H441" s="23">
        <f>ROUND(Source!AD185*Source!I185, 2)</f>
        <v>2.1</v>
      </c>
      <c r="I441" s="24"/>
      <c r="J441" s="24">
        <f>IF(Source!BB185&lt;&gt; 0, Source!BB185, 1)</f>
        <v>6.71</v>
      </c>
      <c r="K441" s="23">
        <f>Source!Q185</f>
        <v>14.1</v>
      </c>
      <c r="L441" s="25"/>
    </row>
    <row r="442" spans="1:26" ht="14.25" x14ac:dyDescent="0.2">
      <c r="A442" s="38"/>
      <c r="B442" s="39"/>
      <c r="C442" s="39" t="s">
        <v>1000</v>
      </c>
      <c r="D442" s="22"/>
      <c r="E442" s="10"/>
      <c r="F442" s="23">
        <f>Source!AN185</f>
        <v>0.64</v>
      </c>
      <c r="G442" s="24" t="str">
        <f>Source!DF185</f>
        <v/>
      </c>
      <c r="H442" s="26">
        <f>ROUND(Source!AE185*Source!I185, 2)</f>
        <v>0.28999999999999998</v>
      </c>
      <c r="I442" s="24"/>
      <c r="J442" s="24">
        <f>IF(Source!BS185&lt;&gt; 0, Source!BS185, 1)</f>
        <v>6.71</v>
      </c>
      <c r="K442" s="26">
        <f>Source!R185</f>
        <v>1.93</v>
      </c>
      <c r="L442" s="25"/>
      <c r="R442">
        <f>H442</f>
        <v>0.28999999999999998</v>
      </c>
    </row>
    <row r="443" spans="1:26" ht="14.25" x14ac:dyDescent="0.2">
      <c r="A443" s="38"/>
      <c r="B443" s="39"/>
      <c r="C443" s="39" t="s">
        <v>1006</v>
      </c>
      <c r="D443" s="22"/>
      <c r="E443" s="10"/>
      <c r="F443" s="23">
        <f>Source!AL185</f>
        <v>106.42</v>
      </c>
      <c r="G443" s="24" t="str">
        <f>Source!DD185</f>
        <v/>
      </c>
      <c r="H443" s="23">
        <f>ROUND(Source!AC185*Source!I185, 2)</f>
        <v>47.89</v>
      </c>
      <c r="I443" s="24"/>
      <c r="J443" s="24">
        <f>IF(Source!BC185&lt;&gt; 0, Source!BC185, 1)</f>
        <v>6.71</v>
      </c>
      <c r="K443" s="23">
        <f>Source!P185</f>
        <v>321.33999999999997</v>
      </c>
      <c r="L443" s="25"/>
    </row>
    <row r="444" spans="1:26" ht="14.25" x14ac:dyDescent="0.2">
      <c r="A444" s="38"/>
      <c r="B444" s="39"/>
      <c r="C444" s="39" t="s">
        <v>1001</v>
      </c>
      <c r="D444" s="22" t="s">
        <v>1002</v>
      </c>
      <c r="E444" s="10">
        <f>Source!BZ185</f>
        <v>95</v>
      </c>
      <c r="F444" s="42"/>
      <c r="G444" s="24"/>
      <c r="H444" s="23">
        <f>SUM(S438:S448)</f>
        <v>146.84</v>
      </c>
      <c r="I444" s="27"/>
      <c r="J444" s="21">
        <f>Source!AT185</f>
        <v>95</v>
      </c>
      <c r="K444" s="23">
        <f>SUM(T438:T448)</f>
        <v>985.28</v>
      </c>
      <c r="L444" s="25"/>
    </row>
    <row r="445" spans="1:26" ht="14.25" x14ac:dyDescent="0.2">
      <c r="A445" s="38"/>
      <c r="B445" s="39"/>
      <c r="C445" s="39" t="s">
        <v>1003</v>
      </c>
      <c r="D445" s="22" t="s">
        <v>1002</v>
      </c>
      <c r="E445" s="10">
        <f>Source!CA185</f>
        <v>65</v>
      </c>
      <c r="F445" s="42"/>
      <c r="G445" s="24"/>
      <c r="H445" s="23">
        <f>SUM(U438:U448)</f>
        <v>100.47</v>
      </c>
      <c r="I445" s="27"/>
      <c r="J445" s="21">
        <f>Source!AU185</f>
        <v>65</v>
      </c>
      <c r="K445" s="23">
        <f>SUM(V438:V448)</f>
        <v>674.14</v>
      </c>
      <c r="L445" s="25"/>
    </row>
    <row r="446" spans="1:26" ht="14.25" x14ac:dyDescent="0.2">
      <c r="A446" s="38"/>
      <c r="B446" s="39"/>
      <c r="C446" s="39" t="s">
        <v>1004</v>
      </c>
      <c r="D446" s="22" t="s">
        <v>1005</v>
      </c>
      <c r="E446" s="10">
        <f>Source!AQ185</f>
        <v>34.56</v>
      </c>
      <c r="F446" s="23"/>
      <c r="G446" s="24" t="str">
        <f>Source!DI185</f>
        <v/>
      </c>
      <c r="H446" s="23"/>
      <c r="I446" s="24"/>
      <c r="J446" s="24"/>
      <c r="K446" s="23"/>
      <c r="L446" s="34">
        <f>Source!U185</f>
        <v>15.552000000000001</v>
      </c>
    </row>
    <row r="447" spans="1:26" ht="42.75" x14ac:dyDescent="0.2">
      <c r="A447" s="38" t="str">
        <f>Source!E186</f>
        <v>46,1</v>
      </c>
      <c r="B447" s="39" t="str">
        <f>Source!F186</f>
        <v>20.4.03.05-0004</v>
      </c>
      <c r="C447" s="39" t="str">
        <f>Source!G186</f>
        <v>Розетка открытой проводки "EFAPEL" 220В2к+з,(45х45мм),белые с супортами в кабель-канал прим.</v>
      </c>
      <c r="D447" s="22" t="str">
        <f>Source!H186</f>
        <v>100 шт.</v>
      </c>
      <c r="E447" s="10">
        <f>Source!I186</f>
        <v>0.38</v>
      </c>
      <c r="F447" s="23">
        <f>Source!AL186+Source!AM186+Source!AO186</f>
        <v>899</v>
      </c>
      <c r="G447" s="37" t="s">
        <v>3</v>
      </c>
      <c r="H447" s="23">
        <f>ROUND(Source!AC186*Source!I186, 2)+ROUND(Source!AD186*Source!I186, 2)+ROUND(Source!AF186*Source!I186, 2)</f>
        <v>341.62</v>
      </c>
      <c r="I447" s="24"/>
      <c r="J447" s="24">
        <f>IF(Source!BC186&lt;&gt; 0, Source!BC186, 1)</f>
        <v>6.71</v>
      </c>
      <c r="K447" s="23">
        <f>Source!O186</f>
        <v>2292.27</v>
      </c>
      <c r="L447" s="25"/>
      <c r="S447">
        <f>ROUND((Source!FX186/100)*((ROUND(Source!AF186*Source!I186, 2)+ROUND(Source!AE186*Source!I186, 2))), 2)</f>
        <v>0</v>
      </c>
      <c r="T447">
        <f>Source!X186</f>
        <v>0</v>
      </c>
      <c r="U447">
        <f>ROUND((Source!FY186/100)*((ROUND(Source!AF186*Source!I186, 2)+ROUND(Source!AE186*Source!I186, 2))), 2)</f>
        <v>0</v>
      </c>
      <c r="V447">
        <f>Source!Y186</f>
        <v>0</v>
      </c>
      <c r="W447">
        <f>IF(Source!BI186&lt;=1,H447, 0)</f>
        <v>0</v>
      </c>
      <c r="X447">
        <f>IF(Source!BI186=2,H447, 0)</f>
        <v>341.62</v>
      </c>
      <c r="Y447">
        <f>IF(Source!BI186=3,H447, 0)</f>
        <v>0</v>
      </c>
      <c r="Z447">
        <f>IF(Source!BI186=4,H447, 0)</f>
        <v>0</v>
      </c>
    </row>
    <row r="448" spans="1:26" ht="28.5" x14ac:dyDescent="0.2">
      <c r="A448" s="40" t="str">
        <f>Source!E187</f>
        <v>46,2</v>
      </c>
      <c r="B448" s="41" t="str">
        <f>Source!F187</f>
        <v>20.4.03.05-0005</v>
      </c>
      <c r="C448" s="41" t="str">
        <f>Source!G187</f>
        <v>Розетка  для открытой проводки (согласно тех.задания)</v>
      </c>
      <c r="D448" s="28" t="str">
        <f>Source!H187</f>
        <v>100 шт.</v>
      </c>
      <c r="E448" s="29">
        <f>Source!I187</f>
        <v>7.0000000000000007E-2</v>
      </c>
      <c r="F448" s="30">
        <f>Source!AL187+Source!AM187+Source!AO187</f>
        <v>734</v>
      </c>
      <c r="G448" s="35" t="s">
        <v>3</v>
      </c>
      <c r="H448" s="30">
        <f>ROUND(Source!AC187*Source!I187, 2)+ROUND(Source!AD187*Source!I187, 2)+ROUND(Source!AF187*Source!I187, 2)</f>
        <v>51.38</v>
      </c>
      <c r="I448" s="31"/>
      <c r="J448" s="31">
        <f>IF(Source!BC187&lt;&gt; 0, Source!BC187, 1)</f>
        <v>6.71</v>
      </c>
      <c r="K448" s="30">
        <f>Source!O187</f>
        <v>344.76</v>
      </c>
      <c r="L448" s="36"/>
      <c r="S448">
        <f>ROUND((Source!FX187/100)*((ROUND(Source!AF187*Source!I187, 2)+ROUND(Source!AE187*Source!I187, 2))), 2)</f>
        <v>0</v>
      </c>
      <c r="T448">
        <f>Source!X187</f>
        <v>0</v>
      </c>
      <c r="U448">
        <f>ROUND((Source!FY187/100)*((ROUND(Source!AF187*Source!I187, 2)+ROUND(Source!AE187*Source!I187, 2))), 2)</f>
        <v>0</v>
      </c>
      <c r="V448">
        <f>Source!Y187</f>
        <v>0</v>
      </c>
      <c r="W448">
        <f>IF(Source!BI187&lt;=1,H448, 0)</f>
        <v>0</v>
      </c>
      <c r="X448">
        <f>IF(Source!BI187=2,H448, 0)</f>
        <v>51.38</v>
      </c>
      <c r="Y448">
        <f>IF(Source!BI187=3,H448, 0)</f>
        <v>0</v>
      </c>
      <c r="Z448">
        <f>IF(Source!BI187=4,H448, 0)</f>
        <v>0</v>
      </c>
    </row>
    <row r="449" spans="1:26" ht="15" x14ac:dyDescent="0.25">
      <c r="G449" s="45">
        <f>H440+H441+H443+H444+H445+SUM(H447:H448)</f>
        <v>844.58</v>
      </c>
      <c r="H449" s="45"/>
      <c r="J449" s="45">
        <f>K440+K441+K443+K444+K445+SUM(K447:K448)</f>
        <v>5667.0999999999995</v>
      </c>
      <c r="K449" s="45"/>
      <c r="L449" s="33">
        <f>Source!U185</f>
        <v>15.552000000000001</v>
      </c>
      <c r="O449" s="19">
        <f>G449</f>
        <v>844.58</v>
      </c>
      <c r="P449" s="19">
        <f>J449</f>
        <v>5667.0999999999995</v>
      </c>
      <c r="Q449" s="19">
        <f>L449</f>
        <v>15.552000000000001</v>
      </c>
      <c r="W449">
        <f>IF(Source!BI185&lt;=1,H440+H441+H443+H444+H445, 0)</f>
        <v>0</v>
      </c>
      <c r="X449">
        <f>IF(Source!BI185=2,H440+H441+H443+H444+H445, 0)</f>
        <v>451.58000000000004</v>
      </c>
      <c r="Y449">
        <f>IF(Source!BI185=3,H440+H441+H443+H444+H445, 0)</f>
        <v>0</v>
      </c>
      <c r="Z449">
        <f>IF(Source!BI185=4,H440+H441+H443+H444+H445, 0)</f>
        <v>0</v>
      </c>
    </row>
    <row r="450" spans="1:26" ht="28.5" x14ac:dyDescent="0.2">
      <c r="A450" s="38" t="str">
        <f>Source!E188</f>
        <v>47</v>
      </c>
      <c r="B450" s="39" t="str">
        <f>Source!F188</f>
        <v>м08-02-370-02 прим.</v>
      </c>
      <c r="C450" s="39" t="str">
        <f>Source!G188</f>
        <v>Щиток до трех групп, устанавливаемый в нише цоколя</v>
      </c>
      <c r="D450" s="22" t="str">
        <f>Source!H188</f>
        <v>ШТ</v>
      </c>
      <c r="E450" s="10">
        <f>Source!I188</f>
        <v>7</v>
      </c>
      <c r="F450" s="23">
        <f>Source!AL188+Source!AM188+Source!AO188</f>
        <v>33.42</v>
      </c>
      <c r="G450" s="24"/>
      <c r="H450" s="23"/>
      <c r="I450" s="24" t="str">
        <f>Source!BO188</f>
        <v/>
      </c>
      <c r="J450" s="24"/>
      <c r="K450" s="23"/>
      <c r="L450" s="25"/>
      <c r="S450">
        <f>ROUND((Source!FX188/100)*((ROUND(Source!AF188*Source!I188, 2)+ROUND(Source!AE188*Source!I188, 2))), 2)</f>
        <v>79.53</v>
      </c>
      <c r="T450">
        <f>Source!X188</f>
        <v>533.66999999999996</v>
      </c>
      <c r="U450">
        <f>ROUND((Source!FY188/100)*((ROUND(Source!AF188*Source!I188, 2)+ROUND(Source!AE188*Source!I188, 2))), 2)</f>
        <v>54.42</v>
      </c>
      <c r="V450">
        <f>Source!Y188</f>
        <v>365.14</v>
      </c>
    </row>
    <row r="451" spans="1:26" ht="14.25" x14ac:dyDescent="0.2">
      <c r="A451" s="38"/>
      <c r="B451" s="39"/>
      <c r="C451" s="39" t="s">
        <v>999</v>
      </c>
      <c r="D451" s="22"/>
      <c r="E451" s="10"/>
      <c r="F451" s="23">
        <f>Source!AO188</f>
        <v>9.4499999999999993</v>
      </c>
      <c r="G451" s="24" t="str">
        <f>Source!DG188</f>
        <v/>
      </c>
      <c r="H451" s="23">
        <f>ROUND(Source!AF188*Source!I188, 2)</f>
        <v>66.150000000000006</v>
      </c>
      <c r="I451" s="24"/>
      <c r="J451" s="24">
        <f>IF(Source!BA188&lt;&gt; 0, Source!BA188, 1)</f>
        <v>6.71</v>
      </c>
      <c r="K451" s="23">
        <f>Source!S188</f>
        <v>443.87</v>
      </c>
      <c r="L451" s="25"/>
      <c r="R451">
        <f>H451</f>
        <v>66.150000000000006</v>
      </c>
    </row>
    <row r="452" spans="1:26" ht="14.25" x14ac:dyDescent="0.2">
      <c r="A452" s="38"/>
      <c r="B452" s="39"/>
      <c r="C452" s="39" t="s">
        <v>301</v>
      </c>
      <c r="D452" s="22"/>
      <c r="E452" s="10"/>
      <c r="F452" s="23">
        <f>Source!AM188</f>
        <v>17.77</v>
      </c>
      <c r="G452" s="24" t="str">
        <f>Source!DE188</f>
        <v/>
      </c>
      <c r="H452" s="23">
        <f>ROUND(Source!AD188*Source!I188, 2)</f>
        <v>124.39</v>
      </c>
      <c r="I452" s="24"/>
      <c r="J452" s="24">
        <f>IF(Source!BB188&lt;&gt; 0, Source!BB188, 1)</f>
        <v>6.71</v>
      </c>
      <c r="K452" s="23">
        <f>Source!Q188</f>
        <v>834.66</v>
      </c>
      <c r="L452" s="25"/>
    </row>
    <row r="453" spans="1:26" ht="14.25" x14ac:dyDescent="0.2">
      <c r="A453" s="38"/>
      <c r="B453" s="39"/>
      <c r="C453" s="39" t="s">
        <v>1000</v>
      </c>
      <c r="D453" s="22"/>
      <c r="E453" s="10"/>
      <c r="F453" s="23">
        <f>Source!AN188</f>
        <v>2.5099999999999998</v>
      </c>
      <c r="G453" s="24" t="str">
        <f>Source!DF188</f>
        <v/>
      </c>
      <c r="H453" s="26">
        <f>ROUND(Source!AE188*Source!I188, 2)</f>
        <v>17.57</v>
      </c>
      <c r="I453" s="24"/>
      <c r="J453" s="24">
        <f>IF(Source!BS188&lt;&gt; 0, Source!BS188, 1)</f>
        <v>6.71</v>
      </c>
      <c r="K453" s="26">
        <f>Source!R188</f>
        <v>117.89</v>
      </c>
      <c r="L453" s="25"/>
      <c r="R453">
        <f>H453</f>
        <v>17.57</v>
      </c>
    </row>
    <row r="454" spans="1:26" ht="14.25" x14ac:dyDescent="0.2">
      <c r="A454" s="38"/>
      <c r="B454" s="39"/>
      <c r="C454" s="39" t="s">
        <v>1006</v>
      </c>
      <c r="D454" s="22"/>
      <c r="E454" s="10"/>
      <c r="F454" s="23">
        <f>Source!AL188</f>
        <v>6.2</v>
      </c>
      <c r="G454" s="24" t="str">
        <f>Source!DD188</f>
        <v/>
      </c>
      <c r="H454" s="23">
        <f>ROUND(Source!AC188*Source!I188, 2)</f>
        <v>43.4</v>
      </c>
      <c r="I454" s="24"/>
      <c r="J454" s="24">
        <f>IF(Source!BC188&lt;&gt; 0, Source!BC188, 1)</f>
        <v>6.71</v>
      </c>
      <c r="K454" s="23">
        <f>Source!P188</f>
        <v>291.20999999999998</v>
      </c>
      <c r="L454" s="25"/>
    </row>
    <row r="455" spans="1:26" ht="14.25" x14ac:dyDescent="0.2">
      <c r="A455" s="38"/>
      <c r="B455" s="39"/>
      <c r="C455" s="39" t="s">
        <v>1001</v>
      </c>
      <c r="D455" s="22" t="s">
        <v>1002</v>
      </c>
      <c r="E455" s="10">
        <f>Source!BZ188</f>
        <v>95</v>
      </c>
      <c r="F455" s="42"/>
      <c r="G455" s="24"/>
      <c r="H455" s="23">
        <f>SUM(S450:S458)</f>
        <v>79.53</v>
      </c>
      <c r="I455" s="27"/>
      <c r="J455" s="21">
        <f>Source!AT188</f>
        <v>95</v>
      </c>
      <c r="K455" s="23">
        <f>SUM(T450:T458)</f>
        <v>533.66999999999996</v>
      </c>
      <c r="L455" s="25"/>
    </row>
    <row r="456" spans="1:26" ht="14.25" x14ac:dyDescent="0.2">
      <c r="A456" s="38"/>
      <c r="B456" s="39"/>
      <c r="C456" s="39" t="s">
        <v>1003</v>
      </c>
      <c r="D456" s="22" t="s">
        <v>1002</v>
      </c>
      <c r="E456" s="10">
        <f>Source!CA188</f>
        <v>65</v>
      </c>
      <c r="F456" s="42"/>
      <c r="G456" s="24"/>
      <c r="H456" s="23">
        <f>SUM(U450:U458)</f>
        <v>54.42</v>
      </c>
      <c r="I456" s="27"/>
      <c r="J456" s="21">
        <f>Source!AU188</f>
        <v>65</v>
      </c>
      <c r="K456" s="23">
        <f>SUM(V450:V458)</f>
        <v>365.14</v>
      </c>
      <c r="L456" s="25"/>
    </row>
    <row r="457" spans="1:26" ht="14.25" x14ac:dyDescent="0.2">
      <c r="A457" s="38"/>
      <c r="B457" s="39"/>
      <c r="C457" s="39" t="s">
        <v>1004</v>
      </c>
      <c r="D457" s="22" t="s">
        <v>1005</v>
      </c>
      <c r="E457" s="10">
        <f>Source!AQ188</f>
        <v>0.9</v>
      </c>
      <c r="F457" s="23"/>
      <c r="G457" s="24" t="str">
        <f>Source!DI188</f>
        <v/>
      </c>
      <c r="H457" s="23"/>
      <c r="I457" s="24"/>
      <c r="J457" s="24"/>
      <c r="K457" s="23"/>
      <c r="L457" s="34">
        <f>Source!U188</f>
        <v>6.3</v>
      </c>
    </row>
    <row r="458" spans="1:26" ht="57" x14ac:dyDescent="0.2">
      <c r="A458" s="40" t="str">
        <f>Source!E189</f>
        <v>47,1</v>
      </c>
      <c r="B458" s="41" t="str">
        <f>Source!F189</f>
        <v>62.1.02.03-0003</v>
      </c>
      <c r="C458" s="41" t="str">
        <f>Source!G189</f>
        <v>Щит навесной IEK ШРН-18э1 38,18 модулей ,IP31 с клемником(АВВ) с замком,материал корпуса металл прим.</v>
      </c>
      <c r="D458" s="28" t="str">
        <f>Source!H189</f>
        <v>10 шт.</v>
      </c>
      <c r="E458" s="29">
        <f>Source!I189</f>
        <v>0.7</v>
      </c>
      <c r="F458" s="30">
        <f>Source!AL189+Source!AM189+Source!AO189</f>
        <v>188.5</v>
      </c>
      <c r="G458" s="35" t="s">
        <v>3</v>
      </c>
      <c r="H458" s="30">
        <f>ROUND(Source!AC189*Source!I189, 2)+ROUND(Source!AD189*Source!I189, 2)+ROUND(Source!AF189*Source!I189, 2)</f>
        <v>131.94999999999999</v>
      </c>
      <c r="I458" s="31"/>
      <c r="J458" s="31">
        <f>IF(Source!BC189&lt;&gt; 0, Source!BC189, 1)</f>
        <v>6.71</v>
      </c>
      <c r="K458" s="30">
        <f>Source!O189</f>
        <v>885.38</v>
      </c>
      <c r="L458" s="36"/>
      <c r="S458">
        <f>ROUND((Source!FX189/100)*((ROUND(Source!AF189*Source!I189, 2)+ROUND(Source!AE189*Source!I189, 2))), 2)</f>
        <v>0</v>
      </c>
      <c r="T458">
        <f>Source!X189</f>
        <v>0</v>
      </c>
      <c r="U458">
        <f>ROUND((Source!FY189/100)*((ROUND(Source!AF189*Source!I189, 2)+ROUND(Source!AE189*Source!I189, 2))), 2)</f>
        <v>0</v>
      </c>
      <c r="V458">
        <f>Source!Y189</f>
        <v>0</v>
      </c>
      <c r="W458">
        <f>IF(Source!BI189&lt;=1,H458, 0)</f>
        <v>0</v>
      </c>
      <c r="X458">
        <f>IF(Source!BI189=2,H458, 0)</f>
        <v>131.94999999999999</v>
      </c>
      <c r="Y458">
        <f>IF(Source!BI189=3,H458, 0)</f>
        <v>0</v>
      </c>
      <c r="Z458">
        <f>IF(Source!BI189=4,H458, 0)</f>
        <v>0</v>
      </c>
    </row>
    <row r="459" spans="1:26" ht="15" x14ac:dyDescent="0.25">
      <c r="G459" s="45">
        <f>H451+H452+H454+H455+H456+SUM(H458:H458)</f>
        <v>499.84000000000003</v>
      </c>
      <c r="H459" s="45"/>
      <c r="J459" s="45">
        <f>K451+K452+K454+K455+K456+SUM(K458:K458)</f>
        <v>3353.93</v>
      </c>
      <c r="K459" s="45"/>
      <c r="L459" s="33">
        <f>Source!U188</f>
        <v>6.3</v>
      </c>
      <c r="O459" s="19">
        <f>G459</f>
        <v>499.84000000000003</v>
      </c>
      <c r="P459" s="19">
        <f>J459</f>
        <v>3353.93</v>
      </c>
      <c r="Q459" s="19">
        <f>L459</f>
        <v>6.3</v>
      </c>
      <c r="W459">
        <f>IF(Source!BI188&lt;=1,H451+H452+H454+H455+H456, 0)</f>
        <v>0</v>
      </c>
      <c r="X459">
        <f>IF(Source!BI188=2,H451+H452+H454+H455+H456, 0)</f>
        <v>367.89000000000004</v>
      </c>
      <c r="Y459">
        <f>IF(Source!BI188=3,H451+H452+H454+H455+H456, 0)</f>
        <v>0</v>
      </c>
      <c r="Z459">
        <f>IF(Source!BI188=4,H451+H452+H454+H455+H456, 0)</f>
        <v>0</v>
      </c>
    </row>
    <row r="460" spans="1:26" ht="42.75" x14ac:dyDescent="0.2">
      <c r="A460" s="38" t="str">
        <f>Source!E190</f>
        <v>48</v>
      </c>
      <c r="B460" s="39" t="str">
        <f>Source!F190</f>
        <v>м08-03-526-01</v>
      </c>
      <c r="C460" s="39" t="str">
        <f>Source!G190</f>
        <v>Автомат одно-, двух-, трехполюсный, устанавливаемый на конструкции на стене или колонне, на ток до 25 А</v>
      </c>
      <c r="D460" s="22" t="str">
        <f>Source!H190</f>
        <v>ШТ</v>
      </c>
      <c r="E460" s="10">
        <f>Source!I190</f>
        <v>47</v>
      </c>
      <c r="F460" s="23">
        <f>Source!AL190+Source!AM190+Source!AO190</f>
        <v>35.980000000000004</v>
      </c>
      <c r="G460" s="24"/>
      <c r="H460" s="23"/>
      <c r="I460" s="24" t="str">
        <f>Source!BO190</f>
        <v/>
      </c>
      <c r="J460" s="24"/>
      <c r="K460" s="23"/>
      <c r="L460" s="25"/>
      <c r="S460">
        <f>ROUND((Source!FX190/100)*((ROUND(Source!AF190*Source!I190, 2)+ROUND(Source!AE190*Source!I190, 2))), 2)</f>
        <v>662.61</v>
      </c>
      <c r="T460">
        <f>Source!X190</f>
        <v>4446.09</v>
      </c>
      <c r="U460">
        <f>ROUND((Source!FY190/100)*((ROUND(Source!AF190*Source!I190, 2)+ROUND(Source!AE190*Source!I190, 2))), 2)</f>
        <v>453.36</v>
      </c>
      <c r="V460">
        <f>Source!Y190</f>
        <v>3042.06</v>
      </c>
    </row>
    <row r="461" spans="1:26" ht="14.25" x14ac:dyDescent="0.2">
      <c r="A461" s="38"/>
      <c r="B461" s="39"/>
      <c r="C461" s="39" t="s">
        <v>999</v>
      </c>
      <c r="D461" s="22"/>
      <c r="E461" s="10"/>
      <c r="F461" s="23">
        <f>Source!AO190</f>
        <v>14.84</v>
      </c>
      <c r="G461" s="24" t="str">
        <f>Source!DG190</f>
        <v/>
      </c>
      <c r="H461" s="23">
        <f>ROUND(Source!AF190*Source!I190, 2)</f>
        <v>697.48</v>
      </c>
      <c r="I461" s="24"/>
      <c r="J461" s="24">
        <f>IF(Source!BA190&lt;&gt; 0, Source!BA190, 1)</f>
        <v>6.71</v>
      </c>
      <c r="K461" s="23">
        <f>Source!S190</f>
        <v>4680.09</v>
      </c>
      <c r="L461" s="25"/>
      <c r="R461">
        <f>H461</f>
        <v>697.48</v>
      </c>
    </row>
    <row r="462" spans="1:26" ht="14.25" x14ac:dyDescent="0.2">
      <c r="A462" s="38"/>
      <c r="B462" s="39"/>
      <c r="C462" s="39" t="s">
        <v>301</v>
      </c>
      <c r="D462" s="22"/>
      <c r="E462" s="10"/>
      <c r="F462" s="23">
        <f>Source!AM190</f>
        <v>1.05</v>
      </c>
      <c r="G462" s="24" t="str">
        <f>Source!DE190</f>
        <v/>
      </c>
      <c r="H462" s="23">
        <f>ROUND(Source!AD190*Source!I190, 2)</f>
        <v>49.35</v>
      </c>
      <c r="I462" s="24"/>
      <c r="J462" s="24">
        <f>IF(Source!BB190&lt;&gt; 0, Source!BB190, 1)</f>
        <v>6.71</v>
      </c>
      <c r="K462" s="23">
        <f>Source!Q190</f>
        <v>331.14</v>
      </c>
      <c r="L462" s="25"/>
    </row>
    <row r="463" spans="1:26" ht="14.25" x14ac:dyDescent="0.2">
      <c r="A463" s="38"/>
      <c r="B463" s="39"/>
      <c r="C463" s="39" t="s">
        <v>1006</v>
      </c>
      <c r="D463" s="22"/>
      <c r="E463" s="10"/>
      <c r="F463" s="23">
        <f>Source!AL190</f>
        <v>20.09</v>
      </c>
      <c r="G463" s="24" t="str">
        <f>Source!DD190</f>
        <v/>
      </c>
      <c r="H463" s="23">
        <f>ROUND(Source!AC190*Source!I190, 2)</f>
        <v>944.23</v>
      </c>
      <c r="I463" s="24"/>
      <c r="J463" s="24">
        <f>IF(Source!BC190&lt;&gt; 0, Source!BC190, 1)</f>
        <v>6.71</v>
      </c>
      <c r="K463" s="23">
        <f>Source!P190</f>
        <v>6335.78</v>
      </c>
      <c r="L463" s="25"/>
    </row>
    <row r="464" spans="1:26" ht="14.25" x14ac:dyDescent="0.2">
      <c r="A464" s="38"/>
      <c r="B464" s="39"/>
      <c r="C464" s="39" t="s">
        <v>1001</v>
      </c>
      <c r="D464" s="22" t="s">
        <v>1002</v>
      </c>
      <c r="E464" s="10">
        <f>Source!BZ190</f>
        <v>95</v>
      </c>
      <c r="F464" s="42"/>
      <c r="G464" s="24"/>
      <c r="H464" s="23">
        <f>SUM(S460:S471)</f>
        <v>662.61</v>
      </c>
      <c r="I464" s="27"/>
      <c r="J464" s="21">
        <f>Source!AT190</f>
        <v>95</v>
      </c>
      <c r="K464" s="23">
        <f>SUM(T460:T471)</f>
        <v>4446.09</v>
      </c>
      <c r="L464" s="25"/>
    </row>
    <row r="465" spans="1:26" ht="14.25" x14ac:dyDescent="0.2">
      <c r="A465" s="38"/>
      <c r="B465" s="39"/>
      <c r="C465" s="39" t="s">
        <v>1003</v>
      </c>
      <c r="D465" s="22" t="s">
        <v>1002</v>
      </c>
      <c r="E465" s="10">
        <f>Source!CA190</f>
        <v>65</v>
      </c>
      <c r="F465" s="42"/>
      <c r="G465" s="24"/>
      <c r="H465" s="23">
        <f>SUM(U460:U471)</f>
        <v>453.36</v>
      </c>
      <c r="I465" s="27"/>
      <c r="J465" s="21">
        <f>Source!AU190</f>
        <v>65</v>
      </c>
      <c r="K465" s="23">
        <f>SUM(V460:V471)</f>
        <v>3042.06</v>
      </c>
      <c r="L465" s="25"/>
    </row>
    <row r="466" spans="1:26" ht="14.25" x14ac:dyDescent="0.2">
      <c r="A466" s="38"/>
      <c r="B466" s="39"/>
      <c r="C466" s="39" t="s">
        <v>1004</v>
      </c>
      <c r="D466" s="22" t="s">
        <v>1005</v>
      </c>
      <c r="E466" s="10">
        <f>Source!AQ190</f>
        <v>1.56</v>
      </c>
      <c r="F466" s="23"/>
      <c r="G466" s="24" t="str">
        <f>Source!DI190</f>
        <v/>
      </c>
      <c r="H466" s="23"/>
      <c r="I466" s="24"/>
      <c r="J466" s="24"/>
      <c r="K466" s="23"/>
      <c r="L466" s="34">
        <f>Source!U190</f>
        <v>73.320000000000007</v>
      </c>
    </row>
    <row r="467" spans="1:26" ht="28.5" x14ac:dyDescent="0.2">
      <c r="A467" s="38" t="str">
        <f>Source!E191</f>
        <v>48,1</v>
      </c>
      <c r="B467" s="39" t="str">
        <f>Source!F191</f>
        <v>62.1.01.09-0050</v>
      </c>
      <c r="C467" s="39" t="str">
        <f>Source!G191</f>
        <v>Выключатели автоматические АВВ 1Р 16А  прим.</v>
      </c>
      <c r="D467" s="22" t="str">
        <f>Source!H191</f>
        <v>шт.</v>
      </c>
      <c r="E467" s="10">
        <f>Source!I191</f>
        <v>19</v>
      </c>
      <c r="F467" s="23">
        <f>Source!AL191+Source!AM191+Source!AO191</f>
        <v>66.48</v>
      </c>
      <c r="G467" s="37" t="s">
        <v>3</v>
      </c>
      <c r="H467" s="23">
        <f>ROUND(Source!AC191*Source!I191, 2)+ROUND(Source!AD191*Source!I191, 2)+ROUND(Source!AF191*Source!I191, 2)</f>
        <v>1263.1199999999999</v>
      </c>
      <c r="I467" s="24"/>
      <c r="J467" s="24">
        <f>IF(Source!BC191&lt;&gt; 0, Source!BC191, 1)</f>
        <v>6.71</v>
      </c>
      <c r="K467" s="23">
        <f>Source!O191</f>
        <v>8475.5400000000009</v>
      </c>
      <c r="L467" s="25"/>
      <c r="S467">
        <f>ROUND((Source!FX191/100)*((ROUND(Source!AF191*Source!I191, 2)+ROUND(Source!AE191*Source!I191, 2))), 2)</f>
        <v>0</v>
      </c>
      <c r="T467">
        <f>Source!X191</f>
        <v>0</v>
      </c>
      <c r="U467">
        <f>ROUND((Source!FY191/100)*((ROUND(Source!AF191*Source!I191, 2)+ROUND(Source!AE191*Source!I191, 2))), 2)</f>
        <v>0</v>
      </c>
      <c r="V467">
        <f>Source!Y191</f>
        <v>0</v>
      </c>
      <c r="W467">
        <f>IF(Source!BI191&lt;=1,H467, 0)</f>
        <v>0</v>
      </c>
      <c r="X467">
        <f>IF(Source!BI191=2,H467, 0)</f>
        <v>1263.1199999999999</v>
      </c>
      <c r="Y467">
        <f>IF(Source!BI191=3,H467, 0)</f>
        <v>0</v>
      </c>
      <c r="Z467">
        <f>IF(Source!BI191=4,H467, 0)</f>
        <v>0</v>
      </c>
    </row>
    <row r="468" spans="1:26" ht="28.5" x14ac:dyDescent="0.2">
      <c r="A468" s="38" t="str">
        <f>Source!E192</f>
        <v>48,2</v>
      </c>
      <c r="B468" s="39" t="str">
        <f>Source!F192</f>
        <v>62.1.01.09-0049</v>
      </c>
      <c r="C468" s="39" t="str">
        <f>Source!G192</f>
        <v>Выключатели автоматические «АВВ" 1Р 10А прим.</v>
      </c>
      <c r="D468" s="22" t="str">
        <f>Source!H192</f>
        <v>шт.</v>
      </c>
      <c r="E468" s="10">
        <f>Source!I192</f>
        <v>7</v>
      </c>
      <c r="F468" s="23">
        <f>Source!AL192+Source!AM192+Source!AO192</f>
        <v>73.63</v>
      </c>
      <c r="G468" s="37" t="s">
        <v>3</v>
      </c>
      <c r="H468" s="23">
        <f>ROUND(Source!AC192*Source!I192, 2)+ROUND(Source!AD192*Source!I192, 2)+ROUND(Source!AF192*Source!I192, 2)</f>
        <v>515.41</v>
      </c>
      <c r="I468" s="24"/>
      <c r="J468" s="24">
        <f>IF(Source!BC192&lt;&gt; 0, Source!BC192, 1)</f>
        <v>6.71</v>
      </c>
      <c r="K468" s="23">
        <f>Source!O192</f>
        <v>3458.4</v>
      </c>
      <c r="L468" s="25"/>
      <c r="S468">
        <f>ROUND((Source!FX192/100)*((ROUND(Source!AF192*Source!I192, 2)+ROUND(Source!AE192*Source!I192, 2))), 2)</f>
        <v>0</v>
      </c>
      <c r="T468">
        <f>Source!X192</f>
        <v>0</v>
      </c>
      <c r="U468">
        <f>ROUND((Source!FY192/100)*((ROUND(Source!AF192*Source!I192, 2)+ROUND(Source!AE192*Source!I192, 2))), 2)</f>
        <v>0</v>
      </c>
      <c r="V468">
        <f>Source!Y192</f>
        <v>0</v>
      </c>
      <c r="W468">
        <f>IF(Source!BI192&lt;=1,H468, 0)</f>
        <v>0</v>
      </c>
      <c r="X468">
        <f>IF(Source!BI192=2,H468, 0)</f>
        <v>515.41</v>
      </c>
      <c r="Y468">
        <f>IF(Source!BI192=3,H468, 0)</f>
        <v>0</v>
      </c>
      <c r="Z468">
        <f>IF(Source!BI192=4,H468, 0)</f>
        <v>0</v>
      </c>
    </row>
    <row r="469" spans="1:26" ht="28.5" x14ac:dyDescent="0.2">
      <c r="A469" s="38" t="str">
        <f>Source!E193</f>
        <v>48,3</v>
      </c>
      <c r="B469" s="39" t="str">
        <f>Source!F193</f>
        <v>62.1.01.09-0065</v>
      </c>
      <c r="C469" s="39" t="str">
        <f>Source!G193</f>
        <v>Выключатели автоматические «АВВ" 3Р 10А прим.</v>
      </c>
      <c r="D469" s="22" t="str">
        <f>Source!H193</f>
        <v>шт.</v>
      </c>
      <c r="E469" s="10">
        <f>Source!I193</f>
        <v>7</v>
      </c>
      <c r="F469" s="23">
        <f>Source!AL193+Source!AM193+Source!AO193</f>
        <v>231.3</v>
      </c>
      <c r="G469" s="37" t="s">
        <v>3</v>
      </c>
      <c r="H469" s="23">
        <f>ROUND(Source!AC193*Source!I193, 2)+ROUND(Source!AD193*Source!I193, 2)+ROUND(Source!AF193*Source!I193, 2)</f>
        <v>1619.1</v>
      </c>
      <c r="I469" s="24"/>
      <c r="J469" s="24">
        <f>IF(Source!BC193&lt;&gt; 0, Source!BC193, 1)</f>
        <v>6.71</v>
      </c>
      <c r="K469" s="23">
        <f>Source!O193</f>
        <v>10864.16</v>
      </c>
      <c r="L469" s="25"/>
      <c r="S469">
        <f>ROUND((Source!FX193/100)*((ROUND(Source!AF193*Source!I193, 2)+ROUND(Source!AE193*Source!I193, 2))), 2)</f>
        <v>0</v>
      </c>
      <c r="T469">
        <f>Source!X193</f>
        <v>0</v>
      </c>
      <c r="U469">
        <f>ROUND((Source!FY193/100)*((ROUND(Source!AF193*Source!I193, 2)+ROUND(Source!AE193*Source!I193, 2))), 2)</f>
        <v>0</v>
      </c>
      <c r="V469">
        <f>Source!Y193</f>
        <v>0</v>
      </c>
      <c r="W469">
        <f>IF(Source!BI193&lt;=1,H469, 0)</f>
        <v>0</v>
      </c>
      <c r="X469">
        <f>IF(Source!BI193=2,H469, 0)</f>
        <v>1619.1</v>
      </c>
      <c r="Y469">
        <f>IF(Source!BI193=3,H469, 0)</f>
        <v>0</v>
      </c>
      <c r="Z469">
        <f>IF(Source!BI193=4,H469, 0)</f>
        <v>0</v>
      </c>
    </row>
    <row r="470" spans="1:26" ht="28.5" x14ac:dyDescent="0.2">
      <c r="A470" s="38" t="str">
        <f>Source!E194</f>
        <v>48,4</v>
      </c>
      <c r="B470" s="39" t="str">
        <f>Source!F194</f>
        <v>62.1.01.09-0067</v>
      </c>
      <c r="C470" s="39" t="str">
        <f>Source!G194</f>
        <v>Выключатели автоматические  АВВ 3Р 25А прим.</v>
      </c>
      <c r="D470" s="22" t="str">
        <f>Source!H194</f>
        <v>шт.</v>
      </c>
      <c r="E470" s="10">
        <f>Source!I194</f>
        <v>7</v>
      </c>
      <c r="F470" s="23">
        <f>Source!AL194+Source!AM194+Source!AO194</f>
        <v>302.16000000000003</v>
      </c>
      <c r="G470" s="37" t="s">
        <v>3</v>
      </c>
      <c r="H470" s="23">
        <f>ROUND(Source!AC194*Source!I194, 2)+ROUND(Source!AD194*Source!I194, 2)+ROUND(Source!AF194*Source!I194, 2)</f>
        <v>2115.12</v>
      </c>
      <c r="I470" s="24"/>
      <c r="J470" s="24">
        <f>IF(Source!BC194&lt;&gt; 0, Source!BC194, 1)</f>
        <v>6.71</v>
      </c>
      <c r="K470" s="23">
        <f>Source!O194</f>
        <v>14192.46</v>
      </c>
      <c r="L470" s="25"/>
      <c r="S470">
        <f>ROUND((Source!FX194/100)*((ROUND(Source!AF194*Source!I194, 2)+ROUND(Source!AE194*Source!I194, 2))), 2)</f>
        <v>0</v>
      </c>
      <c r="T470">
        <f>Source!X194</f>
        <v>0</v>
      </c>
      <c r="U470">
        <f>ROUND((Source!FY194/100)*((ROUND(Source!AF194*Source!I194, 2)+ROUND(Source!AE194*Source!I194, 2))), 2)</f>
        <v>0</v>
      </c>
      <c r="V470">
        <f>Source!Y194</f>
        <v>0</v>
      </c>
      <c r="W470">
        <f>IF(Source!BI194&lt;=1,H470, 0)</f>
        <v>0</v>
      </c>
      <c r="X470">
        <f>IF(Source!BI194=2,H470, 0)</f>
        <v>2115.12</v>
      </c>
      <c r="Y470">
        <f>IF(Source!BI194=3,H470, 0)</f>
        <v>0</v>
      </c>
      <c r="Z470">
        <f>IF(Source!BI194=4,H470, 0)</f>
        <v>0</v>
      </c>
    </row>
    <row r="471" spans="1:26" ht="28.5" x14ac:dyDescent="0.2">
      <c r="A471" s="40" t="str">
        <f>Source!E195</f>
        <v>48,5</v>
      </c>
      <c r="B471" s="41" t="str">
        <f>Source!F195</f>
        <v>62.1.01.09-0051</v>
      </c>
      <c r="C471" s="41" t="str">
        <f>Source!G195</f>
        <v>Выключатели автоматические «АВВ" 1Р 20А прим.</v>
      </c>
      <c r="D471" s="28" t="str">
        <f>Source!H195</f>
        <v>шт.</v>
      </c>
      <c r="E471" s="29">
        <f>Source!I195</f>
        <v>7</v>
      </c>
      <c r="F471" s="30">
        <f>Source!AL195+Source!AM195+Source!AO195</f>
        <v>73.290000000000006</v>
      </c>
      <c r="G471" s="35" t="s">
        <v>3</v>
      </c>
      <c r="H471" s="30">
        <f>ROUND(Source!AC195*Source!I195, 2)+ROUND(Source!AD195*Source!I195, 2)+ROUND(Source!AF195*Source!I195, 2)</f>
        <v>513.03</v>
      </c>
      <c r="I471" s="31"/>
      <c r="J471" s="31">
        <f>IF(Source!BC195&lt;&gt; 0, Source!BC195, 1)</f>
        <v>6.71</v>
      </c>
      <c r="K471" s="30">
        <f>Source!O195</f>
        <v>3442.43</v>
      </c>
      <c r="L471" s="36"/>
      <c r="S471">
        <f>ROUND((Source!FX195/100)*((ROUND(Source!AF195*Source!I195, 2)+ROUND(Source!AE195*Source!I195, 2))), 2)</f>
        <v>0</v>
      </c>
      <c r="T471">
        <f>Source!X195</f>
        <v>0</v>
      </c>
      <c r="U471">
        <f>ROUND((Source!FY195/100)*((ROUND(Source!AF195*Source!I195, 2)+ROUND(Source!AE195*Source!I195, 2))), 2)</f>
        <v>0</v>
      </c>
      <c r="V471">
        <f>Source!Y195</f>
        <v>0</v>
      </c>
      <c r="W471">
        <f>IF(Source!BI195&lt;=1,H471, 0)</f>
        <v>0</v>
      </c>
      <c r="X471">
        <f>IF(Source!BI195=2,H471, 0)</f>
        <v>513.03</v>
      </c>
      <c r="Y471">
        <f>IF(Source!BI195=3,H471, 0)</f>
        <v>0</v>
      </c>
      <c r="Z471">
        <f>IF(Source!BI195=4,H471, 0)</f>
        <v>0</v>
      </c>
    </row>
    <row r="472" spans="1:26" ht="15" x14ac:dyDescent="0.25">
      <c r="G472" s="45">
        <f>H461+H462+H463+H464+H465+SUM(H467:H471)</f>
        <v>8832.81</v>
      </c>
      <c r="H472" s="45"/>
      <c r="J472" s="45">
        <f>K461+K462+K463+K464+K465+SUM(K467:K471)</f>
        <v>59268.149999999994</v>
      </c>
      <c r="K472" s="45"/>
      <c r="L472" s="33">
        <f>Source!U190</f>
        <v>73.320000000000007</v>
      </c>
      <c r="O472" s="19">
        <f>G472</f>
        <v>8832.81</v>
      </c>
      <c r="P472" s="19">
        <f>J472</f>
        <v>59268.149999999994</v>
      </c>
      <c r="Q472" s="19">
        <f>L472</f>
        <v>73.320000000000007</v>
      </c>
      <c r="W472">
        <f>IF(Source!BI190&lt;=1,H461+H462+H463+H464+H465, 0)</f>
        <v>0</v>
      </c>
      <c r="X472">
        <f>IF(Source!BI190=2,H461+H462+H463+H464+H465, 0)</f>
        <v>2807.03</v>
      </c>
      <c r="Y472">
        <f>IF(Source!BI190=3,H461+H462+H463+H464+H465, 0)</f>
        <v>0</v>
      </c>
      <c r="Z472">
        <f>IF(Source!BI190=4,H461+H462+H463+H464+H465, 0)</f>
        <v>0</v>
      </c>
    </row>
    <row r="473" spans="1:26" ht="57" x14ac:dyDescent="0.2">
      <c r="A473" s="38" t="str">
        <f>Source!E196</f>
        <v>49</v>
      </c>
      <c r="B473" s="39" t="str">
        <f>Source!F196</f>
        <v>м08-03-594-14 прим.</v>
      </c>
      <c r="C473" s="39" t="str">
        <f>Source!G196</f>
        <v>Установка светильников  в подвесных потолках, устанавливаемый на профиле, количество ламп в светильнике до 4</v>
      </c>
      <c r="D473" s="22" t="str">
        <f>Source!H196</f>
        <v>100 ШТ</v>
      </c>
      <c r="E473" s="10">
        <f>Source!I196</f>
        <v>1.1399999999999999</v>
      </c>
      <c r="F473" s="23">
        <f>Source!AL196+Source!AM196+Source!AO196</f>
        <v>3323.2299999999996</v>
      </c>
      <c r="G473" s="24"/>
      <c r="H473" s="23"/>
      <c r="I473" s="24" t="str">
        <f>Source!BO196</f>
        <v/>
      </c>
      <c r="J473" s="24"/>
      <c r="K473" s="23"/>
      <c r="L473" s="25"/>
      <c r="S473">
        <f>ROUND((Source!FX196/100)*((ROUND(Source!AF196*Source!I196, 2)+ROUND(Source!AE196*Source!I196, 2))), 2)</f>
        <v>2321.6999999999998</v>
      </c>
      <c r="T473">
        <f>Source!X196</f>
        <v>15578.56</v>
      </c>
      <c r="U473">
        <f>ROUND((Source!FY196/100)*((ROUND(Source!AF196*Source!I196, 2)+ROUND(Source!AE196*Source!I196, 2))), 2)</f>
        <v>1588.53</v>
      </c>
      <c r="V473">
        <f>Source!Y196</f>
        <v>10659.01</v>
      </c>
    </row>
    <row r="474" spans="1:26" ht="14.25" x14ac:dyDescent="0.2">
      <c r="A474" s="38"/>
      <c r="B474" s="39"/>
      <c r="C474" s="39" t="s">
        <v>999</v>
      </c>
      <c r="D474" s="22"/>
      <c r="E474" s="10"/>
      <c r="F474" s="23">
        <f>Source!AO196</f>
        <v>2118.91</v>
      </c>
      <c r="G474" s="24" t="str">
        <f>Source!DG196</f>
        <v/>
      </c>
      <c r="H474" s="23">
        <f>ROUND(Source!AF196*Source!I196, 2)</f>
        <v>2415.56</v>
      </c>
      <c r="I474" s="24"/>
      <c r="J474" s="24">
        <f>IF(Source!BA196&lt;&gt; 0, Source!BA196, 1)</f>
        <v>6.71</v>
      </c>
      <c r="K474" s="23">
        <f>Source!S196</f>
        <v>16208.39</v>
      </c>
      <c r="L474" s="25"/>
      <c r="R474">
        <f>H474</f>
        <v>2415.56</v>
      </c>
    </row>
    <row r="475" spans="1:26" ht="14.25" x14ac:dyDescent="0.2">
      <c r="A475" s="38"/>
      <c r="B475" s="39"/>
      <c r="C475" s="39" t="s">
        <v>301</v>
      </c>
      <c r="D475" s="22"/>
      <c r="E475" s="10"/>
      <c r="F475" s="23">
        <f>Source!AM196</f>
        <v>185.15</v>
      </c>
      <c r="G475" s="24" t="str">
        <f>Source!DE196</f>
        <v/>
      </c>
      <c r="H475" s="23">
        <f>ROUND(Source!AD196*Source!I196, 2)</f>
        <v>211.07</v>
      </c>
      <c r="I475" s="24"/>
      <c r="J475" s="24">
        <f>IF(Source!BB196&lt;&gt; 0, Source!BB196, 1)</f>
        <v>6.71</v>
      </c>
      <c r="K475" s="23">
        <f>Source!Q196</f>
        <v>1416.29</v>
      </c>
      <c r="L475" s="25"/>
    </row>
    <row r="476" spans="1:26" ht="14.25" x14ac:dyDescent="0.2">
      <c r="A476" s="38"/>
      <c r="B476" s="39"/>
      <c r="C476" s="39" t="s">
        <v>1000</v>
      </c>
      <c r="D476" s="22"/>
      <c r="E476" s="10"/>
      <c r="F476" s="23">
        <f>Source!AN196</f>
        <v>24.85</v>
      </c>
      <c r="G476" s="24" t="str">
        <f>Source!DF196</f>
        <v/>
      </c>
      <c r="H476" s="26">
        <f>ROUND(Source!AE196*Source!I196, 2)</f>
        <v>28.33</v>
      </c>
      <c r="I476" s="24"/>
      <c r="J476" s="24">
        <f>IF(Source!BS196&lt;&gt; 0, Source!BS196, 1)</f>
        <v>6.71</v>
      </c>
      <c r="K476" s="26">
        <f>Source!R196</f>
        <v>190.09</v>
      </c>
      <c r="L476" s="25"/>
      <c r="R476">
        <f>H476</f>
        <v>28.33</v>
      </c>
    </row>
    <row r="477" spans="1:26" ht="14.25" x14ac:dyDescent="0.2">
      <c r="A477" s="38"/>
      <c r="B477" s="39"/>
      <c r="C477" s="39" t="s">
        <v>1006</v>
      </c>
      <c r="D477" s="22"/>
      <c r="E477" s="10"/>
      <c r="F477" s="23">
        <f>Source!AL196</f>
        <v>1019.17</v>
      </c>
      <c r="G477" s="24" t="str">
        <f>Source!DD196</f>
        <v/>
      </c>
      <c r="H477" s="23">
        <f>ROUND(Source!AC196*Source!I196, 2)</f>
        <v>1161.8499999999999</v>
      </c>
      <c r="I477" s="24"/>
      <c r="J477" s="24">
        <f>IF(Source!BC196&lt;&gt; 0, Source!BC196, 1)</f>
        <v>6.71</v>
      </c>
      <c r="K477" s="23">
        <f>Source!P196</f>
        <v>7796.04</v>
      </c>
      <c r="L477" s="25"/>
    </row>
    <row r="478" spans="1:26" ht="14.25" x14ac:dyDescent="0.2">
      <c r="A478" s="38"/>
      <c r="B478" s="39"/>
      <c r="C478" s="39" t="s">
        <v>1001</v>
      </c>
      <c r="D478" s="22" t="s">
        <v>1002</v>
      </c>
      <c r="E478" s="10">
        <f>Source!BZ196</f>
        <v>95</v>
      </c>
      <c r="F478" s="42"/>
      <c r="G478" s="24"/>
      <c r="H478" s="23">
        <f>SUM(S473:S481)</f>
        <v>2321.6999999999998</v>
      </c>
      <c r="I478" s="27"/>
      <c r="J478" s="21">
        <f>Source!AT196</f>
        <v>95</v>
      </c>
      <c r="K478" s="23">
        <f>SUM(T473:T481)</f>
        <v>15578.56</v>
      </c>
      <c r="L478" s="25"/>
    </row>
    <row r="479" spans="1:26" ht="14.25" x14ac:dyDescent="0.2">
      <c r="A479" s="38"/>
      <c r="B479" s="39"/>
      <c r="C479" s="39" t="s">
        <v>1003</v>
      </c>
      <c r="D479" s="22" t="s">
        <v>1002</v>
      </c>
      <c r="E479" s="10">
        <f>Source!CA196</f>
        <v>65</v>
      </c>
      <c r="F479" s="42"/>
      <c r="G479" s="24"/>
      <c r="H479" s="23">
        <f>SUM(U473:U481)</f>
        <v>1588.53</v>
      </c>
      <c r="I479" s="27"/>
      <c r="J479" s="21">
        <f>Source!AU196</f>
        <v>65</v>
      </c>
      <c r="K479" s="23">
        <f>SUM(V473:V481)</f>
        <v>10659.01</v>
      </c>
      <c r="L479" s="25"/>
    </row>
    <row r="480" spans="1:26" ht="14.25" x14ac:dyDescent="0.2">
      <c r="A480" s="38"/>
      <c r="B480" s="39"/>
      <c r="C480" s="39" t="s">
        <v>1004</v>
      </c>
      <c r="D480" s="22" t="s">
        <v>1005</v>
      </c>
      <c r="E480" s="10">
        <f>Source!AQ196</f>
        <v>213.6</v>
      </c>
      <c r="F480" s="23"/>
      <c r="G480" s="24" t="str">
        <f>Source!DI196</f>
        <v/>
      </c>
      <c r="H480" s="23"/>
      <c r="I480" s="24"/>
      <c r="J480" s="24"/>
      <c r="K480" s="23"/>
      <c r="L480" s="34">
        <f>Source!U196</f>
        <v>243.50399999999996</v>
      </c>
    </row>
    <row r="481" spans="1:26" ht="71.25" x14ac:dyDescent="0.2">
      <c r="A481" s="40" t="str">
        <f>Source!E197</f>
        <v>49,1</v>
      </c>
      <c r="B481" s="41" t="str">
        <f>Source!F197</f>
        <v>20.3.03.07-0099</v>
      </c>
      <c r="C481" s="41" t="str">
        <f>Source!G197</f>
        <v>Светильник потолочный со светодиодными лампами  "Oskar LED"595х595х40мм,встраиваемые в подвесной потолок "Армстронг",36 Вт,3000Лм,IP40 прим.</v>
      </c>
      <c r="D481" s="28" t="str">
        <f>Source!H197</f>
        <v>шт.</v>
      </c>
      <c r="E481" s="29">
        <f>Source!I197</f>
        <v>114</v>
      </c>
      <c r="F481" s="30">
        <f>Source!AL197+Source!AM197+Source!AO197</f>
        <v>846.15</v>
      </c>
      <c r="G481" s="35" t="s">
        <v>3</v>
      </c>
      <c r="H481" s="30">
        <f>ROUND(Source!AC197*Source!I197, 2)+ROUND(Source!AD197*Source!I197, 2)+ROUND(Source!AF197*Source!I197, 2)</f>
        <v>96461.1</v>
      </c>
      <c r="I481" s="31"/>
      <c r="J481" s="31">
        <f>IF(Source!BC197&lt;&gt; 0, Source!BC197, 1)</f>
        <v>6.71</v>
      </c>
      <c r="K481" s="30">
        <f>Source!O197</f>
        <v>647253.98</v>
      </c>
      <c r="L481" s="36"/>
      <c r="S481">
        <f>ROUND((Source!FX197/100)*((ROUND(Source!AF197*Source!I197, 2)+ROUND(Source!AE197*Source!I197, 2))), 2)</f>
        <v>0</v>
      </c>
      <c r="T481">
        <f>Source!X197</f>
        <v>0</v>
      </c>
      <c r="U481">
        <f>ROUND((Source!FY197/100)*((ROUND(Source!AF197*Source!I197, 2)+ROUND(Source!AE197*Source!I197, 2))), 2)</f>
        <v>0</v>
      </c>
      <c r="V481">
        <f>Source!Y197</f>
        <v>0</v>
      </c>
      <c r="W481">
        <f>IF(Source!BI197&lt;=1,H481, 0)</f>
        <v>0</v>
      </c>
      <c r="X481">
        <f>IF(Source!BI197=2,H481, 0)</f>
        <v>96461.1</v>
      </c>
      <c r="Y481">
        <f>IF(Source!BI197=3,H481, 0)</f>
        <v>0</v>
      </c>
      <c r="Z481">
        <f>IF(Source!BI197=4,H481, 0)</f>
        <v>0</v>
      </c>
    </row>
    <row r="482" spans="1:26" ht="15" x14ac:dyDescent="0.25">
      <c r="G482" s="45">
        <f>H474+H475+H477+H478+H479+SUM(H481:H481)</f>
        <v>104159.81000000001</v>
      </c>
      <c r="H482" s="45"/>
      <c r="J482" s="45">
        <f>K474+K475+K477+K478+K479+SUM(K481:K481)</f>
        <v>698912.27</v>
      </c>
      <c r="K482" s="45"/>
      <c r="L482" s="33">
        <f>Source!U196</f>
        <v>243.50399999999996</v>
      </c>
      <c r="O482" s="19">
        <f>G482</f>
        <v>104159.81000000001</v>
      </c>
      <c r="P482" s="19">
        <f>J482</f>
        <v>698912.27</v>
      </c>
      <c r="Q482" s="19">
        <f>L482</f>
        <v>243.50399999999996</v>
      </c>
      <c r="W482">
        <f>IF(Source!BI196&lt;=1,H474+H475+H477+H478+H479, 0)</f>
        <v>0</v>
      </c>
      <c r="X482">
        <f>IF(Source!BI196=2,H474+H475+H477+H478+H479, 0)</f>
        <v>7698.71</v>
      </c>
      <c r="Y482">
        <f>IF(Source!BI196=3,H474+H475+H477+H478+H479, 0)</f>
        <v>0</v>
      </c>
      <c r="Z482">
        <f>IF(Source!BI196=4,H474+H475+H477+H478+H479, 0)</f>
        <v>0</v>
      </c>
    </row>
    <row r="483" spans="1:26" ht="114" x14ac:dyDescent="0.2">
      <c r="A483" s="38" t="str">
        <f>Source!E198</f>
        <v>50</v>
      </c>
      <c r="B483" s="39" t="str">
        <f>Source!F198</f>
        <v>п01-11-028-01</v>
      </c>
      <c r="C483" s="39" t="str">
        <f>Source!G198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483" s="22" t="str">
        <f>Source!H198</f>
        <v>ШТ</v>
      </c>
      <c r="E483" s="10">
        <f>Source!I198</f>
        <v>47</v>
      </c>
      <c r="F483" s="23">
        <f>Source!AL198+Source!AM198+Source!AO198</f>
        <v>4.0999999999999996</v>
      </c>
      <c r="G483" s="24"/>
      <c r="H483" s="23"/>
      <c r="I483" s="24" t="str">
        <f>Source!BO198</f>
        <v/>
      </c>
      <c r="J483" s="24"/>
      <c r="K483" s="23"/>
      <c r="L483" s="25"/>
      <c r="S483">
        <f>ROUND((Source!FX198/100)*((ROUND(Source!AF198*Source!I198, 2)+ROUND(Source!AE198*Source!I198, 2))), 2)</f>
        <v>100.2</v>
      </c>
      <c r="T483">
        <f>Source!X198</f>
        <v>1942.95</v>
      </c>
      <c r="U483">
        <f>ROUND((Source!FY198/100)*((ROUND(Source!AF198*Source!I198, 2)+ROUND(Source!AE198*Source!I198, 2))), 2)</f>
        <v>61.66</v>
      </c>
      <c r="V483">
        <f>Source!Y198</f>
        <v>1195.6600000000001</v>
      </c>
    </row>
    <row r="484" spans="1:26" ht="14.25" x14ac:dyDescent="0.2">
      <c r="A484" s="38"/>
      <c r="B484" s="39"/>
      <c r="C484" s="39" t="s">
        <v>999</v>
      </c>
      <c r="D484" s="22"/>
      <c r="E484" s="10"/>
      <c r="F484" s="23">
        <f>Source!AO198</f>
        <v>4.0999999999999996</v>
      </c>
      <c r="G484" s="24" t="str">
        <f>Source!DG198</f>
        <v>)*0,8</v>
      </c>
      <c r="H484" s="23">
        <f>ROUND(Source!AF198*Source!I198, 2)</f>
        <v>154.16</v>
      </c>
      <c r="I484" s="24"/>
      <c r="J484" s="24">
        <f>IF(Source!BA198&lt;&gt; 0, Source!BA198, 1)</f>
        <v>19.39</v>
      </c>
      <c r="K484" s="23">
        <f>Source!S198</f>
        <v>2989.16</v>
      </c>
      <c r="L484" s="25"/>
      <c r="R484">
        <f>H484</f>
        <v>154.16</v>
      </c>
    </row>
    <row r="485" spans="1:26" ht="14.25" x14ac:dyDescent="0.2">
      <c r="A485" s="38"/>
      <c r="B485" s="39"/>
      <c r="C485" s="39" t="s">
        <v>1001</v>
      </c>
      <c r="D485" s="22" t="s">
        <v>1002</v>
      </c>
      <c r="E485" s="10">
        <f>Source!BZ198</f>
        <v>65</v>
      </c>
      <c r="F485" s="42"/>
      <c r="G485" s="24"/>
      <c r="H485" s="23">
        <f>SUM(S483:S487)</f>
        <v>100.2</v>
      </c>
      <c r="I485" s="27"/>
      <c r="J485" s="21">
        <f>Source!AT198</f>
        <v>65</v>
      </c>
      <c r="K485" s="23">
        <f>SUM(T483:T487)</f>
        <v>1942.95</v>
      </c>
      <c r="L485" s="25"/>
    </row>
    <row r="486" spans="1:26" ht="14.25" x14ac:dyDescent="0.2">
      <c r="A486" s="38"/>
      <c r="B486" s="39"/>
      <c r="C486" s="39" t="s">
        <v>1003</v>
      </c>
      <c r="D486" s="22" t="s">
        <v>1002</v>
      </c>
      <c r="E486" s="10">
        <f>Source!CA198</f>
        <v>40</v>
      </c>
      <c r="F486" s="42"/>
      <c r="G486" s="24"/>
      <c r="H486" s="23">
        <f>SUM(U483:U487)</f>
        <v>61.66</v>
      </c>
      <c r="I486" s="27"/>
      <c r="J486" s="21">
        <f>Source!AU198</f>
        <v>40</v>
      </c>
      <c r="K486" s="23">
        <f>SUM(V483:V487)</f>
        <v>1195.6600000000001</v>
      </c>
      <c r="L486" s="25"/>
    </row>
    <row r="487" spans="1:26" ht="14.25" x14ac:dyDescent="0.2">
      <c r="A487" s="40"/>
      <c r="B487" s="41"/>
      <c r="C487" s="41" t="s">
        <v>1004</v>
      </c>
      <c r="D487" s="28" t="s">
        <v>1005</v>
      </c>
      <c r="E487" s="29">
        <f>Source!AQ198</f>
        <v>0.32</v>
      </c>
      <c r="F487" s="30"/>
      <c r="G487" s="31" t="str">
        <f>Source!DI198</f>
        <v>)*0,8</v>
      </c>
      <c r="H487" s="30"/>
      <c r="I487" s="31"/>
      <c r="J487" s="31"/>
      <c r="K487" s="30"/>
      <c r="L487" s="32">
        <f>Source!U198</f>
        <v>12.032</v>
      </c>
    </row>
    <row r="488" spans="1:26" ht="15" x14ac:dyDescent="0.25">
      <c r="G488" s="45">
        <f>H484+H485+H486</f>
        <v>316.02</v>
      </c>
      <c r="H488" s="45"/>
      <c r="J488" s="45">
        <f>K484+K485+K486</f>
        <v>6127.7699999999995</v>
      </c>
      <c r="K488" s="45"/>
      <c r="L488" s="33">
        <f>Source!U198</f>
        <v>12.032</v>
      </c>
      <c r="O488" s="19">
        <f>G488</f>
        <v>316.02</v>
      </c>
      <c r="P488" s="19">
        <f>J488</f>
        <v>6127.7699999999995</v>
      </c>
      <c r="Q488" s="19">
        <f>L488</f>
        <v>12.032</v>
      </c>
      <c r="W488">
        <f>IF(Source!BI198&lt;=1,H484+H485+H486, 0)</f>
        <v>0</v>
      </c>
      <c r="X488">
        <f>IF(Source!BI198=2,H484+H485+H486, 0)</f>
        <v>0</v>
      </c>
      <c r="Y488">
        <f>IF(Source!BI198=3,H484+H485+H486, 0)</f>
        <v>0</v>
      </c>
      <c r="Z488">
        <f>IF(Source!BI198=4,H484+H485+H486, 0)</f>
        <v>316.02</v>
      </c>
    </row>
    <row r="489" spans="1:26" ht="42.75" x14ac:dyDescent="0.2">
      <c r="A489" s="38" t="str">
        <f>Source!E199</f>
        <v>51</v>
      </c>
      <c r="B489" s="39" t="str">
        <f>Source!F199</f>
        <v>п01-11-011-01</v>
      </c>
      <c r="C489" s="39" t="str">
        <f>Source!G199</f>
        <v>Проверка наличия цепи между заземлителями и заземленными элементами</v>
      </c>
      <c r="D489" s="22" t="str">
        <f>Source!H199</f>
        <v>100 измерений</v>
      </c>
      <c r="E489" s="10">
        <f>Source!I199</f>
        <v>7.0000000000000007E-2</v>
      </c>
      <c r="F489" s="23">
        <f>Source!AL199+Source!AM199+Source!AO199</f>
        <v>165.95</v>
      </c>
      <c r="G489" s="24"/>
      <c r="H489" s="23"/>
      <c r="I489" s="24" t="str">
        <f>Source!BO199</f>
        <v/>
      </c>
      <c r="J489" s="24"/>
      <c r="K489" s="23"/>
      <c r="L489" s="25"/>
      <c r="S489">
        <f>ROUND((Source!FX199/100)*((ROUND(Source!AF199*Source!I199, 2)+ROUND(Source!AE199*Source!I199, 2))), 2)</f>
        <v>6.04</v>
      </c>
      <c r="T489">
        <f>Source!X199</f>
        <v>117.13</v>
      </c>
      <c r="U489">
        <f>ROUND((Source!FY199/100)*((ROUND(Source!AF199*Source!I199, 2)+ROUND(Source!AE199*Source!I199, 2))), 2)</f>
        <v>3.72</v>
      </c>
      <c r="V489">
        <f>Source!Y199</f>
        <v>72.08</v>
      </c>
    </row>
    <row r="490" spans="1:26" ht="14.25" x14ac:dyDescent="0.2">
      <c r="A490" s="38"/>
      <c r="B490" s="39"/>
      <c r="C490" s="39" t="s">
        <v>999</v>
      </c>
      <c r="D490" s="22"/>
      <c r="E490" s="10"/>
      <c r="F490" s="23">
        <f>Source!AO199</f>
        <v>165.95</v>
      </c>
      <c r="G490" s="24" t="str">
        <f>Source!DG199</f>
        <v>)*0,8</v>
      </c>
      <c r="H490" s="23">
        <f>ROUND(Source!AF199*Source!I199, 2)</f>
        <v>9.2899999999999991</v>
      </c>
      <c r="I490" s="24"/>
      <c r="J490" s="24">
        <f>IF(Source!BA199&lt;&gt; 0, Source!BA199, 1)</f>
        <v>19.39</v>
      </c>
      <c r="K490" s="23">
        <f>Source!S199</f>
        <v>180.2</v>
      </c>
      <c r="L490" s="25"/>
      <c r="R490">
        <f>H490</f>
        <v>9.2899999999999991</v>
      </c>
    </row>
    <row r="491" spans="1:26" ht="14.25" x14ac:dyDescent="0.2">
      <c r="A491" s="38"/>
      <c r="B491" s="39"/>
      <c r="C491" s="39" t="s">
        <v>1001</v>
      </c>
      <c r="D491" s="22" t="s">
        <v>1002</v>
      </c>
      <c r="E491" s="10">
        <f>Source!BZ199</f>
        <v>65</v>
      </c>
      <c r="F491" s="42"/>
      <c r="G491" s="24"/>
      <c r="H491" s="23">
        <f>SUM(S489:S493)</f>
        <v>6.04</v>
      </c>
      <c r="I491" s="27"/>
      <c r="J491" s="21">
        <f>Source!AT199</f>
        <v>65</v>
      </c>
      <c r="K491" s="23">
        <f>SUM(T489:T493)</f>
        <v>117.13</v>
      </c>
      <c r="L491" s="25"/>
    </row>
    <row r="492" spans="1:26" ht="14.25" x14ac:dyDescent="0.2">
      <c r="A492" s="38"/>
      <c r="B492" s="39"/>
      <c r="C492" s="39" t="s">
        <v>1003</v>
      </c>
      <c r="D492" s="22" t="s">
        <v>1002</v>
      </c>
      <c r="E492" s="10">
        <f>Source!CA199</f>
        <v>40</v>
      </c>
      <c r="F492" s="42"/>
      <c r="G492" s="24"/>
      <c r="H492" s="23">
        <f>SUM(U489:U493)</f>
        <v>3.72</v>
      </c>
      <c r="I492" s="27"/>
      <c r="J492" s="21">
        <f>Source!AU199</f>
        <v>40</v>
      </c>
      <c r="K492" s="23">
        <f>SUM(V489:V493)</f>
        <v>72.08</v>
      </c>
      <c r="L492" s="25"/>
    </row>
    <row r="493" spans="1:26" ht="14.25" x14ac:dyDescent="0.2">
      <c r="A493" s="40"/>
      <c r="B493" s="41"/>
      <c r="C493" s="41" t="s">
        <v>1004</v>
      </c>
      <c r="D493" s="28" t="s">
        <v>1005</v>
      </c>
      <c r="E493" s="29">
        <f>Source!AQ199</f>
        <v>12.96</v>
      </c>
      <c r="F493" s="30"/>
      <c r="G493" s="31" t="str">
        <f>Source!DI199</f>
        <v>)*0,8</v>
      </c>
      <c r="H493" s="30"/>
      <c r="I493" s="31"/>
      <c r="J493" s="31"/>
      <c r="K493" s="30"/>
      <c r="L493" s="32">
        <f>Source!U199</f>
        <v>0.72576000000000018</v>
      </c>
    </row>
    <row r="494" spans="1:26" ht="15" x14ac:dyDescent="0.25">
      <c r="G494" s="45">
        <f>H490+H491+H492</f>
        <v>19.049999999999997</v>
      </c>
      <c r="H494" s="45"/>
      <c r="J494" s="45">
        <f>K490+K491+K492</f>
        <v>369.40999999999997</v>
      </c>
      <c r="K494" s="45"/>
      <c r="L494" s="33">
        <f>Source!U199</f>
        <v>0.72576000000000018</v>
      </c>
      <c r="O494" s="19">
        <f>G494</f>
        <v>19.049999999999997</v>
      </c>
      <c r="P494" s="19">
        <f>J494</f>
        <v>369.40999999999997</v>
      </c>
      <c r="Q494" s="19">
        <f>L494</f>
        <v>0.72576000000000018</v>
      </c>
      <c r="W494">
        <f>IF(Source!BI199&lt;=1,H490+H491+H492, 0)</f>
        <v>0</v>
      </c>
      <c r="X494">
        <f>IF(Source!BI199=2,H490+H491+H492, 0)</f>
        <v>0</v>
      </c>
      <c r="Y494">
        <f>IF(Source!BI199=3,H490+H491+H492, 0)</f>
        <v>0</v>
      </c>
      <c r="Z494">
        <f>IF(Source!BI199=4,H490+H491+H492, 0)</f>
        <v>19.049999999999997</v>
      </c>
    </row>
    <row r="495" spans="1:26" ht="28.5" x14ac:dyDescent="0.2">
      <c r="A495" s="38" t="str">
        <f>Source!E200</f>
        <v>52</v>
      </c>
      <c r="B495" s="39" t="str">
        <f>Source!F200</f>
        <v>п01-11-013-01</v>
      </c>
      <c r="C495" s="39" t="str">
        <f>Source!G200</f>
        <v>Замер полного сопротивления цепи "фаза-нуль"</v>
      </c>
      <c r="D495" s="22" t="str">
        <f>Source!H200</f>
        <v>ШТ</v>
      </c>
      <c r="E495" s="10">
        <f>Source!I200</f>
        <v>45</v>
      </c>
      <c r="F495" s="23">
        <f>Source!AL200+Source!AM200+Source!AO200</f>
        <v>15.62</v>
      </c>
      <c r="G495" s="24"/>
      <c r="H495" s="23"/>
      <c r="I495" s="24" t="str">
        <f>Source!BO200</f>
        <v/>
      </c>
      <c r="J495" s="24"/>
      <c r="K495" s="23"/>
      <c r="L495" s="25"/>
      <c r="S495">
        <f>ROUND((Source!FX200/100)*((ROUND(Source!AF200*Source!I200, 2)+ROUND(Source!AE200*Source!I200, 2))), 2)</f>
        <v>365.63</v>
      </c>
      <c r="T495">
        <f>Source!X200</f>
        <v>7089.47</v>
      </c>
      <c r="U495">
        <f>ROUND((Source!FY200/100)*((ROUND(Source!AF200*Source!I200, 2)+ROUND(Source!AE200*Source!I200, 2))), 2)</f>
        <v>225</v>
      </c>
      <c r="V495">
        <f>Source!Y200</f>
        <v>4362.75</v>
      </c>
    </row>
    <row r="496" spans="1:26" ht="14.25" x14ac:dyDescent="0.2">
      <c r="A496" s="38"/>
      <c r="B496" s="39"/>
      <c r="C496" s="39" t="s">
        <v>999</v>
      </c>
      <c r="D496" s="22"/>
      <c r="E496" s="10"/>
      <c r="F496" s="23">
        <f>Source!AO200</f>
        <v>15.62</v>
      </c>
      <c r="G496" s="24" t="str">
        <f>Source!DG200</f>
        <v>)*0,8</v>
      </c>
      <c r="H496" s="23">
        <f>ROUND(Source!AF200*Source!I200, 2)</f>
        <v>562.5</v>
      </c>
      <c r="I496" s="24"/>
      <c r="J496" s="24">
        <f>IF(Source!BA200&lt;&gt; 0, Source!BA200, 1)</f>
        <v>19.39</v>
      </c>
      <c r="K496" s="23">
        <f>Source!S200</f>
        <v>10906.88</v>
      </c>
      <c r="L496" s="25"/>
      <c r="R496">
        <f>H496</f>
        <v>562.5</v>
      </c>
    </row>
    <row r="497" spans="1:26" ht="14.25" x14ac:dyDescent="0.2">
      <c r="A497" s="38"/>
      <c r="B497" s="39"/>
      <c r="C497" s="39" t="s">
        <v>1001</v>
      </c>
      <c r="D497" s="22" t="s">
        <v>1002</v>
      </c>
      <c r="E497" s="10">
        <f>Source!BZ200</f>
        <v>65</v>
      </c>
      <c r="F497" s="42"/>
      <c r="G497" s="24"/>
      <c r="H497" s="23">
        <f>SUM(S495:S499)</f>
        <v>365.63</v>
      </c>
      <c r="I497" s="27"/>
      <c r="J497" s="21">
        <f>Source!AT200</f>
        <v>65</v>
      </c>
      <c r="K497" s="23">
        <f>SUM(T495:T499)</f>
        <v>7089.47</v>
      </c>
      <c r="L497" s="25"/>
    </row>
    <row r="498" spans="1:26" ht="14.25" x14ac:dyDescent="0.2">
      <c r="A498" s="38"/>
      <c r="B498" s="39"/>
      <c r="C498" s="39" t="s">
        <v>1003</v>
      </c>
      <c r="D498" s="22" t="s">
        <v>1002</v>
      </c>
      <c r="E498" s="10">
        <f>Source!CA200</f>
        <v>40</v>
      </c>
      <c r="F498" s="42"/>
      <c r="G498" s="24"/>
      <c r="H498" s="23">
        <f>SUM(U495:U499)</f>
        <v>225</v>
      </c>
      <c r="I498" s="27"/>
      <c r="J498" s="21">
        <f>Source!AU200</f>
        <v>40</v>
      </c>
      <c r="K498" s="23">
        <f>SUM(V495:V499)</f>
        <v>4362.75</v>
      </c>
      <c r="L498" s="25"/>
    </row>
    <row r="499" spans="1:26" ht="14.25" x14ac:dyDescent="0.2">
      <c r="A499" s="40"/>
      <c r="B499" s="41"/>
      <c r="C499" s="41" t="s">
        <v>1004</v>
      </c>
      <c r="D499" s="28" t="s">
        <v>1005</v>
      </c>
      <c r="E499" s="29">
        <f>Source!AQ200</f>
        <v>1.22</v>
      </c>
      <c r="F499" s="30"/>
      <c r="G499" s="31" t="str">
        <f>Source!DI200</f>
        <v>)*0,8</v>
      </c>
      <c r="H499" s="30"/>
      <c r="I499" s="31"/>
      <c r="J499" s="31"/>
      <c r="K499" s="30"/>
      <c r="L499" s="32">
        <f>Source!U200</f>
        <v>43.92</v>
      </c>
    </row>
    <row r="500" spans="1:26" ht="15" x14ac:dyDescent="0.25">
      <c r="G500" s="45">
        <f>H496+H497+H498</f>
        <v>1153.1300000000001</v>
      </c>
      <c r="H500" s="45"/>
      <c r="J500" s="45">
        <f>K496+K497+K498</f>
        <v>22359.1</v>
      </c>
      <c r="K500" s="45"/>
      <c r="L500" s="33">
        <f>Source!U200</f>
        <v>43.92</v>
      </c>
      <c r="O500" s="19">
        <f>G500</f>
        <v>1153.1300000000001</v>
      </c>
      <c r="P500" s="19">
        <f>J500</f>
        <v>22359.1</v>
      </c>
      <c r="Q500" s="19">
        <f>L500</f>
        <v>43.92</v>
      </c>
      <c r="W500">
        <f>IF(Source!BI200&lt;=1,H496+H497+H498, 0)</f>
        <v>0</v>
      </c>
      <c r="X500">
        <f>IF(Source!BI200=2,H496+H497+H498, 0)</f>
        <v>0</v>
      </c>
      <c r="Y500">
        <f>IF(Source!BI200=3,H496+H497+H498, 0)</f>
        <v>0</v>
      </c>
      <c r="Z500">
        <f>IF(Source!BI200=4,H496+H497+H498, 0)</f>
        <v>1153.1300000000001</v>
      </c>
    </row>
    <row r="501" spans="1:26" ht="57" x14ac:dyDescent="0.2">
      <c r="A501" s="38" t="str">
        <f>Source!E201</f>
        <v>53</v>
      </c>
      <c r="B501" s="39" t="str">
        <f>Source!F201</f>
        <v>п01-12-021-02</v>
      </c>
      <c r="C501" s="39" t="str">
        <f>Source!G201</f>
        <v>Испытание аппарата коммутационного напряжением до 35 кВ (Автоматические выключатели до 1000 В)</v>
      </c>
      <c r="D501" s="22" t="str">
        <f>Source!H201</f>
        <v>испытание</v>
      </c>
      <c r="E501" s="10">
        <f>Source!I201</f>
        <v>47</v>
      </c>
      <c r="F501" s="23">
        <f>Source!AL201+Source!AM201+Source!AO201</f>
        <v>34.31</v>
      </c>
      <c r="G501" s="24"/>
      <c r="H501" s="23"/>
      <c r="I501" s="24" t="str">
        <f>Source!BO201</f>
        <v/>
      </c>
      <c r="J501" s="24"/>
      <c r="K501" s="23"/>
      <c r="L501" s="25"/>
      <c r="S501">
        <f>ROUND((Source!FX201/100)*((ROUND(Source!AF201*Source!I201, 2)+ROUND(Source!AE201*Source!I201, 2))), 2)</f>
        <v>838.6</v>
      </c>
      <c r="T501">
        <f>Source!X201</f>
        <v>16260.41</v>
      </c>
      <c r="U501">
        <f>ROUND((Source!FY201/100)*((ROUND(Source!AF201*Source!I201, 2)+ROUND(Source!AE201*Source!I201, 2))), 2)</f>
        <v>516.05999999999995</v>
      </c>
      <c r="V501">
        <f>Source!Y201</f>
        <v>10006.4</v>
      </c>
    </row>
    <row r="502" spans="1:26" ht="14.25" x14ac:dyDescent="0.2">
      <c r="A502" s="38"/>
      <c r="B502" s="39"/>
      <c r="C502" s="39" t="s">
        <v>999</v>
      </c>
      <c r="D502" s="22"/>
      <c r="E502" s="10"/>
      <c r="F502" s="23">
        <f>Source!AO201</f>
        <v>34.31</v>
      </c>
      <c r="G502" s="24" t="str">
        <f>Source!DG201</f>
        <v>)*0,8</v>
      </c>
      <c r="H502" s="23">
        <f>ROUND(Source!AF201*Source!I201, 2)</f>
        <v>1290.1500000000001</v>
      </c>
      <c r="I502" s="24"/>
      <c r="J502" s="24">
        <f>IF(Source!BA201&lt;&gt; 0, Source!BA201, 1)</f>
        <v>19.39</v>
      </c>
      <c r="K502" s="23">
        <f>Source!S201</f>
        <v>25016.01</v>
      </c>
      <c r="L502" s="25"/>
      <c r="R502">
        <f>H502</f>
        <v>1290.1500000000001</v>
      </c>
    </row>
    <row r="503" spans="1:26" ht="14.25" x14ac:dyDescent="0.2">
      <c r="A503" s="38"/>
      <c r="B503" s="39"/>
      <c r="C503" s="39" t="s">
        <v>1001</v>
      </c>
      <c r="D503" s="22" t="s">
        <v>1002</v>
      </c>
      <c r="E503" s="10">
        <f>Source!BZ201</f>
        <v>65</v>
      </c>
      <c r="F503" s="42"/>
      <c r="G503" s="24"/>
      <c r="H503" s="23">
        <f>SUM(S501:S505)</f>
        <v>838.6</v>
      </c>
      <c r="I503" s="27"/>
      <c r="J503" s="21">
        <f>Source!AT201</f>
        <v>65</v>
      </c>
      <c r="K503" s="23">
        <f>SUM(T501:T505)</f>
        <v>16260.41</v>
      </c>
      <c r="L503" s="25"/>
    </row>
    <row r="504" spans="1:26" ht="14.25" x14ac:dyDescent="0.2">
      <c r="A504" s="38"/>
      <c r="B504" s="39"/>
      <c r="C504" s="39" t="s">
        <v>1003</v>
      </c>
      <c r="D504" s="22" t="s">
        <v>1002</v>
      </c>
      <c r="E504" s="10">
        <f>Source!CA201</f>
        <v>40</v>
      </c>
      <c r="F504" s="42"/>
      <c r="G504" s="24"/>
      <c r="H504" s="23">
        <f>SUM(U501:U505)</f>
        <v>516.05999999999995</v>
      </c>
      <c r="I504" s="27"/>
      <c r="J504" s="21">
        <f>Source!AU201</f>
        <v>40</v>
      </c>
      <c r="K504" s="23">
        <f>SUM(V501:V505)</f>
        <v>10006.4</v>
      </c>
      <c r="L504" s="25"/>
    </row>
    <row r="505" spans="1:26" ht="14.25" x14ac:dyDescent="0.2">
      <c r="A505" s="40"/>
      <c r="B505" s="41"/>
      <c r="C505" s="41" t="s">
        <v>1004</v>
      </c>
      <c r="D505" s="28" t="s">
        <v>1005</v>
      </c>
      <c r="E505" s="29">
        <f>Source!AQ201</f>
        <v>2.83</v>
      </c>
      <c r="F505" s="30"/>
      <c r="G505" s="31" t="str">
        <f>Source!DI201</f>
        <v>)*0,8</v>
      </c>
      <c r="H505" s="30"/>
      <c r="I505" s="31"/>
      <c r="J505" s="31"/>
      <c r="K505" s="30"/>
      <c r="L505" s="32">
        <f>Source!U201</f>
        <v>106.40800000000002</v>
      </c>
    </row>
    <row r="506" spans="1:26" ht="15" x14ac:dyDescent="0.25">
      <c r="G506" s="45">
        <f>H502+H503+H504</f>
        <v>2644.81</v>
      </c>
      <c r="H506" s="45"/>
      <c r="J506" s="45">
        <f>K502+K503+K504</f>
        <v>51282.82</v>
      </c>
      <c r="K506" s="45"/>
      <c r="L506" s="33">
        <f>Source!U201</f>
        <v>106.40800000000002</v>
      </c>
      <c r="O506" s="19">
        <f>G506</f>
        <v>2644.81</v>
      </c>
      <c r="P506" s="19">
        <f>J506</f>
        <v>51282.82</v>
      </c>
      <c r="Q506" s="19">
        <f>L506</f>
        <v>106.40800000000002</v>
      </c>
      <c r="W506">
        <f>IF(Source!BI201&lt;=1,H502+H503+H504, 0)</f>
        <v>0</v>
      </c>
      <c r="X506">
        <f>IF(Source!BI201=2,H502+H503+H504, 0)</f>
        <v>0</v>
      </c>
      <c r="Y506">
        <f>IF(Source!BI201=3,H502+H503+H504, 0)</f>
        <v>0</v>
      </c>
      <c r="Z506">
        <f>IF(Source!BI201=4,H502+H503+H504, 0)</f>
        <v>2644.81</v>
      </c>
    </row>
    <row r="507" spans="1:26" ht="15" x14ac:dyDescent="0.25">
      <c r="A507" s="47" t="str">
        <f>CONCATENATE("Итого по разделу: ",IF(Source!G203&lt;&gt;"Новый раздел", Source!G203, ""))</f>
        <v>Итого по разделу: 3 Электромонтажные работы</v>
      </c>
      <c r="B507" s="47"/>
      <c r="C507" s="47"/>
      <c r="D507" s="47"/>
      <c r="E507" s="47"/>
      <c r="F507" s="47"/>
      <c r="G507" s="46">
        <f>SUM(O314:O506)</f>
        <v>136897.19</v>
      </c>
      <c r="H507" s="46"/>
      <c r="I507" s="20"/>
      <c r="J507" s="46">
        <f>SUM(P314:P506)</f>
        <v>970986.71</v>
      </c>
      <c r="K507" s="46"/>
      <c r="L507" s="33">
        <f>SUM(Q314:Q506)</f>
        <v>851.82992000000002</v>
      </c>
    </row>
    <row r="508" spans="1:26" ht="16.5" x14ac:dyDescent="0.25">
      <c r="A508" s="48" t="str">
        <f>CONCATENATE("Раздел: ",IF(Source!G235&lt;&gt;"Новый раздел", Source!G235, ""))</f>
        <v>Раздел: 4 АПС</v>
      </c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</row>
    <row r="509" spans="1:26" ht="57" x14ac:dyDescent="0.2">
      <c r="A509" s="38" t="str">
        <f>Source!E239</f>
        <v>54</v>
      </c>
      <c r="B509" s="39" t="str">
        <f>Source!F239</f>
        <v>м10-08-002-01</v>
      </c>
      <c r="C509" s="39" t="str">
        <f>Source!G239</f>
        <v>Демонтаж:Монтаж извещателя ПС автоматического теплового электро-контактный, магнитоконтактный в нормальном исполнении</v>
      </c>
      <c r="D509" s="22" t="str">
        <f>Source!H239</f>
        <v>ШТ</v>
      </c>
      <c r="E509" s="10">
        <f>Source!I239</f>
        <v>26</v>
      </c>
      <c r="F509" s="23">
        <f>Source!AL239+Source!AM239+Source!AO239</f>
        <v>9.36</v>
      </c>
      <c r="G509" s="24"/>
      <c r="H509" s="23"/>
      <c r="I509" s="24" t="str">
        <f>Source!BO239</f>
        <v/>
      </c>
      <c r="J509" s="24"/>
      <c r="K509" s="23"/>
      <c r="L509" s="25"/>
      <c r="S509">
        <f>ROUND((Source!FX239/100)*((ROUND(Source!AF239*Source!I239, 2)+ROUND(Source!AE239*Source!I239, 2))), 2)</f>
        <v>50.34</v>
      </c>
      <c r="T509">
        <f>Source!X239</f>
        <v>337.75</v>
      </c>
      <c r="U509">
        <f>ROUND((Source!FY239/100)*((ROUND(Source!AF239*Source!I239, 2)+ROUND(Source!AE239*Source!I239, 2))), 2)</f>
        <v>37.75</v>
      </c>
      <c r="V509">
        <f>Source!Y239</f>
        <v>253.31</v>
      </c>
    </row>
    <row r="510" spans="1:26" ht="14.25" x14ac:dyDescent="0.2">
      <c r="A510" s="38"/>
      <c r="B510" s="39"/>
      <c r="C510" s="39" t="s">
        <v>999</v>
      </c>
      <c r="D510" s="22"/>
      <c r="E510" s="10"/>
      <c r="F510" s="23">
        <f>Source!AO239</f>
        <v>8.08</v>
      </c>
      <c r="G510" s="24" t="str">
        <f>Source!DG239</f>
        <v>)*0,3</v>
      </c>
      <c r="H510" s="23">
        <f>ROUND(Source!AF239*Source!I239, 2)</f>
        <v>62.92</v>
      </c>
      <c r="I510" s="24"/>
      <c r="J510" s="24">
        <f>IF(Source!BA239&lt;&gt; 0, Source!BA239, 1)</f>
        <v>6.71</v>
      </c>
      <c r="K510" s="23">
        <f>Source!S239</f>
        <v>422.19</v>
      </c>
      <c r="L510" s="25"/>
      <c r="R510">
        <f>H510</f>
        <v>62.92</v>
      </c>
    </row>
    <row r="511" spans="1:26" ht="14.25" x14ac:dyDescent="0.2">
      <c r="A511" s="38"/>
      <c r="B511" s="39"/>
      <c r="C511" s="39" t="s">
        <v>1001</v>
      </c>
      <c r="D511" s="22" t="s">
        <v>1002</v>
      </c>
      <c r="E511" s="10">
        <f>Source!BZ239</f>
        <v>80</v>
      </c>
      <c r="F511" s="42"/>
      <c r="G511" s="24"/>
      <c r="H511" s="23">
        <f>SUM(S509:S513)</f>
        <v>50.34</v>
      </c>
      <c r="I511" s="27"/>
      <c r="J511" s="21">
        <f>Source!AT239</f>
        <v>80</v>
      </c>
      <c r="K511" s="23">
        <f>SUM(T509:T513)</f>
        <v>337.75</v>
      </c>
      <c r="L511" s="25"/>
    </row>
    <row r="512" spans="1:26" ht="14.25" x14ac:dyDescent="0.2">
      <c r="A512" s="38"/>
      <c r="B512" s="39"/>
      <c r="C512" s="39" t="s">
        <v>1003</v>
      </c>
      <c r="D512" s="22" t="s">
        <v>1002</v>
      </c>
      <c r="E512" s="10">
        <f>Source!CA239</f>
        <v>60</v>
      </c>
      <c r="F512" s="42"/>
      <c r="G512" s="24"/>
      <c r="H512" s="23">
        <f>SUM(U509:U513)</f>
        <v>37.75</v>
      </c>
      <c r="I512" s="27"/>
      <c r="J512" s="21">
        <f>Source!AU239</f>
        <v>60</v>
      </c>
      <c r="K512" s="23">
        <f>SUM(V509:V513)</f>
        <v>253.31</v>
      </c>
      <c r="L512" s="25"/>
    </row>
    <row r="513" spans="1:26" ht="14.25" x14ac:dyDescent="0.2">
      <c r="A513" s="40"/>
      <c r="B513" s="41"/>
      <c r="C513" s="41" t="s">
        <v>1004</v>
      </c>
      <c r="D513" s="28" t="s">
        <v>1005</v>
      </c>
      <c r="E513" s="29">
        <f>Source!AQ239</f>
        <v>0.84</v>
      </c>
      <c r="F513" s="30"/>
      <c r="G513" s="31" t="str">
        <f>Source!DI239</f>
        <v>)*0,3</v>
      </c>
      <c r="H513" s="30"/>
      <c r="I513" s="31"/>
      <c r="J513" s="31"/>
      <c r="K513" s="30"/>
      <c r="L513" s="32">
        <f>Source!U239</f>
        <v>6.5519999999999996</v>
      </c>
    </row>
    <row r="514" spans="1:26" ht="15" x14ac:dyDescent="0.25">
      <c r="G514" s="45">
        <f>H510+H511+H512</f>
        <v>151.01</v>
      </c>
      <c r="H514" s="45"/>
      <c r="J514" s="45">
        <f>K510+K511+K512</f>
        <v>1013.25</v>
      </c>
      <c r="K514" s="45"/>
      <c r="L514" s="33">
        <f>Source!U239</f>
        <v>6.5519999999999996</v>
      </c>
      <c r="O514" s="19">
        <f>G514</f>
        <v>151.01</v>
      </c>
      <c r="P514" s="19">
        <f>J514</f>
        <v>1013.25</v>
      </c>
      <c r="Q514" s="19">
        <f>L514</f>
        <v>6.5519999999999996</v>
      </c>
      <c r="W514">
        <f>IF(Source!BI239&lt;=1,H510+H511+H512, 0)</f>
        <v>0</v>
      </c>
      <c r="X514">
        <f>IF(Source!BI239=2,H510+H511+H512, 0)</f>
        <v>151.01</v>
      </c>
      <c r="Y514">
        <f>IF(Source!BI239=3,H510+H511+H512, 0)</f>
        <v>0</v>
      </c>
      <c r="Z514">
        <f>IF(Source!BI239=4,H510+H511+H512, 0)</f>
        <v>0</v>
      </c>
    </row>
    <row r="515" spans="1:26" ht="57" x14ac:dyDescent="0.2">
      <c r="A515" s="38" t="str">
        <f>Source!E240</f>
        <v>55</v>
      </c>
      <c r="B515" s="39" t="str">
        <f>Source!F240</f>
        <v>м10-08-002-01</v>
      </c>
      <c r="C515" s="39" t="str">
        <f>Source!G240</f>
        <v>Монтаж извещателя ПС автоматического теплового электро-контактный, магнитоконтактный в нормальном исполнении</v>
      </c>
      <c r="D515" s="22" t="str">
        <f>Source!H240</f>
        <v>ШТ</v>
      </c>
      <c r="E515" s="10">
        <f>Source!I240</f>
        <v>52</v>
      </c>
      <c r="F515" s="23">
        <f>Source!AL240+Source!AM240+Source!AO240</f>
        <v>9.36</v>
      </c>
      <c r="G515" s="24"/>
      <c r="H515" s="23"/>
      <c r="I515" s="24" t="str">
        <f>Source!BO240</f>
        <v/>
      </c>
      <c r="J515" s="24"/>
      <c r="K515" s="23"/>
      <c r="L515" s="25"/>
      <c r="S515">
        <f>ROUND((Source!FX240/100)*((ROUND(Source!AF240*Source!I240, 2)+ROUND(Source!AE240*Source!I240, 2))), 2)</f>
        <v>336.13</v>
      </c>
      <c r="T515">
        <f>Source!X240</f>
        <v>2255.42</v>
      </c>
      <c r="U515">
        <f>ROUND((Source!FY240/100)*((ROUND(Source!AF240*Source!I240, 2)+ROUND(Source!AE240*Source!I240, 2))), 2)</f>
        <v>252.1</v>
      </c>
      <c r="V515">
        <f>Source!Y240</f>
        <v>1691.56</v>
      </c>
    </row>
    <row r="516" spans="1:26" ht="14.25" x14ac:dyDescent="0.2">
      <c r="A516" s="38"/>
      <c r="B516" s="39"/>
      <c r="C516" s="39" t="s">
        <v>999</v>
      </c>
      <c r="D516" s="22"/>
      <c r="E516" s="10"/>
      <c r="F516" s="23">
        <f>Source!AO240</f>
        <v>8.08</v>
      </c>
      <c r="G516" s="24" t="str">
        <f>Source!DG240</f>
        <v/>
      </c>
      <c r="H516" s="23">
        <f>ROUND(Source!AF240*Source!I240, 2)</f>
        <v>420.16</v>
      </c>
      <c r="I516" s="24"/>
      <c r="J516" s="24">
        <f>IF(Source!BA240&lt;&gt; 0, Source!BA240, 1)</f>
        <v>6.71</v>
      </c>
      <c r="K516" s="23">
        <f>Source!S240</f>
        <v>2819.27</v>
      </c>
      <c r="L516" s="25"/>
      <c r="R516">
        <f>H516</f>
        <v>420.16</v>
      </c>
    </row>
    <row r="517" spans="1:26" ht="14.25" x14ac:dyDescent="0.2">
      <c r="A517" s="38"/>
      <c r="B517" s="39"/>
      <c r="C517" s="39" t="s">
        <v>1006</v>
      </c>
      <c r="D517" s="22"/>
      <c r="E517" s="10"/>
      <c r="F517" s="23">
        <f>Source!AL240</f>
        <v>1.28</v>
      </c>
      <c r="G517" s="24" t="str">
        <f>Source!DD240</f>
        <v/>
      </c>
      <c r="H517" s="23">
        <f>ROUND(Source!AC240*Source!I240, 2)</f>
        <v>66.56</v>
      </c>
      <c r="I517" s="24"/>
      <c r="J517" s="24">
        <f>IF(Source!BC240&lt;&gt; 0, Source!BC240, 1)</f>
        <v>6.71</v>
      </c>
      <c r="K517" s="23">
        <f>Source!P240</f>
        <v>446.62</v>
      </c>
      <c r="L517" s="25"/>
    </row>
    <row r="518" spans="1:26" ht="14.25" x14ac:dyDescent="0.2">
      <c r="A518" s="38"/>
      <c r="B518" s="39"/>
      <c r="C518" s="39" t="s">
        <v>1001</v>
      </c>
      <c r="D518" s="22" t="s">
        <v>1002</v>
      </c>
      <c r="E518" s="10">
        <f>Source!BZ240</f>
        <v>80</v>
      </c>
      <c r="F518" s="42"/>
      <c r="G518" s="24"/>
      <c r="H518" s="23">
        <f>SUM(S515:S521)</f>
        <v>336.13</v>
      </c>
      <c r="I518" s="27"/>
      <c r="J518" s="21">
        <f>Source!AT240</f>
        <v>80</v>
      </c>
      <c r="K518" s="23">
        <f>SUM(T515:T521)</f>
        <v>2255.42</v>
      </c>
      <c r="L518" s="25"/>
    </row>
    <row r="519" spans="1:26" ht="14.25" x14ac:dyDescent="0.2">
      <c r="A519" s="38"/>
      <c r="B519" s="39"/>
      <c r="C519" s="39" t="s">
        <v>1003</v>
      </c>
      <c r="D519" s="22" t="s">
        <v>1002</v>
      </c>
      <c r="E519" s="10">
        <f>Source!CA240</f>
        <v>60</v>
      </c>
      <c r="F519" s="42"/>
      <c r="G519" s="24"/>
      <c r="H519" s="23">
        <f>SUM(U515:U521)</f>
        <v>252.1</v>
      </c>
      <c r="I519" s="27"/>
      <c r="J519" s="21">
        <f>Source!AU240</f>
        <v>60</v>
      </c>
      <c r="K519" s="23">
        <f>SUM(V515:V521)</f>
        <v>1691.56</v>
      </c>
      <c r="L519" s="25"/>
    </row>
    <row r="520" spans="1:26" ht="14.25" x14ac:dyDescent="0.2">
      <c r="A520" s="38"/>
      <c r="B520" s="39"/>
      <c r="C520" s="39" t="s">
        <v>1004</v>
      </c>
      <c r="D520" s="22" t="s">
        <v>1005</v>
      </c>
      <c r="E520" s="10">
        <f>Source!AQ240</f>
        <v>0.84</v>
      </c>
      <c r="F520" s="23"/>
      <c r="G520" s="24" t="str">
        <f>Source!DI240</f>
        <v/>
      </c>
      <c r="H520" s="23"/>
      <c r="I520" s="24"/>
      <c r="J520" s="24"/>
      <c r="K520" s="23"/>
      <c r="L520" s="34">
        <f>Source!U240</f>
        <v>43.68</v>
      </c>
    </row>
    <row r="521" spans="1:26" ht="28.5" x14ac:dyDescent="0.2">
      <c r="A521" s="40" t="str">
        <f>Source!E241</f>
        <v>55,1</v>
      </c>
      <c r="B521" s="41" t="str">
        <f>Source!F241</f>
        <v>61.2.02.01-0072</v>
      </c>
      <c r="C521" s="41" t="str">
        <f>Source!G241</f>
        <v>Извещатель пожарный дымовой ИП 212-41М (ДИП-41М) прим.</v>
      </c>
      <c r="D521" s="28" t="str">
        <f>Source!H241</f>
        <v>10 шт.</v>
      </c>
      <c r="E521" s="29">
        <f>Source!I241</f>
        <v>5.2</v>
      </c>
      <c r="F521" s="30">
        <f>Source!AL241+Source!AM241+Source!AO241</f>
        <v>287.27999999999997</v>
      </c>
      <c r="G521" s="35" t="s">
        <v>3</v>
      </c>
      <c r="H521" s="30">
        <f>ROUND(Source!AC241*Source!I241, 2)+ROUND(Source!AD241*Source!I241, 2)+ROUND(Source!AF241*Source!I241, 2)</f>
        <v>1493.86</v>
      </c>
      <c r="I521" s="31"/>
      <c r="J521" s="31">
        <f>IF(Source!BC241&lt;&gt; 0, Source!BC241, 1)</f>
        <v>6.71</v>
      </c>
      <c r="K521" s="30">
        <f>Source!O241</f>
        <v>10023.77</v>
      </c>
      <c r="L521" s="36"/>
      <c r="S521">
        <f>ROUND((Source!FX241/100)*((ROUND(Source!AF241*Source!I241, 2)+ROUND(Source!AE241*Source!I241, 2))), 2)</f>
        <v>0</v>
      </c>
      <c r="T521">
        <f>Source!X241</f>
        <v>0</v>
      </c>
      <c r="U521">
        <f>ROUND((Source!FY241/100)*((ROUND(Source!AF241*Source!I241, 2)+ROUND(Source!AE241*Source!I241, 2))), 2)</f>
        <v>0</v>
      </c>
      <c r="V521">
        <f>Source!Y241</f>
        <v>0</v>
      </c>
      <c r="W521">
        <f>IF(Source!BI241&lt;=1,H521, 0)</f>
        <v>0</v>
      </c>
      <c r="X521">
        <f>IF(Source!BI241=2,H521, 0)</f>
        <v>1493.86</v>
      </c>
      <c r="Y521">
        <f>IF(Source!BI241=3,H521, 0)</f>
        <v>0</v>
      </c>
      <c r="Z521">
        <f>IF(Source!BI241=4,H521, 0)</f>
        <v>0</v>
      </c>
    </row>
    <row r="522" spans="1:26" ht="15" x14ac:dyDescent="0.25">
      <c r="G522" s="45">
        <f>H516+H517+H518+H519+SUM(H521:H521)</f>
        <v>2568.81</v>
      </c>
      <c r="H522" s="45"/>
      <c r="J522" s="45">
        <f>K516+K517+K518+K519+SUM(K521:K521)</f>
        <v>17236.64</v>
      </c>
      <c r="K522" s="45"/>
      <c r="L522" s="33">
        <f>Source!U240</f>
        <v>43.68</v>
      </c>
      <c r="O522" s="19">
        <f>G522</f>
        <v>2568.81</v>
      </c>
      <c r="P522" s="19">
        <f>J522</f>
        <v>17236.64</v>
      </c>
      <c r="Q522" s="19">
        <f>L522</f>
        <v>43.68</v>
      </c>
      <c r="W522">
        <f>IF(Source!BI240&lt;=1,H516+H517+H518+H519, 0)</f>
        <v>0</v>
      </c>
      <c r="X522">
        <f>IF(Source!BI240=2,H516+H517+H518+H519, 0)</f>
        <v>1074.95</v>
      </c>
      <c r="Y522">
        <f>IF(Source!BI240=3,H516+H517+H518+H519, 0)</f>
        <v>0</v>
      </c>
      <c r="Z522">
        <f>IF(Source!BI240=4,H516+H517+H518+H519, 0)</f>
        <v>0</v>
      </c>
    </row>
    <row r="523" spans="1:26" ht="42.75" x14ac:dyDescent="0.2">
      <c r="A523" s="38" t="str">
        <f>Source!E242</f>
        <v>56</v>
      </c>
      <c r="B523" s="39" t="str">
        <f>Source!F242</f>
        <v>м10-08-001-03</v>
      </c>
      <c r="C523" s="39" t="str">
        <f>Source!G242</f>
        <v>Приборы ПС приемно-контрольные, пусковые, концентратор блок линейный</v>
      </c>
      <c r="D523" s="22" t="str">
        <f>Source!H242</f>
        <v>10 лучей</v>
      </c>
      <c r="E523" s="10">
        <f>Source!I242</f>
        <v>2.6</v>
      </c>
      <c r="F523" s="23">
        <f>Source!AL242+Source!AM242+Source!AO242</f>
        <v>66.180000000000007</v>
      </c>
      <c r="G523" s="24"/>
      <c r="H523" s="23"/>
      <c r="I523" s="24" t="str">
        <f>Source!BO242</f>
        <v/>
      </c>
      <c r="J523" s="24"/>
      <c r="K523" s="23"/>
      <c r="L523" s="25"/>
      <c r="S523">
        <f>ROUND((Source!FX242/100)*((ROUND(Source!AF242*Source!I242, 2)+ROUND(Source!AE242*Source!I242, 2))), 2)</f>
        <v>111.42</v>
      </c>
      <c r="T523">
        <f>Source!X242</f>
        <v>747.66</v>
      </c>
      <c r="U523">
        <f>ROUND((Source!FY242/100)*((ROUND(Source!AF242*Source!I242, 2)+ROUND(Source!AE242*Source!I242, 2))), 2)</f>
        <v>83.57</v>
      </c>
      <c r="V523">
        <f>Source!Y242</f>
        <v>560.75</v>
      </c>
    </row>
    <row r="524" spans="1:26" x14ac:dyDescent="0.2">
      <c r="C524" s="18" t="str">
        <f>"Объем: "&amp;Source!I242&amp;"=26/"&amp;"10"</f>
        <v>Объем: 2,6=26/10</v>
      </c>
    </row>
    <row r="525" spans="1:26" ht="14.25" x14ac:dyDescent="0.2">
      <c r="A525" s="38"/>
      <c r="B525" s="39"/>
      <c r="C525" s="39" t="s">
        <v>999</v>
      </c>
      <c r="D525" s="22"/>
      <c r="E525" s="10"/>
      <c r="F525" s="23">
        <f>Source!AO242</f>
        <v>53.57</v>
      </c>
      <c r="G525" s="24" t="str">
        <f>Source!DG242</f>
        <v/>
      </c>
      <c r="H525" s="23">
        <f>ROUND(Source!AF242*Source!I242, 2)</f>
        <v>139.28</v>
      </c>
      <c r="I525" s="24"/>
      <c r="J525" s="24">
        <f>IF(Source!BA242&lt;&gt; 0, Source!BA242, 1)</f>
        <v>6.71</v>
      </c>
      <c r="K525" s="23">
        <f>Source!S242</f>
        <v>934.58</v>
      </c>
      <c r="L525" s="25"/>
      <c r="R525">
        <f>H525</f>
        <v>139.28</v>
      </c>
    </row>
    <row r="526" spans="1:26" ht="14.25" x14ac:dyDescent="0.2">
      <c r="A526" s="38"/>
      <c r="B526" s="39"/>
      <c r="C526" s="39" t="s">
        <v>1006</v>
      </c>
      <c r="D526" s="22"/>
      <c r="E526" s="10"/>
      <c r="F526" s="23">
        <f>Source!AL242</f>
        <v>12.61</v>
      </c>
      <c r="G526" s="24" t="str">
        <f>Source!DD242</f>
        <v/>
      </c>
      <c r="H526" s="23">
        <f>ROUND(Source!AC242*Source!I242, 2)</f>
        <v>32.79</v>
      </c>
      <c r="I526" s="24"/>
      <c r="J526" s="24">
        <f>IF(Source!BC242&lt;&gt; 0, Source!BC242, 1)</f>
        <v>6.71</v>
      </c>
      <c r="K526" s="23">
        <f>Source!P242</f>
        <v>219.99</v>
      </c>
      <c r="L526" s="25"/>
    </row>
    <row r="527" spans="1:26" ht="14.25" x14ac:dyDescent="0.2">
      <c r="A527" s="38"/>
      <c r="B527" s="39"/>
      <c r="C527" s="39" t="s">
        <v>1001</v>
      </c>
      <c r="D527" s="22" t="s">
        <v>1002</v>
      </c>
      <c r="E527" s="10">
        <f>Source!BZ242</f>
        <v>80</v>
      </c>
      <c r="F527" s="42"/>
      <c r="G527" s="24"/>
      <c r="H527" s="23">
        <f>SUM(S523:S530)</f>
        <v>111.42</v>
      </c>
      <c r="I527" s="27"/>
      <c r="J527" s="21">
        <f>Source!AT242</f>
        <v>80</v>
      </c>
      <c r="K527" s="23">
        <f>SUM(T523:T530)</f>
        <v>747.66</v>
      </c>
      <c r="L527" s="25"/>
    </row>
    <row r="528" spans="1:26" ht="14.25" x14ac:dyDescent="0.2">
      <c r="A528" s="38"/>
      <c r="B528" s="39"/>
      <c r="C528" s="39" t="s">
        <v>1003</v>
      </c>
      <c r="D528" s="22" t="s">
        <v>1002</v>
      </c>
      <c r="E528" s="10">
        <f>Source!CA242</f>
        <v>60</v>
      </c>
      <c r="F528" s="42"/>
      <c r="G528" s="24"/>
      <c r="H528" s="23">
        <f>SUM(U523:U530)</f>
        <v>83.57</v>
      </c>
      <c r="I528" s="27"/>
      <c r="J528" s="21">
        <f>Source!AU242</f>
        <v>60</v>
      </c>
      <c r="K528" s="23">
        <f>SUM(V523:V530)</f>
        <v>560.75</v>
      </c>
      <c r="L528" s="25"/>
    </row>
    <row r="529" spans="1:26" ht="14.25" x14ac:dyDescent="0.2">
      <c r="A529" s="38"/>
      <c r="B529" s="39"/>
      <c r="C529" s="39" t="s">
        <v>1004</v>
      </c>
      <c r="D529" s="22" t="s">
        <v>1005</v>
      </c>
      <c r="E529" s="10">
        <f>Source!AQ242</f>
        <v>5.4</v>
      </c>
      <c r="F529" s="23"/>
      <c r="G529" s="24" t="str">
        <f>Source!DI242</f>
        <v/>
      </c>
      <c r="H529" s="23"/>
      <c r="I529" s="24"/>
      <c r="J529" s="24"/>
      <c r="K529" s="23"/>
      <c r="L529" s="34">
        <f>Source!U242</f>
        <v>14.040000000000001</v>
      </c>
    </row>
    <row r="530" spans="1:26" ht="14.25" x14ac:dyDescent="0.2">
      <c r="A530" s="40" t="str">
        <f>Source!E243</f>
        <v>56,1</v>
      </c>
      <c r="B530" s="41" t="str">
        <f>Source!F243</f>
        <v>61.2.07.04-0051</v>
      </c>
      <c r="C530" s="41" t="str">
        <f>Source!G243</f>
        <v>Устройство контроля шлейфа УКШ-1</v>
      </c>
      <c r="D530" s="28" t="str">
        <f>Source!H243</f>
        <v>шт.</v>
      </c>
      <c r="E530" s="29">
        <f>Source!I243</f>
        <v>26</v>
      </c>
      <c r="F530" s="30">
        <f>Source!AL243+Source!AM243+Source!AO243</f>
        <v>57.92</v>
      </c>
      <c r="G530" s="35" t="s">
        <v>3</v>
      </c>
      <c r="H530" s="30">
        <f>ROUND(Source!AC243*Source!I243, 2)+ROUND(Source!AD243*Source!I243, 2)+ROUND(Source!AF243*Source!I243, 2)</f>
        <v>1505.92</v>
      </c>
      <c r="I530" s="31"/>
      <c r="J530" s="31">
        <f>IF(Source!BC243&lt;&gt; 0, Source!BC243, 1)</f>
        <v>6.71</v>
      </c>
      <c r="K530" s="30">
        <f>Source!O243</f>
        <v>10104.719999999999</v>
      </c>
      <c r="L530" s="36"/>
      <c r="S530">
        <f>ROUND((Source!FX243/100)*((ROUND(Source!AF243*Source!I243, 2)+ROUND(Source!AE243*Source!I243, 2))), 2)</f>
        <v>0</v>
      </c>
      <c r="T530">
        <f>Source!X243</f>
        <v>0</v>
      </c>
      <c r="U530">
        <f>ROUND((Source!FY243/100)*((ROUND(Source!AF243*Source!I243, 2)+ROUND(Source!AE243*Source!I243, 2))), 2)</f>
        <v>0</v>
      </c>
      <c r="V530">
        <f>Source!Y243</f>
        <v>0</v>
      </c>
      <c r="W530">
        <f>IF(Source!BI243&lt;=1,H530, 0)</f>
        <v>0</v>
      </c>
      <c r="X530">
        <f>IF(Source!BI243=2,H530, 0)</f>
        <v>1505.92</v>
      </c>
      <c r="Y530">
        <f>IF(Source!BI243=3,H530, 0)</f>
        <v>0</v>
      </c>
      <c r="Z530">
        <f>IF(Source!BI243=4,H530, 0)</f>
        <v>0</v>
      </c>
    </row>
    <row r="531" spans="1:26" ht="15" x14ac:dyDescent="0.25">
      <c r="G531" s="45">
        <f>H525+H526+H527+H528+SUM(H530:H530)</f>
        <v>1872.98</v>
      </c>
      <c r="H531" s="45"/>
      <c r="J531" s="45">
        <f>K525+K526+K527+K528+SUM(K530:K530)</f>
        <v>12567.699999999999</v>
      </c>
      <c r="K531" s="45"/>
      <c r="L531" s="33">
        <f>Source!U242</f>
        <v>14.040000000000001</v>
      </c>
      <c r="O531" s="19">
        <f>G531</f>
        <v>1872.98</v>
      </c>
      <c r="P531" s="19">
        <f>J531</f>
        <v>12567.699999999999</v>
      </c>
      <c r="Q531" s="19">
        <f>L531</f>
        <v>14.040000000000001</v>
      </c>
      <c r="W531">
        <f>IF(Source!BI242&lt;=1,H525+H526+H527+H528, 0)</f>
        <v>0</v>
      </c>
      <c r="X531">
        <f>IF(Source!BI242=2,H525+H526+H527+H528, 0)</f>
        <v>367.06</v>
      </c>
      <c r="Y531">
        <f>IF(Source!BI242=3,H525+H526+H527+H528, 0)</f>
        <v>0</v>
      </c>
      <c r="Z531">
        <f>IF(Source!BI242=4,H525+H526+H527+H528, 0)</f>
        <v>0</v>
      </c>
    </row>
    <row r="532" spans="1:26" ht="28.5" x14ac:dyDescent="0.2">
      <c r="A532" s="38" t="str">
        <f>Source!E244</f>
        <v>57</v>
      </c>
      <c r="B532" s="39" t="str">
        <f>Source!F244</f>
        <v>м08-10-010-01</v>
      </c>
      <c r="C532" s="39" t="str">
        <f>Source!G244</f>
        <v>Прокладка труб гофрированных ПВХ для защиты проводов и кабелей</v>
      </c>
      <c r="D532" s="22" t="str">
        <f>Source!H244</f>
        <v>100 м</v>
      </c>
      <c r="E532" s="10">
        <f>Source!I244</f>
        <v>0.57999999999999996</v>
      </c>
      <c r="F532" s="23">
        <f>Source!AL244+Source!AM244+Source!AO244</f>
        <v>156.32999999999998</v>
      </c>
      <c r="G532" s="24"/>
      <c r="H532" s="23"/>
      <c r="I532" s="24" t="str">
        <f>Source!BO244</f>
        <v/>
      </c>
      <c r="J532" s="24"/>
      <c r="K532" s="23"/>
      <c r="L532" s="25"/>
      <c r="S532">
        <f>ROUND((Source!FX244/100)*((ROUND(Source!AF244*Source!I244, 2)+ROUND(Source!AE244*Source!I244, 2))), 2)</f>
        <v>76.88</v>
      </c>
      <c r="T532">
        <f>Source!X244</f>
        <v>515.91</v>
      </c>
      <c r="U532">
        <f>ROUND((Source!FY244/100)*((ROUND(Source!AF244*Source!I244, 2)+ROUND(Source!AE244*Source!I244, 2))), 2)</f>
        <v>52.6</v>
      </c>
      <c r="V532">
        <f>Source!Y244</f>
        <v>352.99</v>
      </c>
    </row>
    <row r="533" spans="1:26" ht="14.25" x14ac:dyDescent="0.2">
      <c r="A533" s="38"/>
      <c r="B533" s="39"/>
      <c r="C533" s="39" t="s">
        <v>999</v>
      </c>
      <c r="D533" s="22"/>
      <c r="E533" s="10"/>
      <c r="F533" s="23">
        <f>Source!AO244</f>
        <v>139.54</v>
      </c>
      <c r="G533" s="24" t="str">
        <f>Source!DG244</f>
        <v/>
      </c>
      <c r="H533" s="23">
        <f>ROUND(Source!AF244*Source!I244, 2)</f>
        <v>80.930000000000007</v>
      </c>
      <c r="I533" s="24"/>
      <c r="J533" s="24">
        <f>IF(Source!BA244&lt;&gt; 0, Source!BA244, 1)</f>
        <v>6.71</v>
      </c>
      <c r="K533" s="23">
        <f>Source!S244</f>
        <v>543.05999999999995</v>
      </c>
      <c r="L533" s="25"/>
      <c r="R533">
        <f>H533</f>
        <v>80.930000000000007</v>
      </c>
    </row>
    <row r="534" spans="1:26" ht="14.25" x14ac:dyDescent="0.2">
      <c r="A534" s="38"/>
      <c r="B534" s="39"/>
      <c r="C534" s="39" t="s">
        <v>1006</v>
      </c>
      <c r="D534" s="22"/>
      <c r="E534" s="10"/>
      <c r="F534" s="23">
        <f>Source!AL244</f>
        <v>16.79</v>
      </c>
      <c r="G534" s="24" t="str">
        <f>Source!DD244</f>
        <v/>
      </c>
      <c r="H534" s="23">
        <f>ROUND(Source!AC244*Source!I244, 2)</f>
        <v>9.74</v>
      </c>
      <c r="I534" s="24"/>
      <c r="J534" s="24">
        <f>IF(Source!BC244&lt;&gt; 0, Source!BC244, 1)</f>
        <v>6.71</v>
      </c>
      <c r="K534" s="23">
        <f>Source!P244</f>
        <v>65.34</v>
      </c>
      <c r="L534" s="25"/>
    </row>
    <row r="535" spans="1:26" ht="14.25" x14ac:dyDescent="0.2">
      <c r="A535" s="38"/>
      <c r="B535" s="39"/>
      <c r="C535" s="39" t="s">
        <v>1001</v>
      </c>
      <c r="D535" s="22" t="s">
        <v>1002</v>
      </c>
      <c r="E535" s="10">
        <f>Source!BZ244</f>
        <v>95</v>
      </c>
      <c r="F535" s="42"/>
      <c r="G535" s="24"/>
      <c r="H535" s="23">
        <f>SUM(S532:S538)</f>
        <v>76.88</v>
      </c>
      <c r="I535" s="27"/>
      <c r="J535" s="21">
        <f>Source!AT244</f>
        <v>95</v>
      </c>
      <c r="K535" s="23">
        <f>SUM(T532:T538)</f>
        <v>515.91</v>
      </c>
      <c r="L535" s="25"/>
    </row>
    <row r="536" spans="1:26" ht="14.25" x14ac:dyDescent="0.2">
      <c r="A536" s="38"/>
      <c r="B536" s="39"/>
      <c r="C536" s="39" t="s">
        <v>1003</v>
      </c>
      <c r="D536" s="22" t="s">
        <v>1002</v>
      </c>
      <c r="E536" s="10">
        <f>Source!CA244</f>
        <v>65</v>
      </c>
      <c r="F536" s="42"/>
      <c r="G536" s="24"/>
      <c r="H536" s="23">
        <f>SUM(U532:U538)</f>
        <v>52.6</v>
      </c>
      <c r="I536" s="27"/>
      <c r="J536" s="21">
        <f>Source!AU244</f>
        <v>65</v>
      </c>
      <c r="K536" s="23">
        <f>SUM(V532:V538)</f>
        <v>352.99</v>
      </c>
      <c r="L536" s="25"/>
    </row>
    <row r="537" spans="1:26" ht="14.25" x14ac:dyDescent="0.2">
      <c r="A537" s="38"/>
      <c r="B537" s="39"/>
      <c r="C537" s="39" t="s">
        <v>1004</v>
      </c>
      <c r="D537" s="22" t="s">
        <v>1005</v>
      </c>
      <c r="E537" s="10">
        <f>Source!AQ244</f>
        <v>15.2</v>
      </c>
      <c r="F537" s="23"/>
      <c r="G537" s="24" t="str">
        <f>Source!DI244</f>
        <v/>
      </c>
      <c r="H537" s="23"/>
      <c r="I537" s="24"/>
      <c r="J537" s="24"/>
      <c r="K537" s="23"/>
      <c r="L537" s="34">
        <f>Source!U244</f>
        <v>8.8159999999999989</v>
      </c>
    </row>
    <row r="538" spans="1:26" ht="42.75" x14ac:dyDescent="0.2">
      <c r="A538" s="40" t="str">
        <f>Source!E245</f>
        <v>57,1</v>
      </c>
      <c r="B538" s="41" t="str">
        <f>Source!F245</f>
        <v>24.3.03.05-0011</v>
      </c>
      <c r="C538" s="41" t="str">
        <f>Source!G245</f>
        <v>Трубы гибкие гофрированные легкие из ПНД, серии BL, с зондом, диаметром 16 мм</v>
      </c>
      <c r="D538" s="28" t="str">
        <f>Source!H245</f>
        <v>10 м</v>
      </c>
      <c r="E538" s="29">
        <f>Source!I245</f>
        <v>5.8</v>
      </c>
      <c r="F538" s="30">
        <f>Source!AL245+Source!AM245+Source!AO245</f>
        <v>24.54</v>
      </c>
      <c r="G538" s="35" t="s">
        <v>3</v>
      </c>
      <c r="H538" s="30">
        <f>ROUND(Source!AC245*Source!I245, 2)+ROUND(Source!AD245*Source!I245, 2)+ROUND(Source!AF245*Source!I245, 2)</f>
        <v>142.33000000000001</v>
      </c>
      <c r="I538" s="31"/>
      <c r="J538" s="31">
        <f>IF(Source!BC245&lt;&gt; 0, Source!BC245, 1)</f>
        <v>6.71</v>
      </c>
      <c r="K538" s="30">
        <f>Source!O245</f>
        <v>955.05</v>
      </c>
      <c r="L538" s="36"/>
      <c r="S538">
        <f>ROUND((Source!FX245/100)*((ROUND(Source!AF245*Source!I245, 2)+ROUND(Source!AE245*Source!I245, 2))), 2)</f>
        <v>0</v>
      </c>
      <c r="T538">
        <f>Source!X245</f>
        <v>0</v>
      </c>
      <c r="U538">
        <f>ROUND((Source!FY245/100)*((ROUND(Source!AF245*Source!I245, 2)+ROUND(Source!AE245*Source!I245, 2))), 2)</f>
        <v>0</v>
      </c>
      <c r="V538">
        <f>Source!Y245</f>
        <v>0</v>
      </c>
      <c r="W538">
        <f>IF(Source!BI245&lt;=1,H538, 0)</f>
        <v>0</v>
      </c>
      <c r="X538">
        <f>IF(Source!BI245=2,H538, 0)</f>
        <v>142.33000000000001</v>
      </c>
      <c r="Y538">
        <f>IF(Source!BI245=3,H538, 0)</f>
        <v>0</v>
      </c>
      <c r="Z538">
        <f>IF(Source!BI245=4,H538, 0)</f>
        <v>0</v>
      </c>
    </row>
    <row r="539" spans="1:26" ht="15" x14ac:dyDescent="0.25">
      <c r="G539" s="45">
        <f>H533+H534+H535+H536+SUM(H538:H538)</f>
        <v>362.48</v>
      </c>
      <c r="H539" s="45"/>
      <c r="J539" s="45">
        <f>K533+K534+K535+K536+SUM(K538:K538)</f>
        <v>2432.35</v>
      </c>
      <c r="K539" s="45"/>
      <c r="L539" s="33">
        <f>Source!U244</f>
        <v>8.8159999999999989</v>
      </c>
      <c r="O539" s="19">
        <f>G539</f>
        <v>362.48</v>
      </c>
      <c r="P539" s="19">
        <f>J539</f>
        <v>2432.35</v>
      </c>
      <c r="Q539" s="19">
        <f>L539</f>
        <v>8.8159999999999989</v>
      </c>
      <c r="W539">
        <f>IF(Source!BI244&lt;=1,H533+H534+H535+H536, 0)</f>
        <v>0</v>
      </c>
      <c r="X539">
        <f>IF(Source!BI244=2,H533+H534+H535+H536, 0)</f>
        <v>220.15</v>
      </c>
      <c r="Y539">
        <f>IF(Source!BI244=3,H533+H534+H535+H536, 0)</f>
        <v>0</v>
      </c>
      <c r="Z539">
        <f>IF(Source!BI244=4,H533+H534+H535+H536, 0)</f>
        <v>0</v>
      </c>
    </row>
    <row r="540" spans="1:26" ht="71.25" x14ac:dyDescent="0.2">
      <c r="A540" s="38" t="str">
        <f>Source!E246</f>
        <v>58</v>
      </c>
      <c r="B540" s="39" t="str">
        <f>Source!F246</f>
        <v>м08-02-412-02</v>
      </c>
      <c r="C540" s="39" t="str">
        <f>Source!G246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540" s="22" t="str">
        <f>Source!H246</f>
        <v>100 м</v>
      </c>
      <c r="E540" s="10">
        <f>Source!I246</f>
        <v>0.76</v>
      </c>
      <c r="F540" s="23">
        <f>Source!AL246+Source!AM246+Source!AO246</f>
        <v>68.7</v>
      </c>
      <c r="G540" s="24"/>
      <c r="H540" s="23"/>
      <c r="I540" s="24" t="str">
        <f>Source!BO246</f>
        <v/>
      </c>
      <c r="J540" s="24"/>
      <c r="K540" s="23"/>
      <c r="L540" s="25"/>
      <c r="S540">
        <f>ROUND((Source!FX246/100)*((ROUND(Source!AF246*Source!I246, 2)+ROUND(Source!AE246*Source!I246, 2))), 2)</f>
        <v>36.950000000000003</v>
      </c>
      <c r="T540">
        <f>Source!X246</f>
        <v>247.9</v>
      </c>
      <c r="U540">
        <f>ROUND((Source!FY246/100)*((ROUND(Source!AF246*Source!I246, 2)+ROUND(Source!AE246*Source!I246, 2))), 2)</f>
        <v>25.28</v>
      </c>
      <c r="V540">
        <f>Source!Y246</f>
        <v>169.62</v>
      </c>
    </row>
    <row r="541" spans="1:26" x14ac:dyDescent="0.2">
      <c r="C541" s="18" t="str">
        <f>"Объем: "&amp;Source!I246&amp;"=76/"&amp;"100"</f>
        <v>Объем: 0,76=76/100</v>
      </c>
    </row>
    <row r="542" spans="1:26" ht="14.25" x14ac:dyDescent="0.2">
      <c r="A542" s="38"/>
      <c r="B542" s="39"/>
      <c r="C542" s="39" t="s">
        <v>999</v>
      </c>
      <c r="D542" s="22"/>
      <c r="E542" s="10"/>
      <c r="F542" s="23">
        <f>Source!AO246</f>
        <v>50.67</v>
      </c>
      <c r="G542" s="24" t="str">
        <f>Source!DG246</f>
        <v/>
      </c>
      <c r="H542" s="23">
        <f>ROUND(Source!AF246*Source!I246, 2)</f>
        <v>38.51</v>
      </c>
      <c r="I542" s="24"/>
      <c r="J542" s="24">
        <f>IF(Source!BA246&lt;&gt; 0, Source!BA246, 1)</f>
        <v>6.71</v>
      </c>
      <c r="K542" s="23">
        <f>Source!S246</f>
        <v>258.39999999999998</v>
      </c>
      <c r="L542" s="25"/>
      <c r="R542">
        <f>H542</f>
        <v>38.51</v>
      </c>
    </row>
    <row r="543" spans="1:26" ht="14.25" x14ac:dyDescent="0.2">
      <c r="A543" s="38"/>
      <c r="B543" s="39"/>
      <c r="C543" s="39" t="s">
        <v>301</v>
      </c>
      <c r="D543" s="22"/>
      <c r="E543" s="10"/>
      <c r="F543" s="23">
        <f>Source!AM246</f>
        <v>3.55</v>
      </c>
      <c r="G543" s="24" t="str">
        <f>Source!DE246</f>
        <v/>
      </c>
      <c r="H543" s="23">
        <f>ROUND(Source!AD246*Source!I246, 2)</f>
        <v>2.7</v>
      </c>
      <c r="I543" s="24"/>
      <c r="J543" s="24">
        <f>IF(Source!BB246&lt;&gt; 0, Source!BB246, 1)</f>
        <v>6.71</v>
      </c>
      <c r="K543" s="23">
        <f>Source!Q246</f>
        <v>18.100000000000001</v>
      </c>
      <c r="L543" s="25"/>
    </row>
    <row r="544" spans="1:26" ht="14.25" x14ac:dyDescent="0.2">
      <c r="A544" s="38"/>
      <c r="B544" s="39"/>
      <c r="C544" s="39" t="s">
        <v>1000</v>
      </c>
      <c r="D544" s="22"/>
      <c r="E544" s="10"/>
      <c r="F544" s="23">
        <f>Source!AN246</f>
        <v>0.5</v>
      </c>
      <c r="G544" s="24" t="str">
        <f>Source!DF246</f>
        <v/>
      </c>
      <c r="H544" s="26">
        <f>ROUND(Source!AE246*Source!I246, 2)</f>
        <v>0.38</v>
      </c>
      <c r="I544" s="24"/>
      <c r="J544" s="24">
        <f>IF(Source!BS246&lt;&gt; 0, Source!BS246, 1)</f>
        <v>6.71</v>
      </c>
      <c r="K544" s="26">
        <f>Source!R246</f>
        <v>2.5499999999999998</v>
      </c>
      <c r="L544" s="25"/>
      <c r="R544">
        <f>H544</f>
        <v>0.38</v>
      </c>
    </row>
    <row r="545" spans="1:26" ht="14.25" x14ac:dyDescent="0.2">
      <c r="A545" s="38"/>
      <c r="B545" s="39"/>
      <c r="C545" s="39" t="s">
        <v>1006</v>
      </c>
      <c r="D545" s="22"/>
      <c r="E545" s="10"/>
      <c r="F545" s="23">
        <f>Source!AL246</f>
        <v>14.48</v>
      </c>
      <c r="G545" s="24" t="str">
        <f>Source!DD246</f>
        <v/>
      </c>
      <c r="H545" s="23">
        <f>ROUND(Source!AC246*Source!I246, 2)</f>
        <v>11</v>
      </c>
      <c r="I545" s="24"/>
      <c r="J545" s="24">
        <f>IF(Source!BC246&lt;&gt; 0, Source!BC246, 1)</f>
        <v>6.71</v>
      </c>
      <c r="K545" s="23">
        <f>Source!P246</f>
        <v>73.84</v>
      </c>
      <c r="L545" s="25"/>
    </row>
    <row r="546" spans="1:26" ht="14.25" x14ac:dyDescent="0.2">
      <c r="A546" s="38"/>
      <c r="B546" s="39"/>
      <c r="C546" s="39" t="s">
        <v>1001</v>
      </c>
      <c r="D546" s="22" t="s">
        <v>1002</v>
      </c>
      <c r="E546" s="10">
        <f>Source!BZ246</f>
        <v>95</v>
      </c>
      <c r="F546" s="42"/>
      <c r="G546" s="24"/>
      <c r="H546" s="23">
        <f>SUM(S540:S549)</f>
        <v>36.950000000000003</v>
      </c>
      <c r="I546" s="27"/>
      <c r="J546" s="21">
        <f>Source!AT246</f>
        <v>95</v>
      </c>
      <c r="K546" s="23">
        <f>SUM(T540:T549)</f>
        <v>247.9</v>
      </c>
      <c r="L546" s="25"/>
    </row>
    <row r="547" spans="1:26" ht="14.25" x14ac:dyDescent="0.2">
      <c r="A547" s="38"/>
      <c r="B547" s="39"/>
      <c r="C547" s="39" t="s">
        <v>1003</v>
      </c>
      <c r="D547" s="22" t="s">
        <v>1002</v>
      </c>
      <c r="E547" s="10">
        <f>Source!CA246</f>
        <v>65</v>
      </c>
      <c r="F547" s="42"/>
      <c r="G547" s="24"/>
      <c r="H547" s="23">
        <f>SUM(U540:U549)</f>
        <v>25.28</v>
      </c>
      <c r="I547" s="27"/>
      <c r="J547" s="21">
        <f>Source!AU246</f>
        <v>65</v>
      </c>
      <c r="K547" s="23">
        <f>SUM(V540:V549)</f>
        <v>169.62</v>
      </c>
      <c r="L547" s="25"/>
    </row>
    <row r="548" spans="1:26" ht="14.25" x14ac:dyDescent="0.2">
      <c r="A548" s="38"/>
      <c r="B548" s="39"/>
      <c r="C548" s="39" t="s">
        <v>1004</v>
      </c>
      <c r="D548" s="22" t="s">
        <v>1005</v>
      </c>
      <c r="E548" s="10">
        <f>Source!AQ246</f>
        <v>5.39</v>
      </c>
      <c r="F548" s="23"/>
      <c r="G548" s="24" t="str">
        <f>Source!DI246</f>
        <v/>
      </c>
      <c r="H548" s="23"/>
      <c r="I548" s="24"/>
      <c r="J548" s="24"/>
      <c r="K548" s="23"/>
      <c r="L548" s="34">
        <f>Source!U246</f>
        <v>4.0964</v>
      </c>
    </row>
    <row r="549" spans="1:26" ht="128.25" x14ac:dyDescent="0.2">
      <c r="A549" s="40" t="str">
        <f>Source!E247</f>
        <v>58,1</v>
      </c>
      <c r="B549" s="41" t="str">
        <f>Source!F247</f>
        <v>21.1.08.01-0151</v>
      </c>
      <c r="C549" s="41" t="str">
        <f>Source!G247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549" s="28" t="str">
        <f>Source!H247</f>
        <v>1000 м</v>
      </c>
      <c r="E549" s="29">
        <f>Source!I247</f>
        <v>7.5999999999999998E-2</v>
      </c>
      <c r="F549" s="30">
        <f>Source!AL247+Source!AM247+Source!AO247</f>
        <v>4284.0200000000004</v>
      </c>
      <c r="G549" s="35" t="s">
        <v>3</v>
      </c>
      <c r="H549" s="30">
        <f>ROUND(Source!AC247*Source!I247, 2)+ROUND(Source!AD247*Source!I247, 2)+ROUND(Source!AF247*Source!I247, 2)</f>
        <v>325.58999999999997</v>
      </c>
      <c r="I549" s="31"/>
      <c r="J549" s="31">
        <f>IF(Source!BC247&lt;&gt; 0, Source!BC247, 1)</f>
        <v>6.71</v>
      </c>
      <c r="K549" s="30">
        <f>Source!O247</f>
        <v>2184.6799999999998</v>
      </c>
      <c r="L549" s="36"/>
      <c r="S549">
        <f>ROUND((Source!FX247/100)*((ROUND(Source!AF247*Source!I247, 2)+ROUND(Source!AE247*Source!I247, 2))), 2)</f>
        <v>0</v>
      </c>
      <c r="T549">
        <f>Source!X247</f>
        <v>0</v>
      </c>
      <c r="U549">
        <f>ROUND((Source!FY247/100)*((ROUND(Source!AF247*Source!I247, 2)+ROUND(Source!AE247*Source!I247, 2))), 2)</f>
        <v>0</v>
      </c>
      <c r="V549">
        <f>Source!Y247</f>
        <v>0</v>
      </c>
      <c r="W549">
        <f>IF(Source!BI247&lt;=1,H549, 0)</f>
        <v>0</v>
      </c>
      <c r="X549">
        <f>IF(Source!BI247=2,H549, 0)</f>
        <v>325.58999999999997</v>
      </c>
      <c r="Y549">
        <f>IF(Source!BI247=3,H549, 0)</f>
        <v>0</v>
      </c>
      <c r="Z549">
        <f>IF(Source!BI247=4,H549, 0)</f>
        <v>0</v>
      </c>
    </row>
    <row r="550" spans="1:26" ht="15" x14ac:dyDescent="0.25">
      <c r="G550" s="45">
        <f>H542+H543+H545+H546+H547+SUM(H549:H549)</f>
        <v>440.03</v>
      </c>
      <c r="H550" s="45"/>
      <c r="J550" s="45">
        <f>K542+K543+K545+K546+K547+SUM(K549:K549)</f>
        <v>2952.54</v>
      </c>
      <c r="K550" s="45"/>
      <c r="L550" s="33">
        <f>Source!U246</f>
        <v>4.0964</v>
      </c>
      <c r="O550" s="19">
        <f>G550</f>
        <v>440.03</v>
      </c>
      <c r="P550" s="19">
        <f>J550</f>
        <v>2952.54</v>
      </c>
      <c r="Q550" s="19">
        <f>L550</f>
        <v>4.0964</v>
      </c>
      <c r="W550">
        <f>IF(Source!BI246&lt;=1,H542+H543+H545+H546+H547, 0)</f>
        <v>0</v>
      </c>
      <c r="X550">
        <f>IF(Source!BI246=2,H542+H543+H545+H546+H547, 0)</f>
        <v>114.44</v>
      </c>
      <c r="Y550">
        <f>IF(Source!BI246=3,H542+H543+H545+H546+H547, 0)</f>
        <v>0</v>
      </c>
      <c r="Z550">
        <f>IF(Source!BI246=4,H542+H543+H545+H546+H547, 0)</f>
        <v>0</v>
      </c>
    </row>
    <row r="551" spans="1:26" ht="28.5" x14ac:dyDescent="0.2">
      <c r="A551" s="38" t="str">
        <f>Source!E248</f>
        <v>59</v>
      </c>
      <c r="B551" s="39" t="str">
        <f>Source!F248</f>
        <v>м10-02-054-06</v>
      </c>
      <c r="C551" s="39" t="str">
        <f>Source!G248</f>
        <v>Электрическая проверка и настройка оборудования</v>
      </c>
      <c r="D551" s="22" t="str">
        <f>Source!H248</f>
        <v>КОМПЛ</v>
      </c>
      <c r="E551" s="10">
        <f>Source!I248</f>
        <v>1</v>
      </c>
      <c r="F551" s="23">
        <f>Source!AL248+Source!AM248+Source!AO248</f>
        <v>4.53</v>
      </c>
      <c r="G551" s="24"/>
      <c r="H551" s="23"/>
      <c r="I551" s="24" t="str">
        <f>Source!BO248</f>
        <v/>
      </c>
      <c r="J551" s="24"/>
      <c r="K551" s="23"/>
      <c r="L551" s="25"/>
      <c r="S551">
        <f>ROUND((Source!FX248/100)*((ROUND(Source!AF248*Source!I248, 2)+ROUND(Source!AE248*Source!I248, 2))), 2)</f>
        <v>3.55</v>
      </c>
      <c r="T551">
        <f>Source!X248</f>
        <v>23.83</v>
      </c>
      <c r="U551">
        <f>ROUND((Source!FY248/100)*((ROUND(Source!AF248*Source!I248, 2)+ROUND(Source!AE248*Source!I248, 2))), 2)</f>
        <v>2.66</v>
      </c>
      <c r="V551">
        <f>Source!Y248</f>
        <v>17.87</v>
      </c>
    </row>
    <row r="552" spans="1:26" ht="14.25" x14ac:dyDescent="0.2">
      <c r="A552" s="38"/>
      <c r="B552" s="39"/>
      <c r="C552" s="39" t="s">
        <v>999</v>
      </c>
      <c r="D552" s="22"/>
      <c r="E552" s="10"/>
      <c r="F552" s="23">
        <f>Source!AO248</f>
        <v>4.4400000000000004</v>
      </c>
      <c r="G552" s="24" t="str">
        <f>Source!DG248</f>
        <v/>
      </c>
      <c r="H552" s="23">
        <f>ROUND(Source!AF248*Source!I248, 2)</f>
        <v>4.4400000000000004</v>
      </c>
      <c r="I552" s="24"/>
      <c r="J552" s="24">
        <f>IF(Source!BA248&lt;&gt; 0, Source!BA248, 1)</f>
        <v>6.71</v>
      </c>
      <c r="K552" s="23">
        <f>Source!S248</f>
        <v>29.79</v>
      </c>
      <c r="L552" s="25"/>
      <c r="R552">
        <f>H552</f>
        <v>4.4400000000000004</v>
      </c>
    </row>
    <row r="553" spans="1:26" ht="14.25" x14ac:dyDescent="0.2">
      <c r="A553" s="38"/>
      <c r="B553" s="39"/>
      <c r="C553" s="39" t="s">
        <v>1006</v>
      </c>
      <c r="D553" s="22"/>
      <c r="E553" s="10"/>
      <c r="F553" s="23">
        <f>Source!AL248</f>
        <v>0.09</v>
      </c>
      <c r="G553" s="24" t="str">
        <f>Source!DD248</f>
        <v/>
      </c>
      <c r="H553" s="23">
        <f>ROUND(Source!AC248*Source!I248, 2)</f>
        <v>0.09</v>
      </c>
      <c r="I553" s="24"/>
      <c r="J553" s="24">
        <f>IF(Source!BC248&lt;&gt; 0, Source!BC248, 1)</f>
        <v>6.71</v>
      </c>
      <c r="K553" s="23">
        <f>Source!P248</f>
        <v>0.6</v>
      </c>
      <c r="L553" s="25"/>
    </row>
    <row r="554" spans="1:26" ht="14.25" x14ac:dyDescent="0.2">
      <c r="A554" s="38"/>
      <c r="B554" s="39"/>
      <c r="C554" s="39" t="s">
        <v>1001</v>
      </c>
      <c r="D554" s="22" t="s">
        <v>1002</v>
      </c>
      <c r="E554" s="10">
        <f>Source!BZ248</f>
        <v>80</v>
      </c>
      <c r="F554" s="42"/>
      <c r="G554" s="24"/>
      <c r="H554" s="23">
        <f>SUM(S551:S556)</f>
        <v>3.55</v>
      </c>
      <c r="I554" s="27"/>
      <c r="J554" s="21">
        <f>Source!AT248</f>
        <v>80</v>
      </c>
      <c r="K554" s="23">
        <f>SUM(T551:T556)</f>
        <v>23.83</v>
      </c>
      <c r="L554" s="25"/>
    </row>
    <row r="555" spans="1:26" ht="14.25" x14ac:dyDescent="0.2">
      <c r="A555" s="38"/>
      <c r="B555" s="39"/>
      <c r="C555" s="39" t="s">
        <v>1003</v>
      </c>
      <c r="D555" s="22" t="s">
        <v>1002</v>
      </c>
      <c r="E555" s="10">
        <f>Source!CA248</f>
        <v>60</v>
      </c>
      <c r="F555" s="42"/>
      <c r="G555" s="24"/>
      <c r="H555" s="23">
        <f>SUM(U551:U556)</f>
        <v>2.66</v>
      </c>
      <c r="I555" s="27"/>
      <c r="J555" s="21">
        <f>Source!AU248</f>
        <v>60</v>
      </c>
      <c r="K555" s="23">
        <f>SUM(V551:V556)</f>
        <v>17.87</v>
      </c>
      <c r="L555" s="25"/>
    </row>
    <row r="556" spans="1:26" ht="14.25" x14ac:dyDescent="0.2">
      <c r="A556" s="40"/>
      <c r="B556" s="41"/>
      <c r="C556" s="41" t="s">
        <v>1004</v>
      </c>
      <c r="D556" s="28" t="s">
        <v>1005</v>
      </c>
      <c r="E556" s="29">
        <f>Source!AQ248</f>
        <v>0.4</v>
      </c>
      <c r="F556" s="30"/>
      <c r="G556" s="31" t="str">
        <f>Source!DI248</f>
        <v/>
      </c>
      <c r="H556" s="30"/>
      <c r="I556" s="31"/>
      <c r="J556" s="31"/>
      <c r="K556" s="30"/>
      <c r="L556" s="32">
        <f>Source!U248</f>
        <v>0.4</v>
      </c>
    </row>
    <row r="557" spans="1:26" ht="15" x14ac:dyDescent="0.25">
      <c r="G557" s="45">
        <f>H552+H553+H554+H555</f>
        <v>10.74</v>
      </c>
      <c r="H557" s="45"/>
      <c r="J557" s="45">
        <f>K552+K553+K554+K555</f>
        <v>72.09</v>
      </c>
      <c r="K557" s="45"/>
      <c r="L557" s="33">
        <f>Source!U248</f>
        <v>0.4</v>
      </c>
      <c r="O557" s="19">
        <f>G557</f>
        <v>10.74</v>
      </c>
      <c r="P557" s="19">
        <f>J557</f>
        <v>72.09</v>
      </c>
      <c r="Q557" s="19">
        <f>L557</f>
        <v>0.4</v>
      </c>
      <c r="W557">
        <f>IF(Source!BI248&lt;=1,H552+H553+H554+H555, 0)</f>
        <v>0</v>
      </c>
      <c r="X557">
        <f>IF(Source!BI248=2,H552+H553+H554+H555, 0)</f>
        <v>10.74</v>
      </c>
      <c r="Y557">
        <f>IF(Source!BI248=3,H552+H553+H554+H555, 0)</f>
        <v>0</v>
      </c>
      <c r="Z557">
        <f>IF(Source!BI248=4,H552+H553+H554+H555, 0)</f>
        <v>0</v>
      </c>
    </row>
    <row r="558" spans="1:26" ht="15" x14ac:dyDescent="0.25">
      <c r="A558" s="47" t="str">
        <f>CONCATENATE("Итого по разделу: ",IF(Source!G250&lt;&gt;"Новый раздел", Source!G250, ""))</f>
        <v>Итого по разделу: 4 АПС</v>
      </c>
      <c r="B558" s="47"/>
      <c r="C558" s="47"/>
      <c r="D558" s="47"/>
      <c r="E558" s="47"/>
      <c r="F558" s="47"/>
      <c r="G558" s="46">
        <f>SUM(O508:O557)</f>
        <v>5406.0499999999984</v>
      </c>
      <c r="H558" s="46"/>
      <c r="I558" s="20"/>
      <c r="J558" s="46">
        <f>SUM(P508:P557)</f>
        <v>36274.569999999992</v>
      </c>
      <c r="K558" s="46"/>
      <c r="L558" s="33">
        <f>SUM(Q508:Q557)</f>
        <v>77.584400000000016</v>
      </c>
    </row>
    <row r="559" spans="1:26" ht="15" x14ac:dyDescent="0.25">
      <c r="A559" s="47" t="str">
        <f>CONCATENATE("Итого по локальной смете: ",IF(Source!G279&lt;&gt;"Новая локальная смета", Source!G279, ""))</f>
        <v xml:space="preserve">Итого по локальной смете: </v>
      </c>
      <c r="B559" s="47"/>
      <c r="C559" s="47"/>
      <c r="D559" s="47"/>
      <c r="E559" s="47"/>
      <c r="F559" s="47"/>
      <c r="G559" s="46">
        <f>SUM(O22:O558)</f>
        <v>425436.5</v>
      </c>
      <c r="H559" s="46"/>
      <c r="I559" s="20"/>
      <c r="J559" s="46">
        <f>SUM(P22:P558)</f>
        <v>2907715.6</v>
      </c>
      <c r="K559" s="46"/>
      <c r="L559" s="33">
        <f>SUM(Q22:Q558)</f>
        <v>2952.9123844000001</v>
      </c>
    </row>
    <row r="560" spans="1:26" ht="15" x14ac:dyDescent="0.25">
      <c r="C560" s="47" t="str">
        <f>Source!H307</f>
        <v>Итого</v>
      </c>
      <c r="D560" s="47"/>
      <c r="E560" s="47"/>
      <c r="F560" s="47"/>
      <c r="G560" s="47"/>
      <c r="H560" s="47"/>
      <c r="I560" s="47"/>
      <c r="J560" s="46">
        <f>IF(Source!F307=0, "", Source!F307)</f>
        <v>2907715.6</v>
      </c>
      <c r="K560" s="46"/>
    </row>
    <row r="561" spans="3:11" ht="14.25" x14ac:dyDescent="0.2">
      <c r="C561" s="55" t="str">
        <f>Source!H308</f>
        <v>НДС 18%</v>
      </c>
      <c r="D561" s="55"/>
      <c r="E561" s="55"/>
      <c r="F561" s="55"/>
      <c r="G561" s="55"/>
      <c r="H561" s="55"/>
      <c r="I561" s="55"/>
      <c r="J561" s="52">
        <f>IF(Source!F308=0, "", Source!F308)</f>
        <v>523388.81</v>
      </c>
      <c r="K561" s="52"/>
    </row>
    <row r="562" spans="3:11" ht="15" x14ac:dyDescent="0.25">
      <c r="C562" s="47" t="str">
        <f>Source!H309</f>
        <v>Всего</v>
      </c>
      <c r="D562" s="47"/>
      <c r="E562" s="47"/>
      <c r="F562" s="47"/>
      <c r="G562" s="47"/>
      <c r="H562" s="47"/>
      <c r="I562" s="47"/>
      <c r="J562" s="46">
        <f>IF(Source!F309=0, "", Source!F309)</f>
        <v>3431104.41</v>
      </c>
      <c r="K562" s="46"/>
    </row>
  </sheetData>
  <mergeCells count="217">
    <mergeCell ref="C11:F11"/>
    <mergeCell ref="G11:H11"/>
    <mergeCell ref="I11:J11"/>
    <mergeCell ref="K11:L11"/>
    <mergeCell ref="C12:F12"/>
    <mergeCell ref="G12:H12"/>
    <mergeCell ref="I12:J12"/>
    <mergeCell ref="K12:L12"/>
    <mergeCell ref="B4:K4"/>
    <mergeCell ref="B5:K5"/>
    <mergeCell ref="B7:K7"/>
    <mergeCell ref="G10:H10"/>
    <mergeCell ref="I10:J10"/>
    <mergeCell ref="C15:F15"/>
    <mergeCell ref="G15:H15"/>
    <mergeCell ref="I15:J15"/>
    <mergeCell ref="K15:L15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C560:I560"/>
    <mergeCell ref="J560:K560"/>
    <mergeCell ref="A559:F559"/>
    <mergeCell ref="A558:F558"/>
    <mergeCell ref="J550:K550"/>
    <mergeCell ref="G550:H550"/>
    <mergeCell ref="C17:F17"/>
    <mergeCell ref="G17:H17"/>
    <mergeCell ref="I17:J17"/>
    <mergeCell ref="K17:L17"/>
    <mergeCell ref="A19:L19"/>
    <mergeCell ref="F86:G86"/>
    <mergeCell ref="F85:G85"/>
    <mergeCell ref="J81:K81"/>
    <mergeCell ref="F79:G79"/>
    <mergeCell ref="F78:G78"/>
    <mergeCell ref="J72:K72"/>
    <mergeCell ref="G72:H72"/>
    <mergeCell ref="F70:G70"/>
    <mergeCell ref="C561:I561"/>
    <mergeCell ref="J561:K561"/>
    <mergeCell ref="C562:I562"/>
    <mergeCell ref="F29:G29"/>
    <mergeCell ref="F28:G28"/>
    <mergeCell ref="A22:L22"/>
    <mergeCell ref="F142:G142"/>
    <mergeCell ref="J136:K136"/>
    <mergeCell ref="G136:H136"/>
    <mergeCell ref="F134:G134"/>
    <mergeCell ref="F133:G133"/>
    <mergeCell ref="J127:K127"/>
    <mergeCell ref="G127:H127"/>
    <mergeCell ref="J46:K46"/>
    <mergeCell ref="G46:H46"/>
    <mergeCell ref="J37:K37"/>
    <mergeCell ref="G37:H37"/>
    <mergeCell ref="J31:K31"/>
    <mergeCell ref="G31:H31"/>
    <mergeCell ref="F69:G69"/>
    <mergeCell ref="J63:K63"/>
    <mergeCell ref="G63:H63"/>
    <mergeCell ref="F61:G61"/>
    <mergeCell ref="F60:G60"/>
    <mergeCell ref="J56:K56"/>
    <mergeCell ref="G56:H56"/>
    <mergeCell ref="F93:G93"/>
    <mergeCell ref="F125:G125"/>
    <mergeCell ref="F124:G124"/>
    <mergeCell ref="J118:K118"/>
    <mergeCell ref="G118:H118"/>
    <mergeCell ref="J108:K108"/>
    <mergeCell ref="G108:H108"/>
    <mergeCell ref="F143:G143"/>
    <mergeCell ref="J562:K562"/>
    <mergeCell ref="G264:H264"/>
    <mergeCell ref="J262:K262"/>
    <mergeCell ref="G262:H262"/>
    <mergeCell ref="J260:K260"/>
    <mergeCell ref="G260:H260"/>
    <mergeCell ref="J253:K253"/>
    <mergeCell ref="G253:H253"/>
    <mergeCell ref="J242:K242"/>
    <mergeCell ref="G81:H81"/>
    <mergeCell ref="J88:K88"/>
    <mergeCell ref="G88:H88"/>
    <mergeCell ref="J210:K210"/>
    <mergeCell ref="G210:H210"/>
    <mergeCell ref="J199:K199"/>
    <mergeCell ref="G199:H199"/>
    <mergeCell ref="F197:G197"/>
    <mergeCell ref="F196:G196"/>
    <mergeCell ref="J190:K190"/>
    <mergeCell ref="G190:H190"/>
    <mergeCell ref="F104:G104"/>
    <mergeCell ref="F103:G103"/>
    <mergeCell ref="J97:K97"/>
    <mergeCell ref="G97:H97"/>
    <mergeCell ref="F94:G94"/>
    <mergeCell ref="J170:K170"/>
    <mergeCell ref="G170:H170"/>
    <mergeCell ref="F156:G156"/>
    <mergeCell ref="F155:G155"/>
    <mergeCell ref="J149:K149"/>
    <mergeCell ref="G149:H149"/>
    <mergeCell ref="F188:G188"/>
    <mergeCell ref="F187:G187"/>
    <mergeCell ref="J181:K181"/>
    <mergeCell ref="G181:H181"/>
    <mergeCell ref="F176:G176"/>
    <mergeCell ref="F175:G175"/>
    <mergeCell ref="F227:G227"/>
    <mergeCell ref="J221:K221"/>
    <mergeCell ref="G221:H221"/>
    <mergeCell ref="F217:G217"/>
    <mergeCell ref="F216:G216"/>
    <mergeCell ref="A313:F313"/>
    <mergeCell ref="J312:K312"/>
    <mergeCell ref="G312:H312"/>
    <mergeCell ref="J306:K306"/>
    <mergeCell ref="G306:H306"/>
    <mergeCell ref="G242:H242"/>
    <mergeCell ref="F240:G240"/>
    <mergeCell ref="F239:G239"/>
    <mergeCell ref="J232:K232"/>
    <mergeCell ref="G232:H232"/>
    <mergeCell ref="F228:G228"/>
    <mergeCell ref="A266:L266"/>
    <mergeCell ref="G265:H265"/>
    <mergeCell ref="J265:K265"/>
    <mergeCell ref="A265:F265"/>
    <mergeCell ref="F280:G280"/>
    <mergeCell ref="J274:K274"/>
    <mergeCell ref="G274:H274"/>
    <mergeCell ref="J264:K264"/>
    <mergeCell ref="J331:K331"/>
    <mergeCell ref="G331:H331"/>
    <mergeCell ref="J322:K322"/>
    <mergeCell ref="G322:H322"/>
    <mergeCell ref="A314:L314"/>
    <mergeCell ref="G313:H313"/>
    <mergeCell ref="J313:K313"/>
    <mergeCell ref="G361:H361"/>
    <mergeCell ref="J355:K355"/>
    <mergeCell ref="J285:K285"/>
    <mergeCell ref="G285:H285"/>
    <mergeCell ref="F281:G281"/>
    <mergeCell ref="F302:G302"/>
    <mergeCell ref="F301:G301"/>
    <mergeCell ref="J295:K295"/>
    <mergeCell ref="G295:H295"/>
    <mergeCell ref="F292:G292"/>
    <mergeCell ref="F291:G291"/>
    <mergeCell ref="G355:H355"/>
    <mergeCell ref="J347:K347"/>
    <mergeCell ref="G347:H347"/>
    <mergeCell ref="J340:K340"/>
    <mergeCell ref="G340:H340"/>
    <mergeCell ref="G437:H437"/>
    <mergeCell ref="J426:K426"/>
    <mergeCell ref="G426:H426"/>
    <mergeCell ref="J482:K482"/>
    <mergeCell ref="G482:H482"/>
    <mergeCell ref="J472:K472"/>
    <mergeCell ref="G472:H472"/>
    <mergeCell ref="J459:K459"/>
    <mergeCell ref="G459:H459"/>
    <mergeCell ref="G386:H386"/>
    <mergeCell ref="J378:K378"/>
    <mergeCell ref="G378:H378"/>
    <mergeCell ref="J367:K367"/>
    <mergeCell ref="G367:H367"/>
    <mergeCell ref="J361:K361"/>
    <mergeCell ref="A507:F507"/>
    <mergeCell ref="J506:K506"/>
    <mergeCell ref="G506:H506"/>
    <mergeCell ref="J500:K500"/>
    <mergeCell ref="G500:H500"/>
    <mergeCell ref="J386:K386"/>
    <mergeCell ref="J539:K539"/>
    <mergeCell ref="G539:H539"/>
    <mergeCell ref="J531:K531"/>
    <mergeCell ref="G531:H531"/>
    <mergeCell ref="J522:K522"/>
    <mergeCell ref="G522:H522"/>
    <mergeCell ref="J514:K514"/>
    <mergeCell ref="G514:H514"/>
    <mergeCell ref="A508:L508"/>
    <mergeCell ref="J416:K416"/>
    <mergeCell ref="G416:H416"/>
    <mergeCell ref="J405:K405"/>
    <mergeCell ref="G405:H405"/>
    <mergeCell ref="J397:K397"/>
    <mergeCell ref="G397:H397"/>
    <mergeCell ref="J449:K449"/>
    <mergeCell ref="G449:H449"/>
    <mergeCell ref="J437:K437"/>
    <mergeCell ref="J494:K494"/>
    <mergeCell ref="G494:H494"/>
    <mergeCell ref="J488:K488"/>
    <mergeCell ref="G488:H488"/>
    <mergeCell ref="G559:H559"/>
    <mergeCell ref="J559:K559"/>
    <mergeCell ref="G558:H558"/>
    <mergeCell ref="J558:K558"/>
    <mergeCell ref="J557:K557"/>
    <mergeCell ref="G557:H557"/>
    <mergeCell ref="G507:H507"/>
    <mergeCell ref="J507:K507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74"/>
  <sheetViews>
    <sheetView workbookViewId="0">
      <selection activeCell="K12" sqref="K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ht="369.75" x14ac:dyDescent="0.2">
      <c r="A12" s="1">
        <v>1</v>
      </c>
      <c r="B12" s="1">
        <v>369</v>
      </c>
      <c r="C12" s="1">
        <v>0</v>
      </c>
      <c r="D12" s="1">
        <f>ROW(A311)</f>
        <v>311</v>
      </c>
      <c r="E12" s="1">
        <v>0</v>
      </c>
      <c r="F12" s="1" t="s">
        <v>4</v>
      </c>
      <c r="G12" s="44" t="s">
        <v>1008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B311</f>
        <v>369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</v>
      </c>
      <c r="G18" s="2" t="str">
        <f t="shared" si="0"/>
        <v xml:space="preserve"> на ремонт  помещений учебных аудиторий №3, №8, №11, №12, №13, №15, №16 2-го этажа корпуса "К" НИЯУ МИФИ по адресу: г. Москва, Каширское шоссе, д.31, стр.46
</v>
      </c>
      <c r="H18" s="2"/>
      <c r="I18" s="2"/>
      <c r="J18" s="2"/>
      <c r="K18" s="2"/>
      <c r="L18" s="2"/>
      <c r="M18" s="2"/>
      <c r="N18" s="2"/>
      <c r="O18" s="2">
        <f t="shared" ref="O18:AT18" si="1">O311</f>
        <v>2585712.58</v>
      </c>
      <c r="P18" s="2">
        <f t="shared" si="1"/>
        <v>2354271.9</v>
      </c>
      <c r="Q18" s="2">
        <f t="shared" si="1"/>
        <v>21862.65</v>
      </c>
      <c r="R18" s="2">
        <f t="shared" si="1"/>
        <v>4669.67</v>
      </c>
      <c r="S18" s="2">
        <f t="shared" si="1"/>
        <v>209578.03</v>
      </c>
      <c r="T18" s="2">
        <f t="shared" si="1"/>
        <v>0</v>
      </c>
      <c r="U18" s="2">
        <f t="shared" si="1"/>
        <v>2952.9123844000001</v>
      </c>
      <c r="V18" s="2">
        <f t="shared" si="1"/>
        <v>60.008635349999992</v>
      </c>
      <c r="W18" s="2">
        <f t="shared" si="1"/>
        <v>0</v>
      </c>
      <c r="X18" s="2">
        <f t="shared" si="1"/>
        <v>190875.1</v>
      </c>
      <c r="Y18" s="2">
        <f t="shared" si="1"/>
        <v>115186.57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2907715.6</v>
      </c>
      <c r="AS18" s="2">
        <f t="shared" si="1"/>
        <v>1902339.6</v>
      </c>
      <c r="AT18" s="2">
        <f t="shared" si="1"/>
        <v>925236.9</v>
      </c>
      <c r="AU18" s="2">
        <f t="shared" ref="AU18:BZ18" si="2">AU311</f>
        <v>80139.100000000006</v>
      </c>
      <c r="AV18" s="2">
        <f t="shared" si="2"/>
        <v>2354271.9</v>
      </c>
      <c r="AW18" s="2">
        <f t="shared" si="2"/>
        <v>2354271.9</v>
      </c>
      <c r="AX18" s="2">
        <f t="shared" si="2"/>
        <v>0</v>
      </c>
      <c r="AY18" s="2">
        <f t="shared" si="2"/>
        <v>2354271.9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CA311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DG311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EM311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FS311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ROW(A279)</f>
        <v>279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B279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O279</f>
        <v>2585712.58</v>
      </c>
      <c r="P22" s="2">
        <f t="shared" si="8"/>
        <v>2354271.9</v>
      </c>
      <c r="Q22" s="2">
        <f t="shared" si="8"/>
        <v>21862.65</v>
      </c>
      <c r="R22" s="2">
        <f t="shared" si="8"/>
        <v>4669.67</v>
      </c>
      <c r="S22" s="2">
        <f t="shared" si="8"/>
        <v>209578.03</v>
      </c>
      <c r="T22" s="2">
        <f t="shared" si="8"/>
        <v>0</v>
      </c>
      <c r="U22" s="2">
        <f t="shared" si="8"/>
        <v>2952.9123844000001</v>
      </c>
      <c r="V22" s="2">
        <f t="shared" si="8"/>
        <v>60.008635349999992</v>
      </c>
      <c r="W22" s="2">
        <f t="shared" si="8"/>
        <v>0</v>
      </c>
      <c r="X22" s="2">
        <f t="shared" si="8"/>
        <v>190875.1</v>
      </c>
      <c r="Y22" s="2">
        <f t="shared" si="8"/>
        <v>115186.57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2907715.6</v>
      </c>
      <c r="AS22" s="2">
        <f t="shared" si="8"/>
        <v>1902339.6</v>
      </c>
      <c r="AT22" s="2">
        <f t="shared" si="8"/>
        <v>925236.9</v>
      </c>
      <c r="AU22" s="2">
        <f t="shared" ref="AU22:BZ22" si="9">AU279</f>
        <v>80139.100000000006</v>
      </c>
      <c r="AV22" s="2">
        <f t="shared" si="9"/>
        <v>2354271.9</v>
      </c>
      <c r="AW22" s="2">
        <f t="shared" si="9"/>
        <v>2354271.9</v>
      </c>
      <c r="AX22" s="2">
        <f t="shared" si="9"/>
        <v>0</v>
      </c>
      <c r="AY22" s="2">
        <f t="shared" si="9"/>
        <v>2354271.9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CA279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DG279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EM279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FS279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ROW(A87)</f>
        <v>87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B87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O87</f>
        <v>1426498.22</v>
      </c>
      <c r="P26" s="2">
        <f t="shared" si="15"/>
        <v>1297161.3</v>
      </c>
      <c r="Q26" s="2">
        <f t="shared" si="15"/>
        <v>16760.07</v>
      </c>
      <c r="R26" s="2">
        <f t="shared" si="15"/>
        <v>4048.65</v>
      </c>
      <c r="S26" s="2">
        <f t="shared" si="15"/>
        <v>112576.85</v>
      </c>
      <c r="T26" s="2">
        <f t="shared" si="15"/>
        <v>0</v>
      </c>
      <c r="U26" s="2">
        <f t="shared" si="15"/>
        <v>1886.8039583999998</v>
      </c>
      <c r="V26" s="2">
        <f t="shared" si="15"/>
        <v>52.636809749999991</v>
      </c>
      <c r="W26" s="2">
        <f t="shared" si="15"/>
        <v>0</v>
      </c>
      <c r="X26" s="2">
        <f t="shared" si="15"/>
        <v>110372.33</v>
      </c>
      <c r="Y26" s="2">
        <f t="shared" si="15"/>
        <v>61955.29</v>
      </c>
      <c r="Z26" s="2">
        <f t="shared" si="15"/>
        <v>0</v>
      </c>
      <c r="AA26" s="2">
        <f t="shared" si="15"/>
        <v>0</v>
      </c>
      <c r="AB26" s="2">
        <f t="shared" si="15"/>
        <v>1426498.22</v>
      </c>
      <c r="AC26" s="2">
        <f t="shared" si="15"/>
        <v>1297161.3</v>
      </c>
      <c r="AD26" s="2">
        <f t="shared" si="15"/>
        <v>16760.07</v>
      </c>
      <c r="AE26" s="2">
        <f t="shared" si="15"/>
        <v>4048.65</v>
      </c>
      <c r="AF26" s="2">
        <f t="shared" si="15"/>
        <v>112576.85</v>
      </c>
      <c r="AG26" s="2">
        <f t="shared" si="15"/>
        <v>0</v>
      </c>
      <c r="AH26" s="2">
        <f t="shared" si="15"/>
        <v>1886.8039583999998</v>
      </c>
      <c r="AI26" s="2">
        <f t="shared" si="15"/>
        <v>52.636809749999991</v>
      </c>
      <c r="AJ26" s="2">
        <f t="shared" si="15"/>
        <v>0</v>
      </c>
      <c r="AK26" s="2">
        <f t="shared" si="15"/>
        <v>110372.33</v>
      </c>
      <c r="AL26" s="2">
        <f t="shared" si="15"/>
        <v>61955.29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1614767.19</v>
      </c>
      <c r="AS26" s="2">
        <f t="shared" si="15"/>
        <v>1614767.19</v>
      </c>
      <c r="AT26" s="2">
        <f t="shared" si="15"/>
        <v>0</v>
      </c>
      <c r="AU26" s="2">
        <f t="shared" ref="AU26:BZ26" si="16">AU87</f>
        <v>0</v>
      </c>
      <c r="AV26" s="2">
        <f t="shared" si="16"/>
        <v>1297161.3</v>
      </c>
      <c r="AW26" s="2">
        <f t="shared" si="16"/>
        <v>1297161.3</v>
      </c>
      <c r="AX26" s="2">
        <f t="shared" si="16"/>
        <v>0</v>
      </c>
      <c r="AY26" s="2">
        <f t="shared" si="16"/>
        <v>1297161.3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CA87</f>
        <v>1614767.19</v>
      </c>
      <c r="CB26" s="2">
        <f t="shared" si="17"/>
        <v>1614767.19</v>
      </c>
      <c r="CC26" s="2">
        <f t="shared" si="17"/>
        <v>0</v>
      </c>
      <c r="CD26" s="2">
        <f t="shared" si="17"/>
        <v>0</v>
      </c>
      <c r="CE26" s="2">
        <f t="shared" si="17"/>
        <v>1297161.3</v>
      </c>
      <c r="CF26" s="2">
        <f t="shared" si="17"/>
        <v>1297161.3</v>
      </c>
      <c r="CG26" s="2">
        <f t="shared" si="17"/>
        <v>0</v>
      </c>
      <c r="CH26" s="2">
        <f t="shared" si="17"/>
        <v>1297161.3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DG87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EM87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FS87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14</v>
      </c>
      <c r="F28" t="s">
        <v>15</v>
      </c>
      <c r="G28" t="s">
        <v>16</v>
      </c>
      <c r="H28" t="s">
        <v>17</v>
      </c>
      <c r="I28">
        <f>ROUND(20.4/100,9)</f>
        <v>0.20399999999999999</v>
      </c>
      <c r="J28">
        <v>0</v>
      </c>
      <c r="O28">
        <f t="shared" ref="O28:O59" si="21">ROUND(CP28,2)</f>
        <v>1481.88</v>
      </c>
      <c r="P28">
        <f t="shared" ref="P28:P59" si="22">ROUND(CQ28*I28,2)</f>
        <v>0</v>
      </c>
      <c r="Q28">
        <f t="shared" ref="Q28:Q59" si="23">ROUND(CR28*I28,2)</f>
        <v>331.19</v>
      </c>
      <c r="R28">
        <f t="shared" ref="R28:R59" si="24">ROUND(CS28*I28,2)</f>
        <v>143.03</v>
      </c>
      <c r="S28">
        <f t="shared" ref="S28:S59" si="25">ROUND(CT28*I28,2)</f>
        <v>1150.69</v>
      </c>
      <c r="T28">
        <f t="shared" ref="T28:T59" si="26">ROUND(CU28*I28,2)</f>
        <v>0</v>
      </c>
      <c r="U28">
        <f t="shared" ref="U28:U59" si="27">CV28*I28</f>
        <v>21.197639999999996</v>
      </c>
      <c r="V28">
        <f t="shared" ref="V28:V59" si="28">CW28*I28</f>
        <v>1.5789599999999999</v>
      </c>
      <c r="W28">
        <f t="shared" ref="W28:W59" si="29">ROUND(CX28*I28,2)</f>
        <v>0</v>
      </c>
      <c r="X28">
        <f t="shared" ref="X28:X59" si="30">ROUND(CY28,2)</f>
        <v>1280.78</v>
      </c>
      <c r="Y28">
        <f t="shared" ref="Y28:Y59" si="31">ROUND(CZ28,2)</f>
        <v>776.23</v>
      </c>
      <c r="AA28">
        <v>39096431</v>
      </c>
      <c r="AB28">
        <f t="shared" ref="AB28:AB59" si="32">ROUND((AC28+AD28+AF28),2)</f>
        <v>1082.58</v>
      </c>
      <c r="AC28">
        <f t="shared" ref="AC28:AC33" si="33">ROUND((ES28),2)</f>
        <v>0</v>
      </c>
      <c r="AD28">
        <f t="shared" ref="AD28:AD33" si="34">ROUND((((ET28)-(EU28))+AE28),2)</f>
        <v>241.95</v>
      </c>
      <c r="AE28">
        <f t="shared" ref="AE28:AF33" si="35">ROUND((EU28),2)</f>
        <v>104.49</v>
      </c>
      <c r="AF28">
        <f t="shared" si="35"/>
        <v>840.63</v>
      </c>
      <c r="AG28">
        <f t="shared" ref="AG28:AG59" si="36">ROUND((AP28),2)</f>
        <v>0</v>
      </c>
      <c r="AH28">
        <f t="shared" ref="AH28:AI33" si="37">(EW28)</f>
        <v>103.91</v>
      </c>
      <c r="AI28">
        <f t="shared" si="37"/>
        <v>7.74</v>
      </c>
      <c r="AJ28">
        <f t="shared" ref="AJ28:AJ59" si="38">ROUND((AS28),2)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6.71</v>
      </c>
      <c r="BA28">
        <v>6.71</v>
      </c>
      <c r="BB28">
        <v>6.71</v>
      </c>
      <c r="BC28">
        <v>6.71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18</v>
      </c>
      <c r="BM28">
        <v>46001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6.71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110</v>
      </c>
      <c r="CA28">
        <v>70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59" si="39">(P28+Q28+S28)</f>
        <v>1481.88</v>
      </c>
      <c r="CQ28">
        <f t="shared" ref="CQ28:CQ59" si="40">AC28*BC28</f>
        <v>0</v>
      </c>
      <c r="CR28">
        <f t="shared" ref="CR28:CR59" si="41">AD28*BB28</f>
        <v>1623.4845</v>
      </c>
      <c r="CS28">
        <f t="shared" ref="CS28:CS59" si="42">AE28*BS28</f>
        <v>701.12789999999995</v>
      </c>
      <c r="CT28">
        <f t="shared" ref="CT28:CT59" si="43">AF28*BA28</f>
        <v>5640.6273000000001</v>
      </c>
      <c r="CU28">
        <f t="shared" ref="CU28:CU59" si="44">AG28</f>
        <v>0</v>
      </c>
      <c r="CV28">
        <f t="shared" ref="CV28:CV59" si="45">AH28</f>
        <v>103.91</v>
      </c>
      <c r="CW28">
        <f t="shared" ref="CW28:CW59" si="46">AI28</f>
        <v>7.74</v>
      </c>
      <c r="CX28">
        <f t="shared" ref="CX28:CX59" si="47">AJ28</f>
        <v>0</v>
      </c>
      <c r="CY28">
        <f t="shared" ref="CY28:CY59" si="48">(((S28+R28)*AT28)/100)</f>
        <v>1280.7828</v>
      </c>
      <c r="CZ28">
        <f t="shared" ref="CZ28:CZ59" si="49">(((S28+R28)*AU28)/100)</f>
        <v>776.23199999999997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17</v>
      </c>
      <c r="DW28" t="s">
        <v>17</v>
      </c>
      <c r="DX28">
        <v>100</v>
      </c>
      <c r="EE28">
        <v>39174571</v>
      </c>
      <c r="EF28">
        <v>2</v>
      </c>
      <c r="EG28" t="s">
        <v>19</v>
      </c>
      <c r="EH28">
        <v>0</v>
      </c>
      <c r="EI28" t="s">
        <v>3</v>
      </c>
      <c r="EJ28">
        <v>1</v>
      </c>
      <c r="EK28">
        <v>46001</v>
      </c>
      <c r="EL28" t="s">
        <v>20</v>
      </c>
      <c r="EM28" t="s">
        <v>21</v>
      </c>
      <c r="EO28" t="s">
        <v>3</v>
      </c>
      <c r="EQ28">
        <v>0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59" si="50">ROUND(IF(AND(BH28=3,BI28=3),P28,0),2)</f>
        <v>0</v>
      </c>
      <c r="FS28">
        <v>0</v>
      </c>
      <c r="FT28" t="s">
        <v>22</v>
      </c>
      <c r="FU28" t="s">
        <v>23</v>
      </c>
      <c r="FX28">
        <v>99</v>
      </c>
      <c r="FY28">
        <v>59.5</v>
      </c>
      <c r="GA28" t="s">
        <v>3</v>
      </c>
      <c r="GD28">
        <v>0</v>
      </c>
      <c r="GF28">
        <v>714913370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51">ROUND(IF(AND(BH28=3,BI28=3,FS28&lt;&gt;0),P28,0),2)</f>
        <v>0</v>
      </c>
      <c r="GM28">
        <f t="shared" ref="GM28:GM59" si="52">ROUND(O28+X28+Y28+GK28,2)+GX28</f>
        <v>3538.89</v>
      </c>
      <c r="GN28">
        <f t="shared" ref="GN28:GN59" si="53">IF(OR(BI28=0,BI28=1),ROUND(O28+X28+Y28+GK28,2),0)</f>
        <v>3538.89</v>
      </c>
      <c r="GO28">
        <f t="shared" ref="GO28:GO59" si="54">IF(BI28=2,ROUND(O28+X28+Y28+GK28,2),0)</f>
        <v>0</v>
      </c>
      <c r="GP28">
        <f t="shared" ref="GP28:GP59" si="55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59" si="56">ROUND(GT28,2)</f>
        <v>0</v>
      </c>
      <c r="GW28">
        <v>1</v>
      </c>
      <c r="GX28">
        <f t="shared" ref="GX28:GX59" si="57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ROW(SmtRes!A4)</f>
        <v>4</v>
      </c>
      <c r="D29">
        <f>ROW(EtalonRes!A5)</f>
        <v>5</v>
      </c>
      <c r="E29" t="s">
        <v>24</v>
      </c>
      <c r="F29" t="s">
        <v>25</v>
      </c>
      <c r="G29" t="s">
        <v>26</v>
      </c>
      <c r="H29" t="s">
        <v>27</v>
      </c>
      <c r="I29">
        <v>1.9148000000000001</v>
      </c>
      <c r="J29">
        <v>0</v>
      </c>
      <c r="O29">
        <f t="shared" si="21"/>
        <v>377.87</v>
      </c>
      <c r="P29">
        <f t="shared" si="22"/>
        <v>0</v>
      </c>
      <c r="Q29">
        <f t="shared" si="23"/>
        <v>0</v>
      </c>
      <c r="R29">
        <f t="shared" si="24"/>
        <v>0</v>
      </c>
      <c r="S29">
        <f t="shared" si="25"/>
        <v>377.87</v>
      </c>
      <c r="T29">
        <f t="shared" si="26"/>
        <v>0</v>
      </c>
      <c r="U29">
        <f t="shared" si="27"/>
        <v>7.2187960000000002</v>
      </c>
      <c r="V29">
        <f t="shared" si="28"/>
        <v>0</v>
      </c>
      <c r="W29">
        <f t="shared" si="29"/>
        <v>0</v>
      </c>
      <c r="X29">
        <f t="shared" si="30"/>
        <v>302.3</v>
      </c>
      <c r="Y29">
        <f t="shared" si="31"/>
        <v>256.95</v>
      </c>
      <c r="AA29">
        <v>39096431</v>
      </c>
      <c r="AB29">
        <f t="shared" si="32"/>
        <v>29.41</v>
      </c>
      <c r="AC29">
        <f t="shared" si="33"/>
        <v>0</v>
      </c>
      <c r="AD29">
        <f t="shared" si="34"/>
        <v>0</v>
      </c>
      <c r="AE29">
        <f t="shared" si="35"/>
        <v>0</v>
      </c>
      <c r="AF29">
        <f t="shared" si="35"/>
        <v>29.41</v>
      </c>
      <c r="AG29">
        <f t="shared" si="36"/>
        <v>0</v>
      </c>
      <c r="AH29">
        <f t="shared" si="37"/>
        <v>3.77</v>
      </c>
      <c r="AI29">
        <f t="shared" si="37"/>
        <v>0</v>
      </c>
      <c r="AJ29">
        <f t="shared" si="38"/>
        <v>0</v>
      </c>
      <c r="AK29">
        <v>29.41</v>
      </c>
      <c r="AL29">
        <v>0</v>
      </c>
      <c r="AM29">
        <v>0</v>
      </c>
      <c r="AN29">
        <v>0</v>
      </c>
      <c r="AO29">
        <v>29.41</v>
      </c>
      <c r="AP29">
        <v>0</v>
      </c>
      <c r="AQ29">
        <v>3.77</v>
      </c>
      <c r="AR29">
        <v>0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6.71</v>
      </c>
      <c r="BA29">
        <v>6.71</v>
      </c>
      <c r="BB29">
        <v>6.71</v>
      </c>
      <c r="BC29">
        <v>6.71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28</v>
      </c>
      <c r="BM29">
        <v>57001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6.71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9"/>
        <v>377.87</v>
      </c>
      <c r="CQ29">
        <f t="shared" si="40"/>
        <v>0</v>
      </c>
      <c r="CR29">
        <f t="shared" si="41"/>
        <v>0</v>
      </c>
      <c r="CS29">
        <f t="shared" si="42"/>
        <v>0</v>
      </c>
      <c r="CT29">
        <f t="shared" si="43"/>
        <v>197.34110000000001</v>
      </c>
      <c r="CU29">
        <f t="shared" si="44"/>
        <v>0</v>
      </c>
      <c r="CV29">
        <f t="shared" si="45"/>
        <v>3.77</v>
      </c>
      <c r="CW29">
        <f t="shared" si="46"/>
        <v>0</v>
      </c>
      <c r="CX29">
        <f t="shared" si="47"/>
        <v>0</v>
      </c>
      <c r="CY29">
        <f t="shared" si="48"/>
        <v>302.29599999999999</v>
      </c>
      <c r="CZ29">
        <f t="shared" si="49"/>
        <v>256.95159999999998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27</v>
      </c>
      <c r="DW29" t="s">
        <v>27</v>
      </c>
      <c r="DX29">
        <v>100</v>
      </c>
      <c r="EE29">
        <v>39174582</v>
      </c>
      <c r="EF29">
        <v>6</v>
      </c>
      <c r="EG29" t="s">
        <v>29</v>
      </c>
      <c r="EH29">
        <v>0</v>
      </c>
      <c r="EI29" t="s">
        <v>3</v>
      </c>
      <c r="EJ29">
        <v>1</v>
      </c>
      <c r="EK29">
        <v>57001</v>
      </c>
      <c r="EL29" t="s">
        <v>30</v>
      </c>
      <c r="EM29" t="s">
        <v>31</v>
      </c>
      <c r="EO29" t="s">
        <v>3</v>
      </c>
      <c r="EQ29">
        <v>0</v>
      </c>
      <c r="ER29">
        <v>29.41</v>
      </c>
      <c r="ES29">
        <v>0</v>
      </c>
      <c r="ET29">
        <v>0</v>
      </c>
      <c r="EU29">
        <v>0</v>
      </c>
      <c r="EV29">
        <v>29.41</v>
      </c>
      <c r="EW29">
        <v>3.77</v>
      </c>
      <c r="EX29">
        <v>0</v>
      </c>
      <c r="EY29">
        <v>0</v>
      </c>
      <c r="FQ29">
        <v>0</v>
      </c>
      <c r="FR29">
        <f t="shared" si="50"/>
        <v>0</v>
      </c>
      <c r="FS29">
        <v>0</v>
      </c>
      <c r="FX29">
        <v>80</v>
      </c>
      <c r="FY29">
        <v>68</v>
      </c>
      <c r="GA29" t="s">
        <v>3</v>
      </c>
      <c r="GD29">
        <v>0</v>
      </c>
      <c r="GF29">
        <v>-1431764135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51"/>
        <v>0</v>
      </c>
      <c r="GM29">
        <f t="shared" si="52"/>
        <v>937.12</v>
      </c>
      <c r="GN29">
        <f t="shared" si="53"/>
        <v>937.12</v>
      </c>
      <c r="GO29">
        <f t="shared" si="54"/>
        <v>0</v>
      </c>
      <c r="GP29">
        <f t="shared" si="55"/>
        <v>0</v>
      </c>
      <c r="GR29">
        <v>0</v>
      </c>
      <c r="GS29">
        <v>0</v>
      </c>
      <c r="GT29">
        <v>0</v>
      </c>
      <c r="GU29" t="s">
        <v>3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ROW(SmtRes!A7)</f>
        <v>7</v>
      </c>
      <c r="D30">
        <f>ROW(EtalonRes!A9)</f>
        <v>9</v>
      </c>
      <c r="E30" t="s">
        <v>32</v>
      </c>
      <c r="F30" t="s">
        <v>33</v>
      </c>
      <c r="G30" t="s">
        <v>34</v>
      </c>
      <c r="H30" t="s">
        <v>17</v>
      </c>
      <c r="I30">
        <f>ROUND(331.8/100,9)</f>
        <v>3.3180000000000001</v>
      </c>
      <c r="J30">
        <v>0</v>
      </c>
      <c r="O30">
        <f t="shared" si="21"/>
        <v>2068.3000000000002</v>
      </c>
      <c r="P30">
        <f t="shared" si="22"/>
        <v>0</v>
      </c>
      <c r="Q30">
        <f t="shared" si="23"/>
        <v>90.39</v>
      </c>
      <c r="R30">
        <f t="shared" si="24"/>
        <v>39.18</v>
      </c>
      <c r="S30">
        <f t="shared" si="25"/>
        <v>1977.91</v>
      </c>
      <c r="T30">
        <f t="shared" si="26"/>
        <v>0</v>
      </c>
      <c r="U30">
        <f t="shared" si="27"/>
        <v>37.792020000000001</v>
      </c>
      <c r="V30">
        <f t="shared" si="28"/>
        <v>0.43134</v>
      </c>
      <c r="W30">
        <f t="shared" si="29"/>
        <v>0</v>
      </c>
      <c r="X30">
        <f t="shared" si="30"/>
        <v>1613.67</v>
      </c>
      <c r="Y30">
        <f t="shared" si="31"/>
        <v>1371.62</v>
      </c>
      <c r="AA30">
        <v>39096431</v>
      </c>
      <c r="AB30">
        <f t="shared" si="32"/>
        <v>92.9</v>
      </c>
      <c r="AC30">
        <f t="shared" si="33"/>
        <v>0</v>
      </c>
      <c r="AD30">
        <f t="shared" si="34"/>
        <v>4.0599999999999996</v>
      </c>
      <c r="AE30">
        <f t="shared" si="35"/>
        <v>1.76</v>
      </c>
      <c r="AF30">
        <f t="shared" si="35"/>
        <v>88.84</v>
      </c>
      <c r="AG30">
        <f t="shared" si="36"/>
        <v>0</v>
      </c>
      <c r="AH30">
        <f t="shared" si="37"/>
        <v>11.39</v>
      </c>
      <c r="AI30">
        <f t="shared" si="37"/>
        <v>0.13</v>
      </c>
      <c r="AJ30">
        <f t="shared" si="38"/>
        <v>0</v>
      </c>
      <c r="AK30">
        <v>92.9</v>
      </c>
      <c r="AL30">
        <v>0</v>
      </c>
      <c r="AM30">
        <v>4.0599999999999996</v>
      </c>
      <c r="AN30">
        <v>1.76</v>
      </c>
      <c r="AO30">
        <v>88.84</v>
      </c>
      <c r="AP30">
        <v>0</v>
      </c>
      <c r="AQ30">
        <v>11.39</v>
      </c>
      <c r="AR30">
        <v>0.13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6.71</v>
      </c>
      <c r="BA30">
        <v>6.71</v>
      </c>
      <c r="BB30">
        <v>6.71</v>
      </c>
      <c r="BC30">
        <v>6.71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35</v>
      </c>
      <c r="BM30">
        <v>57001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6.71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68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9"/>
        <v>2068.3000000000002</v>
      </c>
      <c r="CQ30">
        <f t="shared" si="40"/>
        <v>0</v>
      </c>
      <c r="CR30">
        <f t="shared" si="41"/>
        <v>27.242599999999996</v>
      </c>
      <c r="CS30">
        <f t="shared" si="42"/>
        <v>11.8096</v>
      </c>
      <c r="CT30">
        <f t="shared" si="43"/>
        <v>596.1164</v>
      </c>
      <c r="CU30">
        <f t="shared" si="44"/>
        <v>0</v>
      </c>
      <c r="CV30">
        <f t="shared" si="45"/>
        <v>11.39</v>
      </c>
      <c r="CW30">
        <f t="shared" si="46"/>
        <v>0.13</v>
      </c>
      <c r="CX30">
        <f t="shared" si="47"/>
        <v>0</v>
      </c>
      <c r="CY30">
        <f t="shared" si="48"/>
        <v>1613.672</v>
      </c>
      <c r="CZ30">
        <f t="shared" si="49"/>
        <v>1371.6212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17</v>
      </c>
      <c r="DW30" t="s">
        <v>17</v>
      </c>
      <c r="DX30">
        <v>100</v>
      </c>
      <c r="EE30">
        <v>39174582</v>
      </c>
      <c r="EF30">
        <v>6</v>
      </c>
      <c r="EG30" t="s">
        <v>29</v>
      </c>
      <c r="EH30">
        <v>0</v>
      </c>
      <c r="EI30" t="s">
        <v>3</v>
      </c>
      <c r="EJ30">
        <v>1</v>
      </c>
      <c r="EK30">
        <v>57001</v>
      </c>
      <c r="EL30" t="s">
        <v>30</v>
      </c>
      <c r="EM30" t="s">
        <v>31</v>
      </c>
      <c r="EO30" t="s">
        <v>3</v>
      </c>
      <c r="EQ30">
        <v>0</v>
      </c>
      <c r="ER30">
        <v>92.9</v>
      </c>
      <c r="ES30">
        <v>0</v>
      </c>
      <c r="ET30">
        <v>4.0599999999999996</v>
      </c>
      <c r="EU30">
        <v>1.76</v>
      </c>
      <c r="EV30">
        <v>88.84</v>
      </c>
      <c r="EW30">
        <v>11.39</v>
      </c>
      <c r="EX30">
        <v>0.13</v>
      </c>
      <c r="EY30">
        <v>0</v>
      </c>
      <c r="FQ30">
        <v>0</v>
      </c>
      <c r="FR30">
        <f t="shared" si="50"/>
        <v>0</v>
      </c>
      <c r="FS30">
        <v>0</v>
      </c>
      <c r="FX30">
        <v>80</v>
      </c>
      <c r="FY30">
        <v>68</v>
      </c>
      <c r="GA30" t="s">
        <v>3</v>
      </c>
      <c r="GD30">
        <v>0</v>
      </c>
      <c r="GF30">
        <v>537707280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51"/>
        <v>0</v>
      </c>
      <c r="GM30">
        <f t="shared" si="52"/>
        <v>5053.59</v>
      </c>
      <c r="GN30">
        <f t="shared" si="53"/>
        <v>5053.59</v>
      </c>
      <c r="GO30">
        <f t="shared" si="54"/>
        <v>0</v>
      </c>
      <c r="GP30">
        <f t="shared" si="55"/>
        <v>0</v>
      </c>
      <c r="GR30">
        <v>0</v>
      </c>
      <c r="GS30">
        <v>3</v>
      </c>
      <c r="GT30">
        <v>0</v>
      </c>
      <c r="GU30" t="s">
        <v>3</v>
      </c>
      <c r="GV30">
        <f t="shared" si="56"/>
        <v>0</v>
      </c>
      <c r="GW30">
        <v>1</v>
      </c>
      <c r="GX30">
        <f t="shared" si="57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ROW(SmtRes!A13)</f>
        <v>13</v>
      </c>
      <c r="D31">
        <f>ROW(EtalonRes!A16)</f>
        <v>16</v>
      </c>
      <c r="E31" t="s">
        <v>36</v>
      </c>
      <c r="F31" t="s">
        <v>37</v>
      </c>
      <c r="G31" t="s">
        <v>38</v>
      </c>
      <c r="H31" t="s">
        <v>39</v>
      </c>
      <c r="I31">
        <v>0.13</v>
      </c>
      <c r="J31">
        <v>0</v>
      </c>
      <c r="O31">
        <f t="shared" si="21"/>
        <v>375.84</v>
      </c>
      <c r="P31">
        <f t="shared" si="22"/>
        <v>31.88</v>
      </c>
      <c r="Q31">
        <f t="shared" si="23"/>
        <v>0.27</v>
      </c>
      <c r="R31">
        <f t="shared" si="24"/>
        <v>0.12</v>
      </c>
      <c r="S31">
        <f t="shared" si="25"/>
        <v>343.69</v>
      </c>
      <c r="T31">
        <f t="shared" si="26"/>
        <v>0</v>
      </c>
      <c r="U31">
        <f t="shared" si="27"/>
        <v>6.0046999999999997</v>
      </c>
      <c r="V31">
        <f t="shared" si="28"/>
        <v>1.3000000000000002E-3</v>
      </c>
      <c r="W31">
        <f t="shared" si="29"/>
        <v>0</v>
      </c>
      <c r="X31">
        <f t="shared" si="30"/>
        <v>354.12</v>
      </c>
      <c r="Y31">
        <f t="shared" si="31"/>
        <v>206.29</v>
      </c>
      <c r="AA31">
        <v>39096431</v>
      </c>
      <c r="AB31">
        <f t="shared" si="32"/>
        <v>430.86</v>
      </c>
      <c r="AC31">
        <f t="shared" si="33"/>
        <v>36.549999999999997</v>
      </c>
      <c r="AD31">
        <f t="shared" si="34"/>
        <v>0.31</v>
      </c>
      <c r="AE31">
        <f t="shared" si="35"/>
        <v>0.14000000000000001</v>
      </c>
      <c r="AF31">
        <f t="shared" si="35"/>
        <v>394</v>
      </c>
      <c r="AG31">
        <f t="shared" si="36"/>
        <v>0</v>
      </c>
      <c r="AH31">
        <f t="shared" si="37"/>
        <v>46.19</v>
      </c>
      <c r="AI31">
        <f t="shared" si="37"/>
        <v>0.01</v>
      </c>
      <c r="AJ31">
        <f t="shared" si="38"/>
        <v>0</v>
      </c>
      <c r="AK31">
        <v>430.86</v>
      </c>
      <c r="AL31">
        <v>36.549999999999997</v>
      </c>
      <c r="AM31">
        <v>0.31</v>
      </c>
      <c r="AN31">
        <v>0.14000000000000001</v>
      </c>
      <c r="AO31">
        <v>394</v>
      </c>
      <c r="AP31">
        <v>0</v>
      </c>
      <c r="AQ31">
        <v>46.19</v>
      </c>
      <c r="AR31">
        <v>0.01</v>
      </c>
      <c r="AS31">
        <v>0</v>
      </c>
      <c r="AT31">
        <v>103</v>
      </c>
      <c r="AU31">
        <v>60</v>
      </c>
      <c r="AV31">
        <v>1</v>
      </c>
      <c r="AW31">
        <v>1</v>
      </c>
      <c r="AZ31">
        <v>6.71</v>
      </c>
      <c r="BA31">
        <v>6.71</v>
      </c>
      <c r="BB31">
        <v>6.71</v>
      </c>
      <c r="BC31">
        <v>6.71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40</v>
      </c>
      <c r="BM31">
        <v>65010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6.71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103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9"/>
        <v>375.84</v>
      </c>
      <c r="CQ31">
        <f t="shared" si="40"/>
        <v>245.25049999999999</v>
      </c>
      <c r="CR31">
        <f t="shared" si="41"/>
        <v>2.0800999999999998</v>
      </c>
      <c r="CS31">
        <f t="shared" si="42"/>
        <v>0.93940000000000012</v>
      </c>
      <c r="CT31">
        <f t="shared" si="43"/>
        <v>2643.74</v>
      </c>
      <c r="CU31">
        <f t="shared" si="44"/>
        <v>0</v>
      </c>
      <c r="CV31">
        <f t="shared" si="45"/>
        <v>46.19</v>
      </c>
      <c r="CW31">
        <f t="shared" si="46"/>
        <v>0.01</v>
      </c>
      <c r="CX31">
        <f t="shared" si="47"/>
        <v>0</v>
      </c>
      <c r="CY31">
        <f t="shared" si="48"/>
        <v>354.12430000000001</v>
      </c>
      <c r="CZ31">
        <f t="shared" si="49"/>
        <v>206.28599999999997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39</v>
      </c>
      <c r="DW31" t="s">
        <v>39</v>
      </c>
      <c r="DX31">
        <v>1</v>
      </c>
      <c r="EE31">
        <v>39174605</v>
      </c>
      <c r="EF31">
        <v>6</v>
      </c>
      <c r="EG31" t="s">
        <v>29</v>
      </c>
      <c r="EH31">
        <v>0</v>
      </c>
      <c r="EI31" t="s">
        <v>3</v>
      </c>
      <c r="EJ31">
        <v>1</v>
      </c>
      <c r="EK31">
        <v>65010</v>
      </c>
      <c r="EL31" t="s">
        <v>41</v>
      </c>
      <c r="EM31" t="s">
        <v>42</v>
      </c>
      <c r="EO31" t="s">
        <v>3</v>
      </c>
      <c r="EQ31">
        <v>0</v>
      </c>
      <c r="ER31">
        <v>430.86</v>
      </c>
      <c r="ES31">
        <v>36.549999999999997</v>
      </c>
      <c r="ET31">
        <v>0.31</v>
      </c>
      <c r="EU31">
        <v>0.14000000000000001</v>
      </c>
      <c r="EV31">
        <v>394</v>
      </c>
      <c r="EW31">
        <v>46.19</v>
      </c>
      <c r="EX31">
        <v>0.01</v>
      </c>
      <c r="EY31">
        <v>0</v>
      </c>
      <c r="FQ31">
        <v>0</v>
      </c>
      <c r="FR31">
        <f t="shared" si="50"/>
        <v>0</v>
      </c>
      <c r="FS31">
        <v>0</v>
      </c>
      <c r="FX31">
        <v>103</v>
      </c>
      <c r="FY31">
        <v>60</v>
      </c>
      <c r="GA31" t="s">
        <v>3</v>
      </c>
      <c r="GD31">
        <v>0</v>
      </c>
      <c r="GF31">
        <v>-2051527918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51"/>
        <v>0</v>
      </c>
      <c r="GM31">
        <f t="shared" si="52"/>
        <v>936.25</v>
      </c>
      <c r="GN31">
        <f t="shared" si="53"/>
        <v>936.25</v>
      </c>
      <c r="GO31">
        <f t="shared" si="54"/>
        <v>0</v>
      </c>
      <c r="GP31">
        <f t="shared" si="55"/>
        <v>0</v>
      </c>
      <c r="GR31">
        <v>0</v>
      </c>
      <c r="GS31">
        <v>0</v>
      </c>
      <c r="GT31">
        <v>0</v>
      </c>
      <c r="GU31" t="s">
        <v>3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13</v>
      </c>
      <c r="E32" t="s">
        <v>43</v>
      </c>
      <c r="F32" t="s">
        <v>44</v>
      </c>
      <c r="G32" t="s">
        <v>45</v>
      </c>
      <c r="H32" t="s">
        <v>46</v>
      </c>
      <c r="I32">
        <f>I31*J32</f>
        <v>13</v>
      </c>
      <c r="J32">
        <v>100</v>
      </c>
      <c r="O32">
        <f t="shared" si="21"/>
        <v>83417.179999999993</v>
      </c>
      <c r="P32">
        <f t="shared" si="22"/>
        <v>83417.179999999993</v>
      </c>
      <c r="Q32">
        <f t="shared" si="23"/>
        <v>0</v>
      </c>
      <c r="R32">
        <f t="shared" si="24"/>
        <v>0</v>
      </c>
      <c r="S32">
        <f t="shared" si="25"/>
        <v>0</v>
      </c>
      <c r="T32">
        <f t="shared" si="26"/>
        <v>0</v>
      </c>
      <c r="U32">
        <f t="shared" si="27"/>
        <v>0</v>
      </c>
      <c r="V32">
        <f t="shared" si="28"/>
        <v>0</v>
      </c>
      <c r="W32">
        <f t="shared" si="29"/>
        <v>0</v>
      </c>
      <c r="X32">
        <f t="shared" si="30"/>
        <v>0</v>
      </c>
      <c r="Y32">
        <f t="shared" si="31"/>
        <v>0</v>
      </c>
      <c r="AA32">
        <v>39096431</v>
      </c>
      <c r="AB32">
        <f t="shared" si="32"/>
        <v>956.29</v>
      </c>
      <c r="AC32">
        <f t="shared" si="33"/>
        <v>956.29</v>
      </c>
      <c r="AD32">
        <f t="shared" si="34"/>
        <v>0</v>
      </c>
      <c r="AE32">
        <f t="shared" si="35"/>
        <v>0</v>
      </c>
      <c r="AF32">
        <f t="shared" si="35"/>
        <v>0</v>
      </c>
      <c r="AG32">
        <f t="shared" si="36"/>
        <v>0</v>
      </c>
      <c r="AH32">
        <f t="shared" si="37"/>
        <v>0</v>
      </c>
      <c r="AI32">
        <f t="shared" si="37"/>
        <v>0</v>
      </c>
      <c r="AJ32">
        <f t="shared" si="38"/>
        <v>0</v>
      </c>
      <c r="AK32">
        <v>956.29</v>
      </c>
      <c r="AL32">
        <v>956.29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103</v>
      </c>
      <c r="AU32">
        <v>60</v>
      </c>
      <c r="AV32">
        <v>1</v>
      </c>
      <c r="AW32">
        <v>1</v>
      </c>
      <c r="AZ32">
        <v>6.71</v>
      </c>
      <c r="BA32">
        <v>1</v>
      </c>
      <c r="BB32">
        <v>1</v>
      </c>
      <c r="BC32">
        <v>6.71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47</v>
      </c>
      <c r="BM32">
        <v>65010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103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9"/>
        <v>83417.179999999993</v>
      </c>
      <c r="CQ32">
        <f t="shared" si="40"/>
        <v>6416.7058999999999</v>
      </c>
      <c r="CR32">
        <f t="shared" si="41"/>
        <v>0</v>
      </c>
      <c r="CS32">
        <f t="shared" si="42"/>
        <v>0</v>
      </c>
      <c r="CT32">
        <f t="shared" si="43"/>
        <v>0</v>
      </c>
      <c r="CU32">
        <f t="shared" si="44"/>
        <v>0</v>
      </c>
      <c r="CV32">
        <f t="shared" si="45"/>
        <v>0</v>
      </c>
      <c r="CW32">
        <f t="shared" si="46"/>
        <v>0</v>
      </c>
      <c r="CX32">
        <f t="shared" si="47"/>
        <v>0</v>
      </c>
      <c r="CY32">
        <f t="shared" si="48"/>
        <v>0</v>
      </c>
      <c r="CZ32">
        <f t="shared" si="49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46</v>
      </c>
      <c r="DW32" t="s">
        <v>46</v>
      </c>
      <c r="DX32">
        <v>1</v>
      </c>
      <c r="EE32">
        <v>39174605</v>
      </c>
      <c r="EF32">
        <v>6</v>
      </c>
      <c r="EG32" t="s">
        <v>29</v>
      </c>
      <c r="EH32">
        <v>0</v>
      </c>
      <c r="EI32" t="s">
        <v>3</v>
      </c>
      <c r="EJ32">
        <v>1</v>
      </c>
      <c r="EK32">
        <v>65010</v>
      </c>
      <c r="EL32" t="s">
        <v>41</v>
      </c>
      <c r="EM32" t="s">
        <v>42</v>
      </c>
      <c r="EO32" t="s">
        <v>3</v>
      </c>
      <c r="EQ32">
        <v>0</v>
      </c>
      <c r="ER32">
        <v>956.29</v>
      </c>
      <c r="ES32">
        <v>956.29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50"/>
        <v>0</v>
      </c>
      <c r="FS32">
        <v>0</v>
      </c>
      <c r="FX32">
        <v>103</v>
      </c>
      <c r="FY32">
        <v>60</v>
      </c>
      <c r="GA32" t="s">
        <v>3</v>
      </c>
      <c r="GD32">
        <v>0</v>
      </c>
      <c r="GF32">
        <v>128350836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51"/>
        <v>0</v>
      </c>
      <c r="GM32">
        <f t="shared" si="52"/>
        <v>83417.179999999993</v>
      </c>
      <c r="GN32">
        <f t="shared" si="53"/>
        <v>83417.179999999993</v>
      </c>
      <c r="GO32">
        <f t="shared" si="54"/>
        <v>0</v>
      </c>
      <c r="GP32">
        <f t="shared" si="55"/>
        <v>0</v>
      </c>
      <c r="GR32">
        <v>0</v>
      </c>
      <c r="GS32">
        <v>3</v>
      </c>
      <c r="GT32">
        <v>0</v>
      </c>
      <c r="GU32" t="s">
        <v>3</v>
      </c>
      <c r="GV32">
        <f t="shared" si="56"/>
        <v>0</v>
      </c>
      <c r="GW32">
        <v>1</v>
      </c>
      <c r="GX32">
        <f t="shared" si="57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ROW(SmtRes!A14)</f>
        <v>14</v>
      </c>
      <c r="D33">
        <f>ROW(EtalonRes!A17)</f>
        <v>17</v>
      </c>
      <c r="E33" t="s">
        <v>48</v>
      </c>
      <c r="F33" t="s">
        <v>49</v>
      </c>
      <c r="G33" t="s">
        <v>50</v>
      </c>
      <c r="H33" t="s">
        <v>17</v>
      </c>
      <c r="I33">
        <f>ROUND(168.97/100,9)</f>
        <v>1.6897</v>
      </c>
      <c r="J33">
        <v>0</v>
      </c>
      <c r="O33">
        <f t="shared" si="21"/>
        <v>2018.14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2018.14</v>
      </c>
      <c r="T33">
        <f t="shared" si="26"/>
        <v>0</v>
      </c>
      <c r="U33">
        <f t="shared" si="27"/>
        <v>38.558954</v>
      </c>
      <c r="V33">
        <f t="shared" si="28"/>
        <v>0</v>
      </c>
      <c r="W33">
        <f t="shared" si="29"/>
        <v>0</v>
      </c>
      <c r="X33">
        <f t="shared" si="30"/>
        <v>1997.96</v>
      </c>
      <c r="Y33">
        <f t="shared" si="31"/>
        <v>1210.8800000000001</v>
      </c>
      <c r="AA33">
        <v>39096431</v>
      </c>
      <c r="AB33">
        <f t="shared" si="32"/>
        <v>178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5"/>
        <v>178</v>
      </c>
      <c r="AG33">
        <f t="shared" si="36"/>
        <v>0</v>
      </c>
      <c r="AH33">
        <f t="shared" si="37"/>
        <v>22.82</v>
      </c>
      <c r="AI33">
        <f t="shared" si="37"/>
        <v>0</v>
      </c>
      <c r="AJ33">
        <f t="shared" si="38"/>
        <v>0</v>
      </c>
      <c r="AK33">
        <v>178</v>
      </c>
      <c r="AL33">
        <v>0</v>
      </c>
      <c r="AM33">
        <v>0</v>
      </c>
      <c r="AN33">
        <v>0</v>
      </c>
      <c r="AO33">
        <v>178</v>
      </c>
      <c r="AP33">
        <v>0</v>
      </c>
      <c r="AQ33">
        <v>22.82</v>
      </c>
      <c r="AR33">
        <v>0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6.71</v>
      </c>
      <c r="BA33">
        <v>6.71</v>
      </c>
      <c r="BB33">
        <v>6.71</v>
      </c>
      <c r="BC33">
        <v>6.71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51</v>
      </c>
      <c r="BM33">
        <v>46001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6.71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9"/>
        <v>2018.14</v>
      </c>
      <c r="CQ33">
        <f t="shared" si="40"/>
        <v>0</v>
      </c>
      <c r="CR33">
        <f t="shared" si="41"/>
        <v>0</v>
      </c>
      <c r="CS33">
        <f t="shared" si="42"/>
        <v>0</v>
      </c>
      <c r="CT33">
        <f t="shared" si="43"/>
        <v>1194.3799999999999</v>
      </c>
      <c r="CU33">
        <f t="shared" si="44"/>
        <v>0</v>
      </c>
      <c r="CV33">
        <f t="shared" si="45"/>
        <v>22.82</v>
      </c>
      <c r="CW33">
        <f t="shared" si="46"/>
        <v>0</v>
      </c>
      <c r="CX33">
        <f t="shared" si="47"/>
        <v>0</v>
      </c>
      <c r="CY33">
        <f t="shared" si="48"/>
        <v>1997.9586000000002</v>
      </c>
      <c r="CZ33">
        <f t="shared" si="49"/>
        <v>1210.884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17</v>
      </c>
      <c r="DW33" t="s">
        <v>17</v>
      </c>
      <c r="DX33">
        <v>100</v>
      </c>
      <c r="EE33">
        <v>39174571</v>
      </c>
      <c r="EF33">
        <v>2</v>
      </c>
      <c r="EG33" t="s">
        <v>19</v>
      </c>
      <c r="EH33">
        <v>0</v>
      </c>
      <c r="EI33" t="s">
        <v>3</v>
      </c>
      <c r="EJ33">
        <v>1</v>
      </c>
      <c r="EK33">
        <v>46001</v>
      </c>
      <c r="EL33" t="s">
        <v>20</v>
      </c>
      <c r="EM33" t="s">
        <v>21</v>
      </c>
      <c r="EO33" t="s">
        <v>3</v>
      </c>
      <c r="EQ33">
        <v>0</v>
      </c>
      <c r="ER33">
        <v>178</v>
      </c>
      <c r="ES33">
        <v>0</v>
      </c>
      <c r="ET33">
        <v>0</v>
      </c>
      <c r="EU33">
        <v>0</v>
      </c>
      <c r="EV33">
        <v>178</v>
      </c>
      <c r="EW33">
        <v>22.82</v>
      </c>
      <c r="EX33">
        <v>0</v>
      </c>
      <c r="EY33">
        <v>0</v>
      </c>
      <c r="FQ33">
        <v>0</v>
      </c>
      <c r="FR33">
        <f t="shared" si="50"/>
        <v>0</v>
      </c>
      <c r="FS33">
        <v>0</v>
      </c>
      <c r="FT33" t="s">
        <v>22</v>
      </c>
      <c r="FU33" t="s">
        <v>23</v>
      </c>
      <c r="FX33">
        <v>99</v>
      </c>
      <c r="FY33">
        <v>59.5</v>
      </c>
      <c r="GA33" t="s">
        <v>3</v>
      </c>
      <c r="GD33">
        <v>0</v>
      </c>
      <c r="GF33">
        <v>232532105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51"/>
        <v>0</v>
      </c>
      <c r="GM33">
        <f t="shared" si="52"/>
        <v>5226.9799999999996</v>
      </c>
      <c r="GN33">
        <f t="shared" si="53"/>
        <v>5226.9799999999996</v>
      </c>
      <c r="GO33">
        <f t="shared" si="54"/>
        <v>0</v>
      </c>
      <c r="GP33">
        <f t="shared" si="55"/>
        <v>0</v>
      </c>
      <c r="GR33">
        <v>0</v>
      </c>
      <c r="GS33">
        <v>0</v>
      </c>
      <c r="GT33">
        <v>0</v>
      </c>
      <c r="GU33" t="s">
        <v>3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ROW(SmtRes!A23)</f>
        <v>23</v>
      </c>
      <c r="D34">
        <f>ROW(EtalonRes!A27)</f>
        <v>27</v>
      </c>
      <c r="E34" t="s">
        <v>52</v>
      </c>
      <c r="F34" t="s">
        <v>53</v>
      </c>
      <c r="G34" t="s">
        <v>54</v>
      </c>
      <c r="H34" t="s">
        <v>17</v>
      </c>
      <c r="I34">
        <f>ROUND(31.5/100,9)</f>
        <v>0.315</v>
      </c>
      <c r="J34">
        <v>0</v>
      </c>
      <c r="O34">
        <f t="shared" si="21"/>
        <v>958.64</v>
      </c>
      <c r="P34">
        <f t="shared" si="22"/>
        <v>0</v>
      </c>
      <c r="Q34">
        <f t="shared" si="23"/>
        <v>144.94999999999999</v>
      </c>
      <c r="R34">
        <f t="shared" si="24"/>
        <v>28.56</v>
      </c>
      <c r="S34">
        <f t="shared" si="25"/>
        <v>813.69</v>
      </c>
      <c r="T34">
        <f t="shared" si="26"/>
        <v>0</v>
      </c>
      <c r="U34">
        <f t="shared" si="27"/>
        <v>12.751200000000001</v>
      </c>
      <c r="V34">
        <f t="shared" si="28"/>
        <v>0.35783999999999999</v>
      </c>
      <c r="W34">
        <f t="shared" si="29"/>
        <v>0</v>
      </c>
      <c r="X34">
        <f t="shared" si="30"/>
        <v>800.14</v>
      </c>
      <c r="Y34">
        <f t="shared" si="31"/>
        <v>395.86</v>
      </c>
      <c r="AA34">
        <v>39096431</v>
      </c>
      <c r="AB34">
        <f t="shared" si="32"/>
        <v>453.55</v>
      </c>
      <c r="AC34">
        <f>ROUND(((ES34*0)),2)</f>
        <v>0</v>
      </c>
      <c r="AD34">
        <f>ROUND(((((ET34*0.8))-((EU34*0.8)))+AE34),2)</f>
        <v>68.58</v>
      </c>
      <c r="AE34">
        <f>ROUND(((EU34*0.8)),2)</f>
        <v>13.51</v>
      </c>
      <c r="AF34">
        <f>ROUND(((EV34*0.8)),2)</f>
        <v>384.97</v>
      </c>
      <c r="AG34">
        <f t="shared" si="36"/>
        <v>0</v>
      </c>
      <c r="AH34">
        <f>((EW34*0.8))</f>
        <v>40.480000000000004</v>
      </c>
      <c r="AI34">
        <f>((EX34*0.8))</f>
        <v>1.1359999999999999</v>
      </c>
      <c r="AJ34">
        <f t="shared" si="38"/>
        <v>0</v>
      </c>
      <c r="AK34">
        <v>686.77</v>
      </c>
      <c r="AL34">
        <v>119.83</v>
      </c>
      <c r="AM34">
        <v>85.73</v>
      </c>
      <c r="AN34">
        <v>16.89</v>
      </c>
      <c r="AO34">
        <v>481.21</v>
      </c>
      <c r="AP34">
        <v>0</v>
      </c>
      <c r="AQ34">
        <v>50.6</v>
      </c>
      <c r="AR34">
        <v>1.42</v>
      </c>
      <c r="AS34">
        <v>0</v>
      </c>
      <c r="AT34">
        <v>95</v>
      </c>
      <c r="AU34">
        <v>47</v>
      </c>
      <c r="AV34">
        <v>1</v>
      </c>
      <c r="AW34">
        <v>1</v>
      </c>
      <c r="AZ34">
        <v>6.71</v>
      </c>
      <c r="BA34">
        <v>6.71</v>
      </c>
      <c r="BB34">
        <v>6.71</v>
      </c>
      <c r="BC34">
        <v>6.71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55</v>
      </c>
      <c r="BM34">
        <v>15001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6.71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105</v>
      </c>
      <c r="CA34">
        <v>55</v>
      </c>
      <c r="CF34">
        <v>0</v>
      </c>
      <c r="CG34">
        <v>0</v>
      </c>
      <c r="CM34">
        <v>0</v>
      </c>
      <c r="CN34" t="s">
        <v>56</v>
      </c>
      <c r="CO34">
        <v>0</v>
      </c>
      <c r="CP34">
        <f t="shared" si="39"/>
        <v>958.6400000000001</v>
      </c>
      <c r="CQ34">
        <f t="shared" si="40"/>
        <v>0</v>
      </c>
      <c r="CR34">
        <f t="shared" si="41"/>
        <v>460.17179999999996</v>
      </c>
      <c r="CS34">
        <f t="shared" si="42"/>
        <v>90.652100000000004</v>
      </c>
      <c r="CT34">
        <f t="shared" si="43"/>
        <v>2583.1487000000002</v>
      </c>
      <c r="CU34">
        <f t="shared" si="44"/>
        <v>0</v>
      </c>
      <c r="CV34">
        <f t="shared" si="45"/>
        <v>40.480000000000004</v>
      </c>
      <c r="CW34">
        <f t="shared" si="46"/>
        <v>1.1359999999999999</v>
      </c>
      <c r="CX34">
        <f t="shared" si="47"/>
        <v>0</v>
      </c>
      <c r="CY34">
        <f t="shared" si="48"/>
        <v>800.13750000000005</v>
      </c>
      <c r="CZ34">
        <f t="shared" si="49"/>
        <v>395.85750000000002</v>
      </c>
      <c r="DC34" t="s">
        <v>3</v>
      </c>
      <c r="DD34" t="s">
        <v>57</v>
      </c>
      <c r="DE34" t="s">
        <v>58</v>
      </c>
      <c r="DF34" t="s">
        <v>58</v>
      </c>
      <c r="DG34" t="s">
        <v>58</v>
      </c>
      <c r="DH34" t="s">
        <v>3</v>
      </c>
      <c r="DI34" t="s">
        <v>58</v>
      </c>
      <c r="DJ34" t="s">
        <v>58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17</v>
      </c>
      <c r="DW34" t="s">
        <v>17</v>
      </c>
      <c r="DX34">
        <v>100</v>
      </c>
      <c r="EE34">
        <v>39174529</v>
      </c>
      <c r="EF34">
        <v>2</v>
      </c>
      <c r="EG34" t="s">
        <v>19</v>
      </c>
      <c r="EH34">
        <v>0</v>
      </c>
      <c r="EI34" t="s">
        <v>3</v>
      </c>
      <c r="EJ34">
        <v>1</v>
      </c>
      <c r="EK34">
        <v>15001</v>
      </c>
      <c r="EL34" t="s">
        <v>59</v>
      </c>
      <c r="EM34" t="s">
        <v>60</v>
      </c>
      <c r="EO34" t="s">
        <v>61</v>
      </c>
      <c r="EQ34">
        <v>0</v>
      </c>
      <c r="ER34">
        <v>686.77</v>
      </c>
      <c r="ES34">
        <v>119.83</v>
      </c>
      <c r="ET34">
        <v>85.73</v>
      </c>
      <c r="EU34">
        <v>16.89</v>
      </c>
      <c r="EV34">
        <v>481.21</v>
      </c>
      <c r="EW34">
        <v>50.6</v>
      </c>
      <c r="EX34">
        <v>1.42</v>
      </c>
      <c r="EY34">
        <v>0</v>
      </c>
      <c r="FQ34">
        <v>0</v>
      </c>
      <c r="FR34">
        <f t="shared" si="50"/>
        <v>0</v>
      </c>
      <c r="FS34">
        <v>0</v>
      </c>
      <c r="FT34" t="s">
        <v>22</v>
      </c>
      <c r="FU34" t="s">
        <v>23</v>
      </c>
      <c r="FX34">
        <v>94.5</v>
      </c>
      <c r="FY34">
        <v>46.75</v>
      </c>
      <c r="GA34" t="s">
        <v>3</v>
      </c>
      <c r="GD34">
        <v>0</v>
      </c>
      <c r="GF34">
        <v>-1924098841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51"/>
        <v>0</v>
      </c>
      <c r="GM34">
        <f t="shared" si="52"/>
        <v>2154.64</v>
      </c>
      <c r="GN34">
        <f t="shared" si="53"/>
        <v>2154.64</v>
      </c>
      <c r="GO34">
        <f t="shared" si="54"/>
        <v>0</v>
      </c>
      <c r="GP34">
        <f t="shared" si="55"/>
        <v>0</v>
      </c>
      <c r="GR34">
        <v>0</v>
      </c>
      <c r="GS34">
        <v>3</v>
      </c>
      <c r="GT34">
        <v>0</v>
      </c>
      <c r="GU34" t="s">
        <v>3</v>
      </c>
      <c r="GV34">
        <f t="shared" si="56"/>
        <v>0</v>
      </c>
      <c r="GW34">
        <v>1</v>
      </c>
      <c r="GX34">
        <f t="shared" si="57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ROW(SmtRes!A32)</f>
        <v>32</v>
      </c>
      <c r="D35">
        <f>ROW(EtalonRes!A37)</f>
        <v>37</v>
      </c>
      <c r="E35" t="s">
        <v>62</v>
      </c>
      <c r="F35" t="s">
        <v>53</v>
      </c>
      <c r="G35" t="s">
        <v>63</v>
      </c>
      <c r="H35" t="s">
        <v>17</v>
      </c>
      <c r="I35">
        <f>ROUND(31.5/100,9)</f>
        <v>0.315</v>
      </c>
      <c r="J35">
        <v>0</v>
      </c>
      <c r="O35">
        <f t="shared" si="21"/>
        <v>958.64</v>
      </c>
      <c r="P35">
        <f t="shared" si="22"/>
        <v>0</v>
      </c>
      <c r="Q35">
        <f t="shared" si="23"/>
        <v>144.94999999999999</v>
      </c>
      <c r="R35">
        <f t="shared" si="24"/>
        <v>28.56</v>
      </c>
      <c r="S35">
        <f t="shared" si="25"/>
        <v>813.69</v>
      </c>
      <c r="T35">
        <f t="shared" si="26"/>
        <v>0</v>
      </c>
      <c r="U35">
        <f t="shared" si="27"/>
        <v>12.751200000000001</v>
      </c>
      <c r="V35">
        <f t="shared" si="28"/>
        <v>0.35783999999999999</v>
      </c>
      <c r="W35">
        <f t="shared" si="29"/>
        <v>0</v>
      </c>
      <c r="X35">
        <f t="shared" si="30"/>
        <v>800.14</v>
      </c>
      <c r="Y35">
        <f t="shared" si="31"/>
        <v>395.86</v>
      </c>
      <c r="AA35">
        <v>39096431</v>
      </c>
      <c r="AB35">
        <f t="shared" si="32"/>
        <v>453.55</v>
      </c>
      <c r="AC35">
        <f>ROUND(((ES35*0)),2)</f>
        <v>0</v>
      </c>
      <c r="AD35">
        <f>ROUND(((((ET35*0.8))-((EU35*0.8)))+AE35),2)</f>
        <v>68.58</v>
      </c>
      <c r="AE35">
        <f>ROUND(((EU35*0.8)),2)</f>
        <v>13.51</v>
      </c>
      <c r="AF35">
        <f>ROUND(((EV35*0.8)),2)</f>
        <v>384.97</v>
      </c>
      <c r="AG35">
        <f t="shared" si="36"/>
        <v>0</v>
      </c>
      <c r="AH35">
        <f>((EW35*0.8))</f>
        <v>40.480000000000004</v>
      </c>
      <c r="AI35">
        <f>((EX35*0.8))</f>
        <v>1.1359999999999999</v>
      </c>
      <c r="AJ35">
        <f t="shared" si="38"/>
        <v>0</v>
      </c>
      <c r="AK35">
        <v>686.77</v>
      </c>
      <c r="AL35">
        <v>119.83</v>
      </c>
      <c r="AM35">
        <v>85.73</v>
      </c>
      <c r="AN35">
        <v>16.89</v>
      </c>
      <c r="AO35">
        <v>481.21</v>
      </c>
      <c r="AP35">
        <v>0</v>
      </c>
      <c r="AQ35">
        <v>50.6</v>
      </c>
      <c r="AR35">
        <v>1.42</v>
      </c>
      <c r="AS35">
        <v>0</v>
      </c>
      <c r="AT35">
        <v>95</v>
      </c>
      <c r="AU35">
        <v>47</v>
      </c>
      <c r="AV35">
        <v>1</v>
      </c>
      <c r="AW35">
        <v>1</v>
      </c>
      <c r="AZ35">
        <v>6.71</v>
      </c>
      <c r="BA35">
        <v>6.71</v>
      </c>
      <c r="BB35">
        <v>6.71</v>
      </c>
      <c r="BC35">
        <v>6.71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55</v>
      </c>
      <c r="BM35">
        <v>15001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6.71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105</v>
      </c>
      <c r="CA35">
        <v>55</v>
      </c>
      <c r="CF35">
        <v>0</v>
      </c>
      <c r="CG35">
        <v>0</v>
      </c>
      <c r="CM35">
        <v>0</v>
      </c>
      <c r="CN35" t="s">
        <v>56</v>
      </c>
      <c r="CO35">
        <v>0</v>
      </c>
      <c r="CP35">
        <f t="shared" si="39"/>
        <v>958.6400000000001</v>
      </c>
      <c r="CQ35">
        <f t="shared" si="40"/>
        <v>0</v>
      </c>
      <c r="CR35">
        <f t="shared" si="41"/>
        <v>460.17179999999996</v>
      </c>
      <c r="CS35">
        <f t="shared" si="42"/>
        <v>90.652100000000004</v>
      </c>
      <c r="CT35">
        <f t="shared" si="43"/>
        <v>2583.1487000000002</v>
      </c>
      <c r="CU35">
        <f t="shared" si="44"/>
        <v>0</v>
      </c>
      <c r="CV35">
        <f t="shared" si="45"/>
        <v>40.480000000000004</v>
      </c>
      <c r="CW35">
        <f t="shared" si="46"/>
        <v>1.1359999999999999</v>
      </c>
      <c r="CX35">
        <f t="shared" si="47"/>
        <v>0</v>
      </c>
      <c r="CY35">
        <f t="shared" si="48"/>
        <v>800.13750000000005</v>
      </c>
      <c r="CZ35">
        <f t="shared" si="49"/>
        <v>395.85750000000002</v>
      </c>
      <c r="DC35" t="s">
        <v>3</v>
      </c>
      <c r="DD35" t="s">
        <v>57</v>
      </c>
      <c r="DE35" t="s">
        <v>58</v>
      </c>
      <c r="DF35" t="s">
        <v>58</v>
      </c>
      <c r="DG35" t="s">
        <v>58</v>
      </c>
      <c r="DH35" t="s">
        <v>3</v>
      </c>
      <c r="DI35" t="s">
        <v>58</v>
      </c>
      <c r="DJ35" t="s">
        <v>58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17</v>
      </c>
      <c r="DW35" t="s">
        <v>17</v>
      </c>
      <c r="DX35">
        <v>100</v>
      </c>
      <c r="EE35">
        <v>39174529</v>
      </c>
      <c r="EF35">
        <v>2</v>
      </c>
      <c r="EG35" t="s">
        <v>19</v>
      </c>
      <c r="EH35">
        <v>0</v>
      </c>
      <c r="EI35" t="s">
        <v>3</v>
      </c>
      <c r="EJ35">
        <v>1</v>
      </c>
      <c r="EK35">
        <v>15001</v>
      </c>
      <c r="EL35" t="s">
        <v>59</v>
      </c>
      <c r="EM35" t="s">
        <v>60</v>
      </c>
      <c r="EO35" t="s">
        <v>61</v>
      </c>
      <c r="EQ35">
        <v>0</v>
      </c>
      <c r="ER35">
        <v>686.77</v>
      </c>
      <c r="ES35">
        <v>119.83</v>
      </c>
      <c r="ET35">
        <v>85.73</v>
      </c>
      <c r="EU35">
        <v>16.89</v>
      </c>
      <c r="EV35">
        <v>481.21</v>
      </c>
      <c r="EW35">
        <v>50.6</v>
      </c>
      <c r="EX35">
        <v>1.42</v>
      </c>
      <c r="EY35">
        <v>0</v>
      </c>
      <c r="FQ35">
        <v>0</v>
      </c>
      <c r="FR35">
        <f t="shared" si="50"/>
        <v>0</v>
      </c>
      <c r="FS35">
        <v>0</v>
      </c>
      <c r="FT35" t="s">
        <v>22</v>
      </c>
      <c r="FU35" t="s">
        <v>23</v>
      </c>
      <c r="FX35">
        <v>94.5</v>
      </c>
      <c r="FY35">
        <v>46.75</v>
      </c>
      <c r="GA35" t="s">
        <v>3</v>
      </c>
      <c r="GD35">
        <v>0</v>
      </c>
      <c r="GF35">
        <v>-850644404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51"/>
        <v>0</v>
      </c>
      <c r="GM35">
        <f t="shared" si="52"/>
        <v>2154.64</v>
      </c>
      <c r="GN35">
        <f t="shared" si="53"/>
        <v>2154.64</v>
      </c>
      <c r="GO35">
        <f t="shared" si="54"/>
        <v>0</v>
      </c>
      <c r="GP35">
        <f t="shared" si="55"/>
        <v>0</v>
      </c>
      <c r="GR35">
        <v>0</v>
      </c>
      <c r="GS35">
        <v>3</v>
      </c>
      <c r="GT35">
        <v>0</v>
      </c>
      <c r="GU35" t="s">
        <v>3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ROW(EtalonRes!A42)</f>
        <v>42</v>
      </c>
      <c r="E36" t="s">
        <v>64</v>
      </c>
      <c r="F36" t="s">
        <v>65</v>
      </c>
      <c r="G36" t="s">
        <v>66</v>
      </c>
      <c r="H36" t="s">
        <v>67</v>
      </c>
      <c r="I36">
        <f>ROUND(7/10,9)</f>
        <v>0.7</v>
      </c>
      <c r="J36">
        <v>0</v>
      </c>
      <c r="O36">
        <f t="shared" si="21"/>
        <v>50.63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50.63</v>
      </c>
      <c r="T36">
        <f t="shared" si="26"/>
        <v>0</v>
      </c>
      <c r="U36">
        <f t="shared" si="27"/>
        <v>0.78399999999999992</v>
      </c>
      <c r="V36">
        <f t="shared" si="28"/>
        <v>0</v>
      </c>
      <c r="W36">
        <f t="shared" si="29"/>
        <v>0</v>
      </c>
      <c r="X36">
        <f t="shared" si="30"/>
        <v>58.22</v>
      </c>
      <c r="Y36">
        <f t="shared" si="31"/>
        <v>35.950000000000003</v>
      </c>
      <c r="AA36">
        <v>39096431</v>
      </c>
      <c r="AB36">
        <f t="shared" si="32"/>
        <v>10.78</v>
      </c>
      <c r="AC36">
        <f>ROUND(((ES36*0)),2)</f>
        <v>0</v>
      </c>
      <c r="AD36">
        <f>ROUND(((((ET36*0.4))-((EU36*0.4)))+AE36),2)</f>
        <v>0</v>
      </c>
      <c r="AE36">
        <f>ROUND(((EU36*0.4)),2)</f>
        <v>0</v>
      </c>
      <c r="AF36">
        <f>ROUND(((EV36*0.4)),2)</f>
        <v>10.78</v>
      </c>
      <c r="AG36">
        <f t="shared" si="36"/>
        <v>0</v>
      </c>
      <c r="AH36">
        <f>((EW36*0.4))</f>
        <v>1.1199999999999999</v>
      </c>
      <c r="AI36">
        <f>((EX36*0.4))</f>
        <v>0</v>
      </c>
      <c r="AJ36">
        <f t="shared" si="38"/>
        <v>0</v>
      </c>
      <c r="AK36">
        <v>27.54</v>
      </c>
      <c r="AL36">
        <v>0.6</v>
      </c>
      <c r="AM36">
        <v>0</v>
      </c>
      <c r="AN36">
        <v>0</v>
      </c>
      <c r="AO36">
        <v>26.94</v>
      </c>
      <c r="AP36">
        <v>0</v>
      </c>
      <c r="AQ36">
        <v>2.8</v>
      </c>
      <c r="AR36">
        <v>0</v>
      </c>
      <c r="AS36">
        <v>0</v>
      </c>
      <c r="AT36">
        <v>115</v>
      </c>
      <c r="AU36">
        <v>71</v>
      </c>
      <c r="AV36">
        <v>1</v>
      </c>
      <c r="AW36">
        <v>1</v>
      </c>
      <c r="AZ36">
        <v>6.71</v>
      </c>
      <c r="BA36">
        <v>6.71</v>
      </c>
      <c r="BB36">
        <v>6.71</v>
      </c>
      <c r="BC36">
        <v>6.71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68</v>
      </c>
      <c r="BM36">
        <v>17001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6.71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128</v>
      </c>
      <c r="CA36">
        <v>83</v>
      </c>
      <c r="CF36">
        <v>0</v>
      </c>
      <c r="CG36">
        <v>0</v>
      </c>
      <c r="CM36">
        <v>0</v>
      </c>
      <c r="CN36" t="s">
        <v>69</v>
      </c>
      <c r="CO36">
        <v>0</v>
      </c>
      <c r="CP36">
        <f t="shared" si="39"/>
        <v>50.63</v>
      </c>
      <c r="CQ36">
        <f t="shared" si="40"/>
        <v>0</v>
      </c>
      <c r="CR36">
        <f t="shared" si="41"/>
        <v>0</v>
      </c>
      <c r="CS36">
        <f t="shared" si="42"/>
        <v>0</v>
      </c>
      <c r="CT36">
        <f t="shared" si="43"/>
        <v>72.333799999999997</v>
      </c>
      <c r="CU36">
        <f t="shared" si="44"/>
        <v>0</v>
      </c>
      <c r="CV36">
        <f t="shared" si="45"/>
        <v>1.1199999999999999</v>
      </c>
      <c r="CW36">
        <f t="shared" si="46"/>
        <v>0</v>
      </c>
      <c r="CX36">
        <f t="shared" si="47"/>
        <v>0</v>
      </c>
      <c r="CY36">
        <f t="shared" si="48"/>
        <v>58.224500000000006</v>
      </c>
      <c r="CZ36">
        <f t="shared" si="49"/>
        <v>35.947299999999998</v>
      </c>
      <c r="DC36" t="s">
        <v>3</v>
      </c>
      <c r="DD36" t="s">
        <v>57</v>
      </c>
      <c r="DE36" t="s">
        <v>70</v>
      </c>
      <c r="DF36" t="s">
        <v>70</v>
      </c>
      <c r="DG36" t="s">
        <v>70</v>
      </c>
      <c r="DH36" t="s">
        <v>3</v>
      </c>
      <c r="DI36" t="s">
        <v>70</v>
      </c>
      <c r="DJ36" t="s">
        <v>70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67</v>
      </c>
      <c r="DW36" t="s">
        <v>67</v>
      </c>
      <c r="DX36">
        <v>1</v>
      </c>
      <c r="EE36">
        <v>39174531</v>
      </c>
      <c r="EF36">
        <v>2</v>
      </c>
      <c r="EG36" t="s">
        <v>19</v>
      </c>
      <c r="EH36">
        <v>0</v>
      </c>
      <c r="EI36" t="s">
        <v>3</v>
      </c>
      <c r="EJ36">
        <v>1</v>
      </c>
      <c r="EK36">
        <v>17001</v>
      </c>
      <c r="EL36" t="s">
        <v>71</v>
      </c>
      <c r="EM36" t="s">
        <v>72</v>
      </c>
      <c r="EO36" t="s">
        <v>73</v>
      </c>
      <c r="EQ36">
        <v>0</v>
      </c>
      <c r="ER36">
        <v>27.54</v>
      </c>
      <c r="ES36">
        <v>0.6</v>
      </c>
      <c r="ET36">
        <v>0</v>
      </c>
      <c r="EU36">
        <v>0</v>
      </c>
      <c r="EV36">
        <v>26.94</v>
      </c>
      <c r="EW36">
        <v>2.8</v>
      </c>
      <c r="EX36">
        <v>0</v>
      </c>
      <c r="EY36">
        <v>0</v>
      </c>
      <c r="FQ36">
        <v>0</v>
      </c>
      <c r="FR36">
        <f t="shared" si="50"/>
        <v>0</v>
      </c>
      <c r="FS36">
        <v>0</v>
      </c>
      <c r="FT36" t="s">
        <v>22</v>
      </c>
      <c r="FU36" t="s">
        <v>23</v>
      </c>
      <c r="FX36">
        <v>115.2</v>
      </c>
      <c r="FY36">
        <v>70.55</v>
      </c>
      <c r="GA36" t="s">
        <v>3</v>
      </c>
      <c r="GD36">
        <v>0</v>
      </c>
      <c r="GF36">
        <v>-1335911278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51"/>
        <v>0</v>
      </c>
      <c r="GM36">
        <f t="shared" si="52"/>
        <v>144.80000000000001</v>
      </c>
      <c r="GN36">
        <f t="shared" si="53"/>
        <v>144.80000000000001</v>
      </c>
      <c r="GO36">
        <f t="shared" si="54"/>
        <v>0</v>
      </c>
      <c r="GP36">
        <f t="shared" si="55"/>
        <v>0</v>
      </c>
      <c r="GR36">
        <v>0</v>
      </c>
      <c r="GS36">
        <v>3</v>
      </c>
      <c r="GT36">
        <v>0</v>
      </c>
      <c r="GU36" t="s">
        <v>3</v>
      </c>
      <c r="GV36">
        <f t="shared" si="56"/>
        <v>0</v>
      </c>
      <c r="GW36">
        <v>1</v>
      </c>
      <c r="GX36">
        <f t="shared" si="57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ROW(SmtRes!A37)</f>
        <v>37</v>
      </c>
      <c r="D37">
        <f>ROW(EtalonRes!A47)</f>
        <v>47</v>
      </c>
      <c r="E37" t="s">
        <v>74</v>
      </c>
      <c r="F37" t="s">
        <v>65</v>
      </c>
      <c r="G37" t="s">
        <v>75</v>
      </c>
      <c r="H37" t="s">
        <v>67</v>
      </c>
      <c r="I37">
        <f>ROUND(7/10,9)</f>
        <v>0.7</v>
      </c>
      <c r="J37">
        <v>0</v>
      </c>
      <c r="O37">
        <f t="shared" si="21"/>
        <v>129.36000000000001</v>
      </c>
      <c r="P37">
        <f t="shared" si="22"/>
        <v>2.82</v>
      </c>
      <c r="Q37">
        <f t="shared" si="23"/>
        <v>0</v>
      </c>
      <c r="R37">
        <f t="shared" si="24"/>
        <v>0</v>
      </c>
      <c r="S37">
        <f t="shared" si="25"/>
        <v>126.54</v>
      </c>
      <c r="T37">
        <f t="shared" si="26"/>
        <v>0</v>
      </c>
      <c r="U37">
        <f t="shared" si="27"/>
        <v>1.9599999999999997</v>
      </c>
      <c r="V37">
        <f t="shared" si="28"/>
        <v>0</v>
      </c>
      <c r="W37">
        <f t="shared" si="29"/>
        <v>0</v>
      </c>
      <c r="X37">
        <f t="shared" si="30"/>
        <v>145.52000000000001</v>
      </c>
      <c r="Y37">
        <f t="shared" si="31"/>
        <v>89.84</v>
      </c>
      <c r="AA37">
        <v>39096431</v>
      </c>
      <c r="AB37">
        <f t="shared" si="32"/>
        <v>27.54</v>
      </c>
      <c r="AC37">
        <f t="shared" ref="AC37:AC45" si="58">ROUND((ES37),2)</f>
        <v>0.6</v>
      </c>
      <c r="AD37">
        <f>ROUND((((ET37)-(EU37))+AE37),2)</f>
        <v>0</v>
      </c>
      <c r="AE37">
        <f>ROUND((EU37),2)</f>
        <v>0</v>
      </c>
      <c r="AF37">
        <f>ROUND((EV37),2)</f>
        <v>26.94</v>
      </c>
      <c r="AG37">
        <f t="shared" si="36"/>
        <v>0</v>
      </c>
      <c r="AH37">
        <f>(EW37)</f>
        <v>2.8</v>
      </c>
      <c r="AI37">
        <f>(EX37)</f>
        <v>0</v>
      </c>
      <c r="AJ37">
        <f t="shared" si="38"/>
        <v>0</v>
      </c>
      <c r="AK37">
        <v>27.54</v>
      </c>
      <c r="AL37">
        <v>0.6</v>
      </c>
      <c r="AM37">
        <v>0</v>
      </c>
      <c r="AN37">
        <v>0</v>
      </c>
      <c r="AO37">
        <v>26.94</v>
      </c>
      <c r="AP37">
        <v>0</v>
      </c>
      <c r="AQ37">
        <v>2.8</v>
      </c>
      <c r="AR37">
        <v>0</v>
      </c>
      <c r="AS37">
        <v>0</v>
      </c>
      <c r="AT37">
        <v>115</v>
      </c>
      <c r="AU37">
        <v>71</v>
      </c>
      <c r="AV37">
        <v>1</v>
      </c>
      <c r="AW37">
        <v>1</v>
      </c>
      <c r="AZ37">
        <v>6.71</v>
      </c>
      <c r="BA37">
        <v>6.71</v>
      </c>
      <c r="BB37">
        <v>6.71</v>
      </c>
      <c r="BC37">
        <v>6.71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68</v>
      </c>
      <c r="BM37">
        <v>17001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6.71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128</v>
      </c>
      <c r="CA37">
        <v>83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9"/>
        <v>129.36000000000001</v>
      </c>
      <c r="CQ37">
        <f t="shared" si="40"/>
        <v>4.0259999999999998</v>
      </c>
      <c r="CR37">
        <f t="shared" si="41"/>
        <v>0</v>
      </c>
      <c r="CS37">
        <f t="shared" si="42"/>
        <v>0</v>
      </c>
      <c r="CT37">
        <f t="shared" si="43"/>
        <v>180.76740000000001</v>
      </c>
      <c r="CU37">
        <f t="shared" si="44"/>
        <v>0</v>
      </c>
      <c r="CV37">
        <f t="shared" si="45"/>
        <v>2.8</v>
      </c>
      <c r="CW37">
        <f t="shared" si="46"/>
        <v>0</v>
      </c>
      <c r="CX37">
        <f t="shared" si="47"/>
        <v>0</v>
      </c>
      <c r="CY37">
        <f t="shared" si="48"/>
        <v>145.52100000000002</v>
      </c>
      <c r="CZ37">
        <f t="shared" si="49"/>
        <v>89.843400000000003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67</v>
      </c>
      <c r="DW37" t="s">
        <v>67</v>
      </c>
      <c r="DX37">
        <v>1</v>
      </c>
      <c r="EE37">
        <v>39174531</v>
      </c>
      <c r="EF37">
        <v>2</v>
      </c>
      <c r="EG37" t="s">
        <v>19</v>
      </c>
      <c r="EH37">
        <v>0</v>
      </c>
      <c r="EI37" t="s">
        <v>3</v>
      </c>
      <c r="EJ37">
        <v>1</v>
      </c>
      <c r="EK37">
        <v>17001</v>
      </c>
      <c r="EL37" t="s">
        <v>71</v>
      </c>
      <c r="EM37" t="s">
        <v>72</v>
      </c>
      <c r="EO37" t="s">
        <v>3</v>
      </c>
      <c r="EQ37">
        <v>0</v>
      </c>
      <c r="ER37">
        <v>27.54</v>
      </c>
      <c r="ES37">
        <v>0.6</v>
      </c>
      <c r="ET37">
        <v>0</v>
      </c>
      <c r="EU37">
        <v>0</v>
      </c>
      <c r="EV37">
        <v>26.94</v>
      </c>
      <c r="EW37">
        <v>2.8</v>
      </c>
      <c r="EX37">
        <v>0</v>
      </c>
      <c r="EY37">
        <v>0</v>
      </c>
      <c r="FQ37">
        <v>0</v>
      </c>
      <c r="FR37">
        <f t="shared" si="50"/>
        <v>0</v>
      </c>
      <c r="FS37">
        <v>0</v>
      </c>
      <c r="FT37" t="s">
        <v>22</v>
      </c>
      <c r="FU37" t="s">
        <v>23</v>
      </c>
      <c r="FX37">
        <v>115.2</v>
      </c>
      <c r="FY37">
        <v>70.55</v>
      </c>
      <c r="GA37" t="s">
        <v>3</v>
      </c>
      <c r="GD37">
        <v>0</v>
      </c>
      <c r="GF37">
        <v>-201499009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51"/>
        <v>0</v>
      </c>
      <c r="GM37">
        <f t="shared" si="52"/>
        <v>364.72</v>
      </c>
      <c r="GN37">
        <f t="shared" si="53"/>
        <v>364.72</v>
      </c>
      <c r="GO37">
        <f t="shared" si="54"/>
        <v>0</v>
      </c>
      <c r="GP37">
        <f t="shared" si="55"/>
        <v>0</v>
      </c>
      <c r="GR37">
        <v>0</v>
      </c>
      <c r="GS37">
        <v>3</v>
      </c>
      <c r="GT37">
        <v>0</v>
      </c>
      <c r="GU37" t="s">
        <v>3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37</v>
      </c>
      <c r="E38" t="s">
        <v>76</v>
      </c>
      <c r="F38" t="s">
        <v>77</v>
      </c>
      <c r="G38" t="s">
        <v>78</v>
      </c>
      <c r="H38" t="s">
        <v>46</v>
      </c>
      <c r="I38">
        <f>I37*J38</f>
        <v>7</v>
      </c>
      <c r="J38">
        <v>10</v>
      </c>
      <c r="O38">
        <f t="shared" si="21"/>
        <v>175.67</v>
      </c>
      <c r="P38">
        <f t="shared" si="22"/>
        <v>175.67</v>
      </c>
      <c r="Q38">
        <f t="shared" si="23"/>
        <v>0</v>
      </c>
      <c r="R38">
        <f t="shared" si="24"/>
        <v>0</v>
      </c>
      <c r="S38">
        <f t="shared" si="25"/>
        <v>0</v>
      </c>
      <c r="T38">
        <f t="shared" si="26"/>
        <v>0</v>
      </c>
      <c r="U38">
        <f t="shared" si="27"/>
        <v>0</v>
      </c>
      <c r="V38">
        <f t="shared" si="28"/>
        <v>0</v>
      </c>
      <c r="W38">
        <f t="shared" si="29"/>
        <v>0</v>
      </c>
      <c r="X38">
        <f t="shared" si="30"/>
        <v>0</v>
      </c>
      <c r="Y38">
        <f t="shared" si="31"/>
        <v>0</v>
      </c>
      <c r="AA38">
        <v>39096431</v>
      </c>
      <c r="AB38">
        <f t="shared" si="32"/>
        <v>3.74</v>
      </c>
      <c r="AC38">
        <f t="shared" si="58"/>
        <v>3.74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 t="shared" si="36"/>
        <v>0</v>
      </c>
      <c r="AH38">
        <f>(EW38)</f>
        <v>0</v>
      </c>
      <c r="AI38">
        <f>(EX38)</f>
        <v>0</v>
      </c>
      <c r="AJ38">
        <f t="shared" si="38"/>
        <v>0</v>
      </c>
      <c r="AK38">
        <v>3.74</v>
      </c>
      <c r="AL38">
        <v>3.74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115</v>
      </c>
      <c r="AU38">
        <v>71</v>
      </c>
      <c r="AV38">
        <v>1</v>
      </c>
      <c r="AW38">
        <v>1</v>
      </c>
      <c r="AZ38">
        <v>6.71</v>
      </c>
      <c r="BA38">
        <v>1</v>
      </c>
      <c r="BB38">
        <v>1</v>
      </c>
      <c r="BC38">
        <v>6.71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79</v>
      </c>
      <c r="BM38">
        <v>17001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128</v>
      </c>
      <c r="CA38">
        <v>83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9"/>
        <v>175.67</v>
      </c>
      <c r="CQ38">
        <f t="shared" si="40"/>
        <v>25.095400000000001</v>
      </c>
      <c r="CR38">
        <f t="shared" si="41"/>
        <v>0</v>
      </c>
      <c r="CS38">
        <f t="shared" si="42"/>
        <v>0</v>
      </c>
      <c r="CT38">
        <f t="shared" si="43"/>
        <v>0</v>
      </c>
      <c r="CU38">
        <f t="shared" si="44"/>
        <v>0</v>
      </c>
      <c r="CV38">
        <f t="shared" si="45"/>
        <v>0</v>
      </c>
      <c r="CW38">
        <f t="shared" si="46"/>
        <v>0</v>
      </c>
      <c r="CX38">
        <f t="shared" si="47"/>
        <v>0</v>
      </c>
      <c r="CY38">
        <f t="shared" si="48"/>
        <v>0</v>
      </c>
      <c r="CZ38">
        <f t="shared" si="49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1010</v>
      </c>
      <c r="DV38" t="s">
        <v>46</v>
      </c>
      <c r="DW38" t="s">
        <v>46</v>
      </c>
      <c r="DX38">
        <v>1</v>
      </c>
      <c r="EE38">
        <v>39174531</v>
      </c>
      <c r="EF38">
        <v>2</v>
      </c>
      <c r="EG38" t="s">
        <v>19</v>
      </c>
      <c r="EH38">
        <v>0</v>
      </c>
      <c r="EI38" t="s">
        <v>3</v>
      </c>
      <c r="EJ38">
        <v>1</v>
      </c>
      <c r="EK38">
        <v>17001</v>
      </c>
      <c r="EL38" t="s">
        <v>71</v>
      </c>
      <c r="EM38" t="s">
        <v>72</v>
      </c>
      <c r="EO38" t="s">
        <v>3</v>
      </c>
      <c r="EQ38">
        <v>0</v>
      </c>
      <c r="ER38">
        <v>3.74</v>
      </c>
      <c r="ES38">
        <v>3.74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50"/>
        <v>0</v>
      </c>
      <c r="FS38">
        <v>0</v>
      </c>
      <c r="FT38" t="s">
        <v>22</v>
      </c>
      <c r="FU38" t="s">
        <v>23</v>
      </c>
      <c r="FX38">
        <v>115.2</v>
      </c>
      <c r="FY38">
        <v>70.55</v>
      </c>
      <c r="GA38" t="s">
        <v>3</v>
      </c>
      <c r="GD38">
        <v>0</v>
      </c>
      <c r="GF38">
        <v>2053814225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51"/>
        <v>0</v>
      </c>
      <c r="GM38">
        <f t="shared" si="52"/>
        <v>175.67</v>
      </c>
      <c r="GN38">
        <f t="shared" si="53"/>
        <v>175.67</v>
      </c>
      <c r="GO38">
        <f t="shared" si="54"/>
        <v>0</v>
      </c>
      <c r="GP38">
        <f t="shared" si="55"/>
        <v>0</v>
      </c>
      <c r="GR38">
        <v>0</v>
      </c>
      <c r="GS38">
        <v>0</v>
      </c>
      <c r="GT38">
        <v>0</v>
      </c>
      <c r="GU38" t="s">
        <v>3</v>
      </c>
      <c r="GV38">
        <f t="shared" si="56"/>
        <v>0</v>
      </c>
      <c r="GW38">
        <v>1</v>
      </c>
      <c r="GX38">
        <f t="shared" si="57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ROW(SmtRes!A46)</f>
        <v>46</v>
      </c>
      <c r="D39">
        <f>ROW(EtalonRes!A56)</f>
        <v>56</v>
      </c>
      <c r="E39" t="s">
        <v>80</v>
      </c>
      <c r="F39" t="s">
        <v>81</v>
      </c>
      <c r="G39" t="s">
        <v>82</v>
      </c>
      <c r="H39" t="s">
        <v>83</v>
      </c>
      <c r="I39">
        <v>20.399999999999999</v>
      </c>
      <c r="J39">
        <v>0</v>
      </c>
      <c r="O39">
        <f t="shared" si="21"/>
        <v>9733.82</v>
      </c>
      <c r="P39">
        <f t="shared" si="22"/>
        <v>3520.66</v>
      </c>
      <c r="Q39">
        <f t="shared" si="23"/>
        <v>2465.2800000000002</v>
      </c>
      <c r="R39">
        <f t="shared" si="24"/>
        <v>336.73</v>
      </c>
      <c r="S39">
        <f t="shared" si="25"/>
        <v>3747.88</v>
      </c>
      <c r="T39">
        <f t="shared" si="26"/>
        <v>0</v>
      </c>
      <c r="U39">
        <f t="shared" si="27"/>
        <v>56.303999999999995</v>
      </c>
      <c r="V39">
        <f t="shared" si="28"/>
        <v>4.335</v>
      </c>
      <c r="W39">
        <f t="shared" si="29"/>
        <v>0</v>
      </c>
      <c r="X39">
        <f t="shared" si="30"/>
        <v>3308.53</v>
      </c>
      <c r="Y39">
        <f t="shared" si="31"/>
        <v>2940.92</v>
      </c>
      <c r="AA39">
        <v>39096431</v>
      </c>
      <c r="AB39">
        <f t="shared" si="32"/>
        <v>71.11</v>
      </c>
      <c r="AC39">
        <f t="shared" si="58"/>
        <v>25.72</v>
      </c>
      <c r="AD39">
        <f>ROUND(((((ET39*1.25))-((EU39*1.25)))+AE39),2)</f>
        <v>18.010000000000002</v>
      </c>
      <c r="AE39">
        <f>ROUND(((EU39*1.25)),2)</f>
        <v>2.46</v>
      </c>
      <c r="AF39">
        <f>ROUND(((EV39*1.15)),2)</f>
        <v>27.38</v>
      </c>
      <c r="AG39">
        <f t="shared" si="36"/>
        <v>0</v>
      </c>
      <c r="AH39">
        <f>((EW39*1.15))</f>
        <v>2.76</v>
      </c>
      <c r="AI39">
        <f>((EX39*1.25))</f>
        <v>0.21250000000000002</v>
      </c>
      <c r="AJ39">
        <f t="shared" si="38"/>
        <v>0</v>
      </c>
      <c r="AK39">
        <v>63.94</v>
      </c>
      <c r="AL39">
        <v>25.72</v>
      </c>
      <c r="AM39">
        <v>14.41</v>
      </c>
      <c r="AN39">
        <v>1.97</v>
      </c>
      <c r="AO39">
        <v>23.81</v>
      </c>
      <c r="AP39">
        <v>0</v>
      </c>
      <c r="AQ39">
        <v>2.4</v>
      </c>
      <c r="AR39">
        <v>0.17</v>
      </c>
      <c r="AS39">
        <v>0</v>
      </c>
      <c r="AT39">
        <v>81</v>
      </c>
      <c r="AU39">
        <v>72</v>
      </c>
      <c r="AV39">
        <v>1</v>
      </c>
      <c r="AW39">
        <v>1</v>
      </c>
      <c r="AZ39">
        <v>6.71</v>
      </c>
      <c r="BA39">
        <v>6.71</v>
      </c>
      <c r="BB39">
        <v>6.71</v>
      </c>
      <c r="BC39">
        <v>6.71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84</v>
      </c>
      <c r="BM39">
        <v>9001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6.71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90</v>
      </c>
      <c r="CA39">
        <v>85</v>
      </c>
      <c r="CF39">
        <v>0</v>
      </c>
      <c r="CG39">
        <v>0</v>
      </c>
      <c r="CM39">
        <v>0</v>
      </c>
      <c r="CN39" t="s">
        <v>970</v>
      </c>
      <c r="CO39">
        <v>0</v>
      </c>
      <c r="CP39">
        <f t="shared" si="39"/>
        <v>9733.82</v>
      </c>
      <c r="CQ39">
        <f t="shared" si="40"/>
        <v>172.5812</v>
      </c>
      <c r="CR39">
        <f t="shared" si="41"/>
        <v>120.84710000000001</v>
      </c>
      <c r="CS39">
        <f t="shared" si="42"/>
        <v>16.506599999999999</v>
      </c>
      <c r="CT39">
        <f t="shared" si="43"/>
        <v>183.71979999999999</v>
      </c>
      <c r="CU39">
        <f t="shared" si="44"/>
        <v>0</v>
      </c>
      <c r="CV39">
        <f t="shared" si="45"/>
        <v>2.76</v>
      </c>
      <c r="CW39">
        <f t="shared" si="46"/>
        <v>0.21250000000000002</v>
      </c>
      <c r="CX39">
        <f t="shared" si="47"/>
        <v>0</v>
      </c>
      <c r="CY39">
        <f t="shared" si="48"/>
        <v>3308.5341000000003</v>
      </c>
      <c r="CZ39">
        <f t="shared" si="49"/>
        <v>2940.9191999999998</v>
      </c>
      <c r="DC39" t="s">
        <v>3</v>
      </c>
      <c r="DD39" t="s">
        <v>3</v>
      </c>
      <c r="DE39" t="s">
        <v>85</v>
      </c>
      <c r="DF39" t="s">
        <v>85</v>
      </c>
      <c r="DG39" t="s">
        <v>86</v>
      </c>
      <c r="DH39" t="s">
        <v>3</v>
      </c>
      <c r="DI39" t="s">
        <v>86</v>
      </c>
      <c r="DJ39" t="s">
        <v>85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83</v>
      </c>
      <c r="DW39" t="s">
        <v>83</v>
      </c>
      <c r="DX39">
        <v>1</v>
      </c>
      <c r="EE39">
        <v>39174502</v>
      </c>
      <c r="EF39">
        <v>2</v>
      </c>
      <c r="EG39" t="s">
        <v>19</v>
      </c>
      <c r="EH39">
        <v>0</v>
      </c>
      <c r="EI39" t="s">
        <v>3</v>
      </c>
      <c r="EJ39">
        <v>1</v>
      </c>
      <c r="EK39">
        <v>9001</v>
      </c>
      <c r="EL39" t="s">
        <v>87</v>
      </c>
      <c r="EM39" t="s">
        <v>88</v>
      </c>
      <c r="EO39" t="s">
        <v>89</v>
      </c>
      <c r="EQ39">
        <v>0</v>
      </c>
      <c r="ER39">
        <v>63.94</v>
      </c>
      <c r="ES39">
        <v>25.72</v>
      </c>
      <c r="ET39">
        <v>14.41</v>
      </c>
      <c r="EU39">
        <v>1.97</v>
      </c>
      <c r="EV39">
        <v>23.81</v>
      </c>
      <c r="EW39">
        <v>2.4</v>
      </c>
      <c r="EX39">
        <v>0.17</v>
      </c>
      <c r="EY39">
        <v>0</v>
      </c>
      <c r="FQ39">
        <v>0</v>
      </c>
      <c r="FR39">
        <f t="shared" si="50"/>
        <v>0</v>
      </c>
      <c r="FS39">
        <v>0</v>
      </c>
      <c r="FT39" t="s">
        <v>22</v>
      </c>
      <c r="FU39" t="s">
        <v>23</v>
      </c>
      <c r="FX39">
        <v>81</v>
      </c>
      <c r="FY39">
        <v>72.25</v>
      </c>
      <c r="GA39" t="s">
        <v>3</v>
      </c>
      <c r="GD39">
        <v>0</v>
      </c>
      <c r="GF39">
        <v>1555078569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51"/>
        <v>0</v>
      </c>
      <c r="GM39">
        <f t="shared" si="52"/>
        <v>15983.27</v>
      </c>
      <c r="GN39">
        <f t="shared" si="53"/>
        <v>15983.27</v>
      </c>
      <c r="GO39">
        <f t="shared" si="54"/>
        <v>0</v>
      </c>
      <c r="GP39">
        <f t="shared" si="55"/>
        <v>0</v>
      </c>
      <c r="GR39">
        <v>0</v>
      </c>
      <c r="GS39">
        <v>0</v>
      </c>
      <c r="GT39">
        <v>0</v>
      </c>
      <c r="GU39" t="s">
        <v>3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44</v>
      </c>
      <c r="E40" t="s">
        <v>90</v>
      </c>
      <c r="F40" t="s">
        <v>91</v>
      </c>
      <c r="G40" t="s">
        <v>92</v>
      </c>
      <c r="H40" t="s">
        <v>46</v>
      </c>
      <c r="I40">
        <f>I39*J40</f>
        <v>4</v>
      </c>
      <c r="J40">
        <v>0.19607843137254904</v>
      </c>
      <c r="O40">
        <f t="shared" si="21"/>
        <v>83337.13</v>
      </c>
      <c r="P40">
        <f t="shared" si="22"/>
        <v>83337.13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39096431</v>
      </c>
      <c r="AB40">
        <f t="shared" si="32"/>
        <v>3104.96</v>
      </c>
      <c r="AC40">
        <f t="shared" si="58"/>
        <v>3104.96</v>
      </c>
      <c r="AD40">
        <f>ROUND((((ET40)-(EU40))+AE40),2)</f>
        <v>0</v>
      </c>
      <c r="AE40">
        <f t="shared" ref="AE40:AF44" si="59">ROUND((EU40),2)</f>
        <v>0</v>
      </c>
      <c r="AF40">
        <f t="shared" si="59"/>
        <v>0</v>
      </c>
      <c r="AG40">
        <f t="shared" si="36"/>
        <v>0</v>
      </c>
      <c r="AH40">
        <f t="shared" ref="AH40:AI44" si="60">(EW40)</f>
        <v>0</v>
      </c>
      <c r="AI40">
        <f t="shared" si="60"/>
        <v>0</v>
      </c>
      <c r="AJ40">
        <f t="shared" si="38"/>
        <v>0</v>
      </c>
      <c r="AK40">
        <v>3104.96</v>
      </c>
      <c r="AL40">
        <v>3104.96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81</v>
      </c>
      <c r="AU40">
        <v>72</v>
      </c>
      <c r="AV40">
        <v>1</v>
      </c>
      <c r="AW40">
        <v>1</v>
      </c>
      <c r="AZ40">
        <v>6.71</v>
      </c>
      <c r="BA40">
        <v>1</v>
      </c>
      <c r="BB40">
        <v>1</v>
      </c>
      <c r="BC40">
        <v>6.71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93</v>
      </c>
      <c r="BM40">
        <v>9001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90</v>
      </c>
      <c r="CA40">
        <v>85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9"/>
        <v>83337.13</v>
      </c>
      <c r="CQ40">
        <f t="shared" si="40"/>
        <v>20834.281599999998</v>
      </c>
      <c r="CR40">
        <f t="shared" si="41"/>
        <v>0</v>
      </c>
      <c r="CS40">
        <f t="shared" si="42"/>
        <v>0</v>
      </c>
      <c r="CT40">
        <f t="shared" si="43"/>
        <v>0</v>
      </c>
      <c r="CU40">
        <f t="shared" si="44"/>
        <v>0</v>
      </c>
      <c r="CV40">
        <f t="shared" si="45"/>
        <v>0</v>
      </c>
      <c r="CW40">
        <f t="shared" si="46"/>
        <v>0</v>
      </c>
      <c r="CX40">
        <f t="shared" si="47"/>
        <v>0</v>
      </c>
      <c r="CY40">
        <f t="shared" si="48"/>
        <v>0</v>
      </c>
      <c r="CZ40">
        <f t="shared" si="49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46</v>
      </c>
      <c r="DW40" t="s">
        <v>46</v>
      </c>
      <c r="DX40">
        <v>1</v>
      </c>
      <c r="EE40">
        <v>39174502</v>
      </c>
      <c r="EF40">
        <v>2</v>
      </c>
      <c r="EG40" t="s">
        <v>19</v>
      </c>
      <c r="EH40">
        <v>0</v>
      </c>
      <c r="EI40" t="s">
        <v>3</v>
      </c>
      <c r="EJ40">
        <v>1</v>
      </c>
      <c r="EK40">
        <v>9001</v>
      </c>
      <c r="EL40" t="s">
        <v>87</v>
      </c>
      <c r="EM40" t="s">
        <v>88</v>
      </c>
      <c r="EO40" t="s">
        <v>3</v>
      </c>
      <c r="EQ40">
        <v>0</v>
      </c>
      <c r="ER40">
        <v>3104.96</v>
      </c>
      <c r="ES40">
        <v>3104.96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50"/>
        <v>0</v>
      </c>
      <c r="FS40">
        <v>0</v>
      </c>
      <c r="FT40" t="s">
        <v>22</v>
      </c>
      <c r="FU40" t="s">
        <v>23</v>
      </c>
      <c r="FX40">
        <v>81</v>
      </c>
      <c r="FY40">
        <v>72.25</v>
      </c>
      <c r="GA40" t="s">
        <v>3</v>
      </c>
      <c r="GD40">
        <v>0</v>
      </c>
      <c r="GF40">
        <v>-726818086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51"/>
        <v>0</v>
      </c>
      <c r="GM40">
        <f t="shared" si="52"/>
        <v>83337.13</v>
      </c>
      <c r="GN40">
        <f t="shared" si="53"/>
        <v>83337.13</v>
      </c>
      <c r="GO40">
        <f t="shared" si="54"/>
        <v>0</v>
      </c>
      <c r="GP40">
        <f t="shared" si="55"/>
        <v>0</v>
      </c>
      <c r="GR40">
        <v>0</v>
      </c>
      <c r="GS40">
        <v>3</v>
      </c>
      <c r="GT40">
        <v>0</v>
      </c>
      <c r="GU40" t="s">
        <v>3</v>
      </c>
      <c r="GV40">
        <f t="shared" si="56"/>
        <v>0</v>
      </c>
      <c r="GW40">
        <v>1</v>
      </c>
      <c r="GX40">
        <f t="shared" si="57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43</v>
      </c>
      <c r="E41" t="s">
        <v>94</v>
      </c>
      <c r="F41" t="s">
        <v>95</v>
      </c>
      <c r="G41" t="s">
        <v>96</v>
      </c>
      <c r="H41" t="s">
        <v>46</v>
      </c>
      <c r="I41">
        <f>I39*J41</f>
        <v>3</v>
      </c>
      <c r="J41">
        <v>0.14705882352941177</v>
      </c>
      <c r="O41">
        <f t="shared" si="21"/>
        <v>109732.86</v>
      </c>
      <c r="P41">
        <f t="shared" si="22"/>
        <v>109732.86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39096431</v>
      </c>
      <c r="AB41">
        <f t="shared" si="32"/>
        <v>5451.21</v>
      </c>
      <c r="AC41">
        <f t="shared" si="58"/>
        <v>5451.21</v>
      </c>
      <c r="AD41">
        <f>ROUND((((ET41)-(EU41))+AE41),2)</f>
        <v>0</v>
      </c>
      <c r="AE41">
        <f t="shared" si="59"/>
        <v>0</v>
      </c>
      <c r="AF41">
        <f t="shared" si="59"/>
        <v>0</v>
      </c>
      <c r="AG41">
        <f t="shared" si="36"/>
        <v>0</v>
      </c>
      <c r="AH41">
        <f t="shared" si="60"/>
        <v>0</v>
      </c>
      <c r="AI41">
        <f t="shared" si="60"/>
        <v>0</v>
      </c>
      <c r="AJ41">
        <f t="shared" si="38"/>
        <v>0</v>
      </c>
      <c r="AK41">
        <v>5451.21</v>
      </c>
      <c r="AL41">
        <v>5451.21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81</v>
      </c>
      <c r="AU41">
        <v>72</v>
      </c>
      <c r="AV41">
        <v>1</v>
      </c>
      <c r="AW41">
        <v>1</v>
      </c>
      <c r="AZ41">
        <v>6.71</v>
      </c>
      <c r="BA41">
        <v>1</v>
      </c>
      <c r="BB41">
        <v>1</v>
      </c>
      <c r="BC41">
        <v>6.71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97</v>
      </c>
      <c r="BM41">
        <v>9001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90</v>
      </c>
      <c r="CA41">
        <v>85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9"/>
        <v>109732.86</v>
      </c>
      <c r="CQ41">
        <f t="shared" si="40"/>
        <v>36577.619100000004</v>
      </c>
      <c r="CR41">
        <f t="shared" si="41"/>
        <v>0</v>
      </c>
      <c r="CS41">
        <f t="shared" si="42"/>
        <v>0</v>
      </c>
      <c r="CT41">
        <f t="shared" si="43"/>
        <v>0</v>
      </c>
      <c r="CU41">
        <f t="shared" si="44"/>
        <v>0</v>
      </c>
      <c r="CV41">
        <f t="shared" si="45"/>
        <v>0</v>
      </c>
      <c r="CW41">
        <f t="shared" si="46"/>
        <v>0</v>
      </c>
      <c r="CX41">
        <f t="shared" si="47"/>
        <v>0</v>
      </c>
      <c r="CY41">
        <f t="shared" si="48"/>
        <v>0</v>
      </c>
      <c r="CZ41">
        <f t="shared" si="49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46</v>
      </c>
      <c r="DW41" t="s">
        <v>46</v>
      </c>
      <c r="DX41">
        <v>1</v>
      </c>
      <c r="EE41">
        <v>39174502</v>
      </c>
      <c r="EF41">
        <v>2</v>
      </c>
      <c r="EG41" t="s">
        <v>19</v>
      </c>
      <c r="EH41">
        <v>0</v>
      </c>
      <c r="EI41" t="s">
        <v>3</v>
      </c>
      <c r="EJ41">
        <v>1</v>
      </c>
      <c r="EK41">
        <v>9001</v>
      </c>
      <c r="EL41" t="s">
        <v>87</v>
      </c>
      <c r="EM41" t="s">
        <v>88</v>
      </c>
      <c r="EO41" t="s">
        <v>3</v>
      </c>
      <c r="EQ41">
        <v>0</v>
      </c>
      <c r="ER41">
        <v>5451.21</v>
      </c>
      <c r="ES41">
        <v>5451.21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0"/>
        <v>0</v>
      </c>
      <c r="FS41">
        <v>0</v>
      </c>
      <c r="FT41" t="s">
        <v>22</v>
      </c>
      <c r="FU41" t="s">
        <v>23</v>
      </c>
      <c r="FX41">
        <v>81</v>
      </c>
      <c r="FY41">
        <v>72.25</v>
      </c>
      <c r="GA41" t="s">
        <v>3</v>
      </c>
      <c r="GD41">
        <v>0</v>
      </c>
      <c r="GF41">
        <v>445890676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51"/>
        <v>0</v>
      </c>
      <c r="GM41">
        <f t="shared" si="52"/>
        <v>109732.86</v>
      </c>
      <c r="GN41">
        <f t="shared" si="53"/>
        <v>109732.86</v>
      </c>
      <c r="GO41">
        <f t="shared" si="54"/>
        <v>0</v>
      </c>
      <c r="GP41">
        <f t="shared" si="55"/>
        <v>0</v>
      </c>
      <c r="GR41">
        <v>0</v>
      </c>
      <c r="GS41">
        <v>0</v>
      </c>
      <c r="GT41">
        <v>0</v>
      </c>
      <c r="GU41" t="s">
        <v>3</v>
      </c>
      <c r="GV41">
        <f t="shared" si="56"/>
        <v>0</v>
      </c>
      <c r="GW41">
        <v>1</v>
      </c>
      <c r="GX41">
        <f t="shared" si="57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ROW(SmtRes!A52)</f>
        <v>52</v>
      </c>
      <c r="D42">
        <f>ROW(EtalonRes!A63)</f>
        <v>63</v>
      </c>
      <c r="E42" t="s">
        <v>98</v>
      </c>
      <c r="F42" t="s">
        <v>99</v>
      </c>
      <c r="G42" t="s">
        <v>100</v>
      </c>
      <c r="H42" t="s">
        <v>101</v>
      </c>
      <c r="I42">
        <v>0.43</v>
      </c>
      <c r="J42">
        <v>0</v>
      </c>
      <c r="O42">
        <f t="shared" si="21"/>
        <v>3193.67</v>
      </c>
      <c r="P42">
        <f t="shared" si="22"/>
        <v>0.69</v>
      </c>
      <c r="Q42">
        <f t="shared" si="23"/>
        <v>135.49</v>
      </c>
      <c r="R42">
        <f t="shared" si="24"/>
        <v>0</v>
      </c>
      <c r="S42">
        <f t="shared" si="25"/>
        <v>3057.49</v>
      </c>
      <c r="T42">
        <f t="shared" si="26"/>
        <v>0</v>
      </c>
      <c r="U42">
        <f t="shared" si="27"/>
        <v>53.418900000000001</v>
      </c>
      <c r="V42">
        <f t="shared" si="28"/>
        <v>0</v>
      </c>
      <c r="W42">
        <f t="shared" si="29"/>
        <v>0</v>
      </c>
      <c r="X42">
        <f t="shared" si="30"/>
        <v>2445.9899999999998</v>
      </c>
      <c r="Y42">
        <f t="shared" si="31"/>
        <v>2079.09</v>
      </c>
      <c r="AA42">
        <v>39096431</v>
      </c>
      <c r="AB42">
        <f t="shared" si="32"/>
        <v>1106.8800000000001</v>
      </c>
      <c r="AC42">
        <f t="shared" si="58"/>
        <v>0.24</v>
      </c>
      <c r="AD42">
        <f>ROUND((((ET42)-(EU42))+AE42),2)</f>
        <v>46.96</v>
      </c>
      <c r="AE42">
        <f t="shared" si="59"/>
        <v>0</v>
      </c>
      <c r="AF42">
        <f t="shared" si="59"/>
        <v>1059.68</v>
      </c>
      <c r="AG42">
        <f t="shared" si="36"/>
        <v>0</v>
      </c>
      <c r="AH42">
        <f t="shared" si="60"/>
        <v>124.23</v>
      </c>
      <c r="AI42">
        <f t="shared" si="60"/>
        <v>0</v>
      </c>
      <c r="AJ42">
        <f t="shared" si="38"/>
        <v>0</v>
      </c>
      <c r="AK42">
        <v>1106.8800000000001</v>
      </c>
      <c r="AL42">
        <v>0.24</v>
      </c>
      <c r="AM42">
        <v>46.96</v>
      </c>
      <c r="AN42">
        <v>0</v>
      </c>
      <c r="AO42">
        <v>1059.68</v>
      </c>
      <c r="AP42">
        <v>0</v>
      </c>
      <c r="AQ42">
        <v>124.23</v>
      </c>
      <c r="AR42">
        <v>0</v>
      </c>
      <c r="AS42">
        <v>0</v>
      </c>
      <c r="AT42">
        <v>80</v>
      </c>
      <c r="AU42">
        <v>68</v>
      </c>
      <c r="AV42">
        <v>1</v>
      </c>
      <c r="AW42">
        <v>1</v>
      </c>
      <c r="AZ42">
        <v>6.71</v>
      </c>
      <c r="BA42">
        <v>6.71</v>
      </c>
      <c r="BB42">
        <v>6.71</v>
      </c>
      <c r="BC42">
        <v>6.71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1</v>
      </c>
      <c r="BJ42" t="s">
        <v>102</v>
      </c>
      <c r="BM42">
        <v>57001</v>
      </c>
      <c r="BN42">
        <v>0</v>
      </c>
      <c r="BO42" t="s">
        <v>3</v>
      </c>
      <c r="BP42">
        <v>0</v>
      </c>
      <c r="BQ42">
        <v>6</v>
      </c>
      <c r="BR42">
        <v>0</v>
      </c>
      <c r="BS42">
        <v>6.71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80</v>
      </c>
      <c r="CA42">
        <v>68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9"/>
        <v>3193.6699999999996</v>
      </c>
      <c r="CQ42">
        <f t="shared" si="40"/>
        <v>1.6103999999999998</v>
      </c>
      <c r="CR42">
        <f t="shared" si="41"/>
        <v>315.10160000000002</v>
      </c>
      <c r="CS42">
        <f t="shared" si="42"/>
        <v>0</v>
      </c>
      <c r="CT42">
        <f t="shared" si="43"/>
        <v>7110.4528</v>
      </c>
      <c r="CU42">
        <f t="shared" si="44"/>
        <v>0</v>
      </c>
      <c r="CV42">
        <f t="shared" si="45"/>
        <v>124.23</v>
      </c>
      <c r="CW42">
        <f t="shared" si="46"/>
        <v>0</v>
      </c>
      <c r="CX42">
        <f t="shared" si="47"/>
        <v>0</v>
      </c>
      <c r="CY42">
        <f t="shared" si="48"/>
        <v>2445.9919999999997</v>
      </c>
      <c r="CZ42">
        <f t="shared" si="49"/>
        <v>2079.0931999999998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101</v>
      </c>
      <c r="DW42" t="s">
        <v>101</v>
      </c>
      <c r="DX42">
        <v>1</v>
      </c>
      <c r="EE42">
        <v>39174582</v>
      </c>
      <c r="EF42">
        <v>6</v>
      </c>
      <c r="EG42" t="s">
        <v>29</v>
      </c>
      <c r="EH42">
        <v>0</v>
      </c>
      <c r="EI42" t="s">
        <v>3</v>
      </c>
      <c r="EJ42">
        <v>1</v>
      </c>
      <c r="EK42">
        <v>57001</v>
      </c>
      <c r="EL42" t="s">
        <v>30</v>
      </c>
      <c r="EM42" t="s">
        <v>31</v>
      </c>
      <c r="EO42" t="s">
        <v>3</v>
      </c>
      <c r="EQ42">
        <v>0</v>
      </c>
      <c r="ER42">
        <v>1106.8800000000001</v>
      </c>
      <c r="ES42">
        <v>0.24</v>
      </c>
      <c r="ET42">
        <v>46.96</v>
      </c>
      <c r="EU42">
        <v>0</v>
      </c>
      <c r="EV42">
        <v>1059.68</v>
      </c>
      <c r="EW42">
        <v>124.23</v>
      </c>
      <c r="EX42">
        <v>0</v>
      </c>
      <c r="EY42">
        <v>0</v>
      </c>
      <c r="FQ42">
        <v>0</v>
      </c>
      <c r="FR42">
        <f t="shared" si="50"/>
        <v>0</v>
      </c>
      <c r="FS42">
        <v>0</v>
      </c>
      <c r="FX42">
        <v>80</v>
      </c>
      <c r="FY42">
        <v>68</v>
      </c>
      <c r="GA42" t="s">
        <v>3</v>
      </c>
      <c r="GD42">
        <v>0</v>
      </c>
      <c r="GF42">
        <v>424324215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51"/>
        <v>0</v>
      </c>
      <c r="GM42">
        <f t="shared" si="52"/>
        <v>7718.75</v>
      </c>
      <c r="GN42">
        <f t="shared" si="53"/>
        <v>7718.75</v>
      </c>
      <c r="GO42">
        <f t="shared" si="54"/>
        <v>0</v>
      </c>
      <c r="GP42">
        <f t="shared" si="55"/>
        <v>0</v>
      </c>
      <c r="GR42">
        <v>0</v>
      </c>
      <c r="GS42">
        <v>0</v>
      </c>
      <c r="GT42">
        <v>0</v>
      </c>
      <c r="GU42" t="s">
        <v>3</v>
      </c>
      <c r="GV42">
        <f t="shared" si="56"/>
        <v>0</v>
      </c>
      <c r="GW42">
        <v>1</v>
      </c>
      <c r="GX42">
        <f t="shared" si="57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51</v>
      </c>
      <c r="E43" t="s">
        <v>103</v>
      </c>
      <c r="F43" t="s">
        <v>104</v>
      </c>
      <c r="G43" t="s">
        <v>105</v>
      </c>
      <c r="H43" t="s">
        <v>106</v>
      </c>
      <c r="I43">
        <f>I42*J43</f>
        <v>0.92020000000000002</v>
      </c>
      <c r="J43">
        <v>2.14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39096431</v>
      </c>
      <c r="AB43">
        <f t="shared" si="32"/>
        <v>0</v>
      </c>
      <c r="AC43">
        <f t="shared" si="58"/>
        <v>0</v>
      </c>
      <c r="AD43">
        <f>ROUND((((ET43)-(EU43))+AE43),2)</f>
        <v>0</v>
      </c>
      <c r="AE43">
        <f t="shared" si="59"/>
        <v>0</v>
      </c>
      <c r="AF43">
        <f t="shared" si="59"/>
        <v>0</v>
      </c>
      <c r="AG43">
        <f t="shared" si="36"/>
        <v>0</v>
      </c>
      <c r="AH43">
        <f t="shared" si="60"/>
        <v>0</v>
      </c>
      <c r="AI43">
        <f t="shared" si="60"/>
        <v>0</v>
      </c>
      <c r="AJ43">
        <f t="shared" si="38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6.71</v>
      </c>
      <c r="BA43">
        <v>1</v>
      </c>
      <c r="BB43">
        <v>1</v>
      </c>
      <c r="BC43">
        <v>6.71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3</v>
      </c>
      <c r="BM43">
        <v>57001</v>
      </c>
      <c r="BN43">
        <v>0</v>
      </c>
      <c r="BO43" t="s">
        <v>3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9"/>
        <v>0</v>
      </c>
      <c r="CQ43">
        <f t="shared" si="40"/>
        <v>0</v>
      </c>
      <c r="CR43">
        <f t="shared" si="41"/>
        <v>0</v>
      </c>
      <c r="CS43">
        <f t="shared" si="42"/>
        <v>0</v>
      </c>
      <c r="CT43">
        <f t="shared" si="43"/>
        <v>0</v>
      </c>
      <c r="CU43">
        <f t="shared" si="44"/>
        <v>0</v>
      </c>
      <c r="CV43">
        <f t="shared" si="45"/>
        <v>0</v>
      </c>
      <c r="CW43">
        <f t="shared" si="46"/>
        <v>0</v>
      </c>
      <c r="CX43">
        <f t="shared" si="47"/>
        <v>0</v>
      </c>
      <c r="CY43">
        <f t="shared" si="48"/>
        <v>0</v>
      </c>
      <c r="CZ43">
        <f t="shared" si="49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1007</v>
      </c>
      <c r="DV43" t="s">
        <v>106</v>
      </c>
      <c r="DW43" t="s">
        <v>106</v>
      </c>
      <c r="DX43">
        <v>1</v>
      </c>
      <c r="EE43">
        <v>39174582</v>
      </c>
      <c r="EF43">
        <v>6</v>
      </c>
      <c r="EG43" t="s">
        <v>29</v>
      </c>
      <c r="EH43">
        <v>0</v>
      </c>
      <c r="EI43" t="s">
        <v>3</v>
      </c>
      <c r="EJ43">
        <v>1</v>
      </c>
      <c r="EK43">
        <v>57001</v>
      </c>
      <c r="EL43" t="s">
        <v>30</v>
      </c>
      <c r="EM43" t="s">
        <v>31</v>
      </c>
      <c r="EO43" t="s">
        <v>3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0"/>
        <v>0</v>
      </c>
      <c r="FS43">
        <v>0</v>
      </c>
      <c r="FX43">
        <v>80</v>
      </c>
      <c r="FY43">
        <v>68</v>
      </c>
      <c r="GA43" t="s">
        <v>3</v>
      </c>
      <c r="GD43">
        <v>0</v>
      </c>
      <c r="GF43">
        <v>-2113302258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51"/>
        <v>0</v>
      </c>
      <c r="GM43">
        <f t="shared" si="52"/>
        <v>0</v>
      </c>
      <c r="GN43">
        <f t="shared" si="53"/>
        <v>0</v>
      </c>
      <c r="GO43">
        <f t="shared" si="54"/>
        <v>0</v>
      </c>
      <c r="GP43">
        <f t="shared" si="55"/>
        <v>0</v>
      </c>
      <c r="GR43">
        <v>0</v>
      </c>
      <c r="GS43">
        <v>3</v>
      </c>
      <c r="GT43">
        <v>0</v>
      </c>
      <c r="GU43" t="s">
        <v>3</v>
      </c>
      <c r="GV43">
        <f t="shared" si="56"/>
        <v>0</v>
      </c>
      <c r="GW43">
        <v>1</v>
      </c>
      <c r="GX43">
        <f t="shared" si="57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52</v>
      </c>
      <c r="E44" t="s">
        <v>107</v>
      </c>
      <c r="F44" t="s">
        <v>108</v>
      </c>
      <c r="G44" t="s">
        <v>109</v>
      </c>
      <c r="H44" t="s">
        <v>110</v>
      </c>
      <c r="I44">
        <f>I42*J44</f>
        <v>1.9965390000000001</v>
      </c>
      <c r="J44">
        <v>4.6431139534883723</v>
      </c>
      <c r="O44">
        <f t="shared" si="21"/>
        <v>9754.73</v>
      </c>
      <c r="P44">
        <f t="shared" si="22"/>
        <v>9754.73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39096431</v>
      </c>
      <c r="AB44">
        <f t="shared" si="32"/>
        <v>728.14</v>
      </c>
      <c r="AC44">
        <f t="shared" si="58"/>
        <v>728.14</v>
      </c>
      <c r="AD44">
        <f>ROUND((((ET44)-(EU44))+AE44),2)</f>
        <v>0</v>
      </c>
      <c r="AE44">
        <f t="shared" si="59"/>
        <v>0</v>
      </c>
      <c r="AF44">
        <f t="shared" si="59"/>
        <v>0</v>
      </c>
      <c r="AG44">
        <f t="shared" si="36"/>
        <v>0</v>
      </c>
      <c r="AH44">
        <f t="shared" si="60"/>
        <v>0</v>
      </c>
      <c r="AI44">
        <f t="shared" si="60"/>
        <v>0</v>
      </c>
      <c r="AJ44">
        <f t="shared" si="38"/>
        <v>0</v>
      </c>
      <c r="AK44">
        <v>728.14</v>
      </c>
      <c r="AL44">
        <v>728.14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</v>
      </c>
      <c r="AU44">
        <v>68</v>
      </c>
      <c r="AV44">
        <v>1</v>
      </c>
      <c r="AW44">
        <v>1</v>
      </c>
      <c r="AZ44">
        <v>6.71</v>
      </c>
      <c r="BA44">
        <v>1</v>
      </c>
      <c r="BB44">
        <v>1</v>
      </c>
      <c r="BC44">
        <v>6.71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111</v>
      </c>
      <c r="BM44">
        <v>57001</v>
      </c>
      <c r="BN44">
        <v>0</v>
      </c>
      <c r="BO44" t="s">
        <v>3</v>
      </c>
      <c r="BP44">
        <v>0</v>
      </c>
      <c r="BQ44">
        <v>6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68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9"/>
        <v>9754.73</v>
      </c>
      <c r="CQ44">
        <f t="shared" si="40"/>
        <v>4885.8194000000003</v>
      </c>
      <c r="CR44">
        <f t="shared" si="41"/>
        <v>0</v>
      </c>
      <c r="CS44">
        <f t="shared" si="42"/>
        <v>0</v>
      </c>
      <c r="CT44">
        <f t="shared" si="43"/>
        <v>0</v>
      </c>
      <c r="CU44">
        <f t="shared" si="44"/>
        <v>0</v>
      </c>
      <c r="CV44">
        <f t="shared" si="45"/>
        <v>0</v>
      </c>
      <c r="CW44">
        <f t="shared" si="46"/>
        <v>0</v>
      </c>
      <c r="CX44">
        <f t="shared" si="47"/>
        <v>0</v>
      </c>
      <c r="CY44">
        <f t="shared" si="48"/>
        <v>0</v>
      </c>
      <c r="CZ44">
        <f t="shared" si="49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110</v>
      </c>
      <c r="DW44" t="s">
        <v>110</v>
      </c>
      <c r="DX44">
        <v>1000</v>
      </c>
      <c r="EE44">
        <v>39174582</v>
      </c>
      <c r="EF44">
        <v>6</v>
      </c>
      <c r="EG44" t="s">
        <v>29</v>
      </c>
      <c r="EH44">
        <v>0</v>
      </c>
      <c r="EI44" t="s">
        <v>3</v>
      </c>
      <c r="EJ44">
        <v>1</v>
      </c>
      <c r="EK44">
        <v>57001</v>
      </c>
      <c r="EL44" t="s">
        <v>30</v>
      </c>
      <c r="EM44" t="s">
        <v>31</v>
      </c>
      <c r="EO44" t="s">
        <v>3</v>
      </c>
      <c r="EQ44">
        <v>0</v>
      </c>
      <c r="ER44">
        <v>728.14</v>
      </c>
      <c r="ES44">
        <v>728.14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50"/>
        <v>0</v>
      </c>
      <c r="FS44">
        <v>0</v>
      </c>
      <c r="FX44">
        <v>80</v>
      </c>
      <c r="FY44">
        <v>68</v>
      </c>
      <c r="GA44" t="s">
        <v>3</v>
      </c>
      <c r="GD44">
        <v>0</v>
      </c>
      <c r="GF44">
        <v>50694098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51"/>
        <v>0</v>
      </c>
      <c r="GM44">
        <f t="shared" si="52"/>
        <v>9754.73</v>
      </c>
      <c r="GN44">
        <f t="shared" si="53"/>
        <v>9754.73</v>
      </c>
      <c r="GO44">
        <f t="shared" si="54"/>
        <v>0</v>
      </c>
      <c r="GP44">
        <f t="shared" si="55"/>
        <v>0</v>
      </c>
      <c r="GR44">
        <v>0</v>
      </c>
      <c r="GS44">
        <v>0</v>
      </c>
      <c r="GT44">
        <v>0</v>
      </c>
      <c r="GU44" t="s">
        <v>3</v>
      </c>
      <c r="GV44">
        <f t="shared" si="56"/>
        <v>0</v>
      </c>
      <c r="GW44">
        <v>1</v>
      </c>
      <c r="GX44">
        <f t="shared" si="57"/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ROW(SmtRes!A59)</f>
        <v>59</v>
      </c>
      <c r="D45">
        <f>ROW(EtalonRes!A70)</f>
        <v>70</v>
      </c>
      <c r="E45" t="s">
        <v>112</v>
      </c>
      <c r="F45" t="s">
        <v>113</v>
      </c>
      <c r="G45" t="s">
        <v>114</v>
      </c>
      <c r="H45" t="s">
        <v>17</v>
      </c>
      <c r="I45">
        <v>3.3180000000000001</v>
      </c>
      <c r="J45">
        <v>0</v>
      </c>
      <c r="O45">
        <f t="shared" si="21"/>
        <v>246652.62</v>
      </c>
      <c r="P45">
        <f t="shared" si="22"/>
        <v>238252.06</v>
      </c>
      <c r="Q45">
        <f t="shared" si="23"/>
        <v>173.43</v>
      </c>
      <c r="R45">
        <f t="shared" si="24"/>
        <v>54.77</v>
      </c>
      <c r="S45">
        <f t="shared" si="25"/>
        <v>8227.1299999999992</v>
      </c>
      <c r="T45">
        <f t="shared" si="26"/>
        <v>0</v>
      </c>
      <c r="U45">
        <f t="shared" si="27"/>
        <v>143.73741899999999</v>
      </c>
      <c r="V45">
        <f t="shared" si="28"/>
        <v>0.70507500000000012</v>
      </c>
      <c r="W45">
        <f t="shared" si="29"/>
        <v>0</v>
      </c>
      <c r="X45">
        <f t="shared" si="30"/>
        <v>9192.91</v>
      </c>
      <c r="Y45">
        <f t="shared" si="31"/>
        <v>5300.42</v>
      </c>
      <c r="AA45">
        <v>39096431</v>
      </c>
      <c r="AB45">
        <f t="shared" si="32"/>
        <v>11078.65</v>
      </c>
      <c r="AC45">
        <f t="shared" si="58"/>
        <v>10701.33</v>
      </c>
      <c r="AD45">
        <f>ROUND(((((ET45*1.25))-((EU45*1.25)))+AE45),2)</f>
        <v>7.79</v>
      </c>
      <c r="AE45">
        <f>ROUND(((EU45*1.25)),2)</f>
        <v>2.46</v>
      </c>
      <c r="AF45">
        <f>ROUND(((EV45*1.15)),2)</f>
        <v>369.53</v>
      </c>
      <c r="AG45">
        <f t="shared" si="36"/>
        <v>0</v>
      </c>
      <c r="AH45">
        <f>((EW45*1.15))</f>
        <v>43.320499999999996</v>
      </c>
      <c r="AI45">
        <f>((EX45*1.25))</f>
        <v>0.21250000000000002</v>
      </c>
      <c r="AJ45">
        <f t="shared" si="38"/>
        <v>0</v>
      </c>
      <c r="AK45">
        <v>11028.89</v>
      </c>
      <c r="AL45">
        <v>10701.33</v>
      </c>
      <c r="AM45">
        <v>6.23</v>
      </c>
      <c r="AN45">
        <v>1.97</v>
      </c>
      <c r="AO45">
        <v>321.33</v>
      </c>
      <c r="AP45">
        <v>0</v>
      </c>
      <c r="AQ45">
        <v>37.67</v>
      </c>
      <c r="AR45">
        <v>0.17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6.71</v>
      </c>
      <c r="BA45">
        <v>6.71</v>
      </c>
      <c r="BB45">
        <v>6.71</v>
      </c>
      <c r="BC45">
        <v>6.71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">
        <v>115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6.71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970</v>
      </c>
      <c r="CO45">
        <v>0</v>
      </c>
      <c r="CP45">
        <f t="shared" si="39"/>
        <v>246652.62</v>
      </c>
      <c r="CQ45">
        <f t="shared" si="40"/>
        <v>71805.924299999999</v>
      </c>
      <c r="CR45">
        <f t="shared" si="41"/>
        <v>52.270899999999997</v>
      </c>
      <c r="CS45">
        <f t="shared" si="42"/>
        <v>16.506599999999999</v>
      </c>
      <c r="CT45">
        <f t="shared" si="43"/>
        <v>2479.5463</v>
      </c>
      <c r="CU45">
        <f t="shared" si="44"/>
        <v>0</v>
      </c>
      <c r="CV45">
        <f t="shared" si="45"/>
        <v>43.320499999999996</v>
      </c>
      <c r="CW45">
        <f t="shared" si="46"/>
        <v>0.21250000000000002</v>
      </c>
      <c r="CX45">
        <f t="shared" si="47"/>
        <v>0</v>
      </c>
      <c r="CY45">
        <f t="shared" si="48"/>
        <v>9192.9089999999997</v>
      </c>
      <c r="CZ45">
        <f t="shared" si="49"/>
        <v>5300.4160000000002</v>
      </c>
      <c r="DC45" t="s">
        <v>3</v>
      </c>
      <c r="DD45" t="s">
        <v>3</v>
      </c>
      <c r="DE45" t="s">
        <v>85</v>
      </c>
      <c r="DF45" t="s">
        <v>85</v>
      </c>
      <c r="DG45" t="s">
        <v>86</v>
      </c>
      <c r="DH45" t="s">
        <v>3</v>
      </c>
      <c r="DI45" t="s">
        <v>86</v>
      </c>
      <c r="DJ45" t="s">
        <v>85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17</v>
      </c>
      <c r="DW45" t="s">
        <v>17</v>
      </c>
      <c r="DX45">
        <v>100</v>
      </c>
      <c r="EE45">
        <v>39174504</v>
      </c>
      <c r="EF45">
        <v>2</v>
      </c>
      <c r="EG45" t="s">
        <v>19</v>
      </c>
      <c r="EH45">
        <v>0</v>
      </c>
      <c r="EI45" t="s">
        <v>3</v>
      </c>
      <c r="EJ45">
        <v>1</v>
      </c>
      <c r="EK45">
        <v>11001</v>
      </c>
      <c r="EL45" t="s">
        <v>30</v>
      </c>
      <c r="EM45" t="s">
        <v>116</v>
      </c>
      <c r="EO45" t="s">
        <v>89</v>
      </c>
      <c r="EQ45">
        <v>0</v>
      </c>
      <c r="ER45">
        <v>11028.89</v>
      </c>
      <c r="ES45">
        <v>10701.33</v>
      </c>
      <c r="ET45">
        <v>6.23</v>
      </c>
      <c r="EU45">
        <v>1.97</v>
      </c>
      <c r="EV45">
        <v>321.33</v>
      </c>
      <c r="EW45">
        <v>37.67</v>
      </c>
      <c r="EX45">
        <v>0.17</v>
      </c>
      <c r="EY45">
        <v>0</v>
      </c>
      <c r="FQ45">
        <v>0</v>
      </c>
      <c r="FR45">
        <f t="shared" si="50"/>
        <v>0</v>
      </c>
      <c r="FS45">
        <v>0</v>
      </c>
      <c r="FT45" t="s">
        <v>22</v>
      </c>
      <c r="FU45" t="s">
        <v>23</v>
      </c>
      <c r="FX45">
        <v>110.7</v>
      </c>
      <c r="FY45">
        <v>63.75</v>
      </c>
      <c r="GA45" t="s">
        <v>3</v>
      </c>
      <c r="GD45">
        <v>0</v>
      </c>
      <c r="GF45">
        <v>1715562049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51"/>
        <v>0</v>
      </c>
      <c r="GM45">
        <f t="shared" si="52"/>
        <v>261145.95</v>
      </c>
      <c r="GN45">
        <f t="shared" si="53"/>
        <v>261145.95</v>
      </c>
      <c r="GO45">
        <f t="shared" si="54"/>
        <v>0</v>
      </c>
      <c r="GP45">
        <f t="shared" si="55"/>
        <v>0</v>
      </c>
      <c r="GR45">
        <v>0</v>
      </c>
      <c r="GS45">
        <v>3</v>
      </c>
      <c r="GT45">
        <v>0</v>
      </c>
      <c r="GU45" t="s">
        <v>3</v>
      </c>
      <c r="GV45">
        <f t="shared" si="56"/>
        <v>0</v>
      </c>
      <c r="GW45">
        <v>1</v>
      </c>
      <c r="GX45">
        <f t="shared" si="57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ROW(EtalonRes!A76)</f>
        <v>76</v>
      </c>
      <c r="E46" t="s">
        <v>117</v>
      </c>
      <c r="F46" t="s">
        <v>118</v>
      </c>
      <c r="G46" t="s">
        <v>119</v>
      </c>
      <c r="H46" t="s">
        <v>17</v>
      </c>
      <c r="I46">
        <v>3.3180000000000001</v>
      </c>
      <c r="J46">
        <v>0</v>
      </c>
      <c r="O46">
        <f t="shared" si="21"/>
        <v>230875.41</v>
      </c>
      <c r="P46">
        <f t="shared" si="22"/>
        <v>228064.6</v>
      </c>
      <c r="Q46">
        <f t="shared" si="23"/>
        <v>168.54</v>
      </c>
      <c r="R46">
        <f t="shared" si="24"/>
        <v>48.76</v>
      </c>
      <c r="S46">
        <f t="shared" si="25"/>
        <v>2642.27</v>
      </c>
      <c r="T46">
        <f t="shared" si="26"/>
        <v>0</v>
      </c>
      <c r="U46">
        <f t="shared" si="27"/>
        <v>46.169969999999999</v>
      </c>
      <c r="V46">
        <f t="shared" si="28"/>
        <v>0.62212500000000004</v>
      </c>
      <c r="W46">
        <f t="shared" si="29"/>
        <v>0</v>
      </c>
      <c r="X46">
        <f t="shared" si="30"/>
        <v>2987.04</v>
      </c>
      <c r="Y46">
        <f t="shared" si="31"/>
        <v>1722.26</v>
      </c>
      <c r="AA46">
        <v>39096431</v>
      </c>
      <c r="AB46">
        <f t="shared" si="32"/>
        <v>10370</v>
      </c>
      <c r="AC46">
        <f>ROUND(((ES46*5)),2)</f>
        <v>10243.75</v>
      </c>
      <c r="AD46">
        <f>ROUND(((((ET46*1.25*5))-((EU46*1.25*5)))+AE46),2)</f>
        <v>7.57</v>
      </c>
      <c r="AE46">
        <f>ROUND(((EU46*1.25*5)),2)</f>
        <v>2.19</v>
      </c>
      <c r="AF46">
        <f>ROUND(((EV46*1.15*5)),2)</f>
        <v>118.68</v>
      </c>
      <c r="AG46">
        <f t="shared" si="36"/>
        <v>0</v>
      </c>
      <c r="AH46">
        <f>((EW46*1.15*5))</f>
        <v>13.914999999999999</v>
      </c>
      <c r="AI46">
        <f>((EX46*1.25*5))</f>
        <v>0.1875</v>
      </c>
      <c r="AJ46">
        <f t="shared" si="38"/>
        <v>0</v>
      </c>
      <c r="AK46">
        <v>2070.6</v>
      </c>
      <c r="AL46">
        <v>2048.75</v>
      </c>
      <c r="AM46">
        <v>1.21</v>
      </c>
      <c r="AN46">
        <v>0.35</v>
      </c>
      <c r="AO46">
        <v>20.64</v>
      </c>
      <c r="AP46">
        <v>0</v>
      </c>
      <c r="AQ46">
        <v>2.42</v>
      </c>
      <c r="AR46">
        <v>0.03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6.71</v>
      </c>
      <c r="BA46">
        <v>6.71</v>
      </c>
      <c r="BB46">
        <v>6.71</v>
      </c>
      <c r="BC46">
        <v>6.71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120</v>
      </c>
      <c r="BM46">
        <v>11001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6.71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970</v>
      </c>
      <c r="CO46">
        <v>0</v>
      </c>
      <c r="CP46">
        <f t="shared" si="39"/>
        <v>230875.41</v>
      </c>
      <c r="CQ46">
        <f t="shared" si="40"/>
        <v>68735.5625</v>
      </c>
      <c r="CR46">
        <f t="shared" si="41"/>
        <v>50.794699999999999</v>
      </c>
      <c r="CS46">
        <f t="shared" si="42"/>
        <v>14.694899999999999</v>
      </c>
      <c r="CT46">
        <f t="shared" si="43"/>
        <v>796.34280000000001</v>
      </c>
      <c r="CU46">
        <f t="shared" si="44"/>
        <v>0</v>
      </c>
      <c r="CV46">
        <f t="shared" si="45"/>
        <v>13.914999999999999</v>
      </c>
      <c r="CW46">
        <f t="shared" si="46"/>
        <v>0.1875</v>
      </c>
      <c r="CX46">
        <f t="shared" si="47"/>
        <v>0</v>
      </c>
      <c r="CY46">
        <f t="shared" si="48"/>
        <v>2987.0433000000003</v>
      </c>
      <c r="CZ46">
        <f t="shared" si="49"/>
        <v>1722.2592000000002</v>
      </c>
      <c r="DC46" t="s">
        <v>3</v>
      </c>
      <c r="DD46" t="s">
        <v>121</v>
      </c>
      <c r="DE46" t="s">
        <v>122</v>
      </c>
      <c r="DF46" t="s">
        <v>122</v>
      </c>
      <c r="DG46" t="s">
        <v>123</v>
      </c>
      <c r="DH46" t="s">
        <v>3</v>
      </c>
      <c r="DI46" t="s">
        <v>123</v>
      </c>
      <c r="DJ46" t="s">
        <v>122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17</v>
      </c>
      <c r="DW46" t="s">
        <v>17</v>
      </c>
      <c r="DX46">
        <v>100</v>
      </c>
      <c r="EE46">
        <v>39174504</v>
      </c>
      <c r="EF46">
        <v>2</v>
      </c>
      <c r="EG46" t="s">
        <v>19</v>
      </c>
      <c r="EH46">
        <v>0</v>
      </c>
      <c r="EI46" t="s">
        <v>3</v>
      </c>
      <c r="EJ46">
        <v>1</v>
      </c>
      <c r="EK46">
        <v>11001</v>
      </c>
      <c r="EL46" t="s">
        <v>30</v>
      </c>
      <c r="EM46" t="s">
        <v>116</v>
      </c>
      <c r="EO46" t="s">
        <v>89</v>
      </c>
      <c r="EQ46">
        <v>0</v>
      </c>
      <c r="ER46">
        <v>2070.6</v>
      </c>
      <c r="ES46">
        <v>2048.75</v>
      </c>
      <c r="ET46">
        <v>1.21</v>
      </c>
      <c r="EU46">
        <v>0.35</v>
      </c>
      <c r="EV46">
        <v>20.64</v>
      </c>
      <c r="EW46">
        <v>2.42</v>
      </c>
      <c r="EX46">
        <v>0.03</v>
      </c>
      <c r="EY46">
        <v>0</v>
      </c>
      <c r="FQ46">
        <v>0</v>
      </c>
      <c r="FR46">
        <f t="shared" si="50"/>
        <v>0</v>
      </c>
      <c r="FS46">
        <v>0</v>
      </c>
      <c r="FT46" t="s">
        <v>22</v>
      </c>
      <c r="FU46" t="s">
        <v>23</v>
      </c>
      <c r="FX46">
        <v>110.7</v>
      </c>
      <c r="FY46">
        <v>63.75</v>
      </c>
      <c r="GA46" t="s">
        <v>3</v>
      </c>
      <c r="GD46">
        <v>0</v>
      </c>
      <c r="GF46">
        <v>337317905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51"/>
        <v>0</v>
      </c>
      <c r="GM46">
        <f t="shared" si="52"/>
        <v>235584.71</v>
      </c>
      <c r="GN46">
        <f t="shared" si="53"/>
        <v>235584.71</v>
      </c>
      <c r="GO46">
        <f t="shared" si="54"/>
        <v>0</v>
      </c>
      <c r="GP46">
        <f t="shared" si="55"/>
        <v>0</v>
      </c>
      <c r="GR46">
        <v>0</v>
      </c>
      <c r="GS46">
        <v>3</v>
      </c>
      <c r="GT46">
        <v>0</v>
      </c>
      <c r="GU46" t="s">
        <v>3</v>
      </c>
      <c r="GV46">
        <f t="shared" si="56"/>
        <v>0</v>
      </c>
      <c r="GW46">
        <v>1</v>
      </c>
      <c r="GX46">
        <f t="shared" si="57"/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ROW(SmtRes!A74)</f>
        <v>74</v>
      </c>
      <c r="D47">
        <f>ROW(EtalonRes!A83)</f>
        <v>83</v>
      </c>
      <c r="E47" t="s">
        <v>124</v>
      </c>
      <c r="F47" t="s">
        <v>125</v>
      </c>
      <c r="G47" t="s">
        <v>126</v>
      </c>
      <c r="H47" t="s">
        <v>17</v>
      </c>
      <c r="I47">
        <v>3.3180000000000001</v>
      </c>
      <c r="J47">
        <v>0</v>
      </c>
      <c r="O47">
        <f t="shared" si="21"/>
        <v>10260.26</v>
      </c>
      <c r="P47">
        <f t="shared" si="22"/>
        <v>20.260000000000002</v>
      </c>
      <c r="Q47">
        <f t="shared" si="23"/>
        <v>1218.94</v>
      </c>
      <c r="R47">
        <f t="shared" si="24"/>
        <v>292.99</v>
      </c>
      <c r="S47">
        <f t="shared" si="25"/>
        <v>9021.06</v>
      </c>
      <c r="T47">
        <f t="shared" si="26"/>
        <v>0</v>
      </c>
      <c r="U47">
        <f t="shared" si="27"/>
        <v>161.78567999999999</v>
      </c>
      <c r="V47">
        <f t="shared" si="28"/>
        <v>3.5253749999999999</v>
      </c>
      <c r="W47">
        <f t="shared" si="29"/>
        <v>0</v>
      </c>
      <c r="X47">
        <f t="shared" si="30"/>
        <v>10338.6</v>
      </c>
      <c r="Y47">
        <f t="shared" si="31"/>
        <v>5960.99</v>
      </c>
      <c r="AA47">
        <v>39096431</v>
      </c>
      <c r="AB47">
        <f t="shared" si="32"/>
        <v>460.85</v>
      </c>
      <c r="AC47">
        <f t="shared" ref="AC47:AC83" si="61">ROUND((ES47),2)</f>
        <v>0.91</v>
      </c>
      <c r="AD47">
        <f>ROUND(((((ET47*1.25))-((EU47*1.25)))+AE47),2)</f>
        <v>54.75</v>
      </c>
      <c r="AE47">
        <f>ROUND(((EU47*1.25)),2)</f>
        <v>13.16</v>
      </c>
      <c r="AF47">
        <f>ROUND(((EV47*1.15)),2)</f>
        <v>405.19</v>
      </c>
      <c r="AG47">
        <f t="shared" si="36"/>
        <v>0</v>
      </c>
      <c r="AH47">
        <f>((EW47*1.15))</f>
        <v>48.76</v>
      </c>
      <c r="AI47">
        <f>((EX47*1.25))</f>
        <v>1.0625</v>
      </c>
      <c r="AJ47">
        <f t="shared" si="38"/>
        <v>0</v>
      </c>
      <c r="AK47">
        <v>397.05</v>
      </c>
      <c r="AL47">
        <v>0.91</v>
      </c>
      <c r="AM47">
        <v>43.8</v>
      </c>
      <c r="AN47">
        <v>10.53</v>
      </c>
      <c r="AO47">
        <v>352.34</v>
      </c>
      <c r="AP47">
        <v>0</v>
      </c>
      <c r="AQ47">
        <v>42.4</v>
      </c>
      <c r="AR47">
        <v>0.85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6.71</v>
      </c>
      <c r="BA47">
        <v>6.71</v>
      </c>
      <c r="BB47">
        <v>6.71</v>
      </c>
      <c r="BC47">
        <v>6.71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127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6.71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970</v>
      </c>
      <c r="CO47">
        <v>0</v>
      </c>
      <c r="CP47">
        <f t="shared" si="39"/>
        <v>10260.26</v>
      </c>
      <c r="CQ47">
        <f t="shared" si="40"/>
        <v>6.1061000000000005</v>
      </c>
      <c r="CR47">
        <f t="shared" si="41"/>
        <v>367.3725</v>
      </c>
      <c r="CS47">
        <f t="shared" si="42"/>
        <v>88.303600000000003</v>
      </c>
      <c r="CT47">
        <f t="shared" si="43"/>
        <v>2718.8249000000001</v>
      </c>
      <c r="CU47">
        <f t="shared" si="44"/>
        <v>0</v>
      </c>
      <c r="CV47">
        <f t="shared" si="45"/>
        <v>48.76</v>
      </c>
      <c r="CW47">
        <f t="shared" si="46"/>
        <v>1.0625</v>
      </c>
      <c r="CX47">
        <f t="shared" si="47"/>
        <v>0</v>
      </c>
      <c r="CY47">
        <f t="shared" si="48"/>
        <v>10338.595499999999</v>
      </c>
      <c r="CZ47">
        <f t="shared" si="49"/>
        <v>5960.9919999999993</v>
      </c>
      <c r="DC47" t="s">
        <v>3</v>
      </c>
      <c r="DD47" t="s">
        <v>3</v>
      </c>
      <c r="DE47" t="s">
        <v>85</v>
      </c>
      <c r="DF47" t="s">
        <v>85</v>
      </c>
      <c r="DG47" t="s">
        <v>86</v>
      </c>
      <c r="DH47" t="s">
        <v>3</v>
      </c>
      <c r="DI47" t="s">
        <v>86</v>
      </c>
      <c r="DJ47" t="s">
        <v>85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17</v>
      </c>
      <c r="DW47" t="s">
        <v>17</v>
      </c>
      <c r="DX47">
        <v>100</v>
      </c>
      <c r="EE47">
        <v>39174504</v>
      </c>
      <c r="EF47">
        <v>2</v>
      </c>
      <c r="EG47" t="s">
        <v>19</v>
      </c>
      <c r="EH47">
        <v>0</v>
      </c>
      <c r="EI47" t="s">
        <v>3</v>
      </c>
      <c r="EJ47">
        <v>1</v>
      </c>
      <c r="EK47">
        <v>11001</v>
      </c>
      <c r="EL47" t="s">
        <v>30</v>
      </c>
      <c r="EM47" t="s">
        <v>116</v>
      </c>
      <c r="EO47" t="s">
        <v>89</v>
      </c>
      <c r="EQ47">
        <v>0</v>
      </c>
      <c r="ER47">
        <v>397.05</v>
      </c>
      <c r="ES47">
        <v>0.91</v>
      </c>
      <c r="ET47">
        <v>43.8</v>
      </c>
      <c r="EU47">
        <v>10.53</v>
      </c>
      <c r="EV47">
        <v>352.34</v>
      </c>
      <c r="EW47">
        <v>42.4</v>
      </c>
      <c r="EX47">
        <v>0.85</v>
      </c>
      <c r="EY47">
        <v>0</v>
      </c>
      <c r="FQ47">
        <v>0</v>
      </c>
      <c r="FR47">
        <f t="shared" si="50"/>
        <v>0</v>
      </c>
      <c r="FS47">
        <v>0</v>
      </c>
      <c r="FT47" t="s">
        <v>22</v>
      </c>
      <c r="FU47" t="s">
        <v>23</v>
      </c>
      <c r="FX47">
        <v>110.7</v>
      </c>
      <c r="FY47">
        <v>63.75</v>
      </c>
      <c r="GA47" t="s">
        <v>3</v>
      </c>
      <c r="GD47">
        <v>0</v>
      </c>
      <c r="GF47">
        <v>35623097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51"/>
        <v>0</v>
      </c>
      <c r="GM47">
        <f t="shared" si="52"/>
        <v>26559.85</v>
      </c>
      <c r="GN47">
        <f t="shared" si="53"/>
        <v>26559.85</v>
      </c>
      <c r="GO47">
        <f t="shared" si="54"/>
        <v>0</v>
      </c>
      <c r="GP47">
        <f t="shared" si="55"/>
        <v>0</v>
      </c>
      <c r="GR47">
        <v>0</v>
      </c>
      <c r="GS47">
        <v>0</v>
      </c>
      <c r="GT47">
        <v>0</v>
      </c>
      <c r="GU47" t="s">
        <v>3</v>
      </c>
      <c r="GV47">
        <f t="shared" si="56"/>
        <v>0</v>
      </c>
      <c r="GW47">
        <v>1</v>
      </c>
      <c r="GX47">
        <f t="shared" si="57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70</v>
      </c>
      <c r="E48" t="s">
        <v>128</v>
      </c>
      <c r="F48" t="s">
        <v>129</v>
      </c>
      <c r="G48" t="s">
        <v>130</v>
      </c>
      <c r="H48" t="s">
        <v>83</v>
      </c>
      <c r="I48">
        <f>I47*J48</f>
        <v>338.43599999999998</v>
      </c>
      <c r="J48">
        <v>101.99999999999999</v>
      </c>
      <c r="O48">
        <f t="shared" si="21"/>
        <v>0</v>
      </c>
      <c r="P48">
        <f t="shared" si="22"/>
        <v>0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39096431</v>
      </c>
      <c r="AB48">
        <f t="shared" si="32"/>
        <v>0</v>
      </c>
      <c r="AC48">
        <f t="shared" si="61"/>
        <v>0</v>
      </c>
      <c r="AD48">
        <f>ROUND((((ET48)-(EU48))+AE48),2)</f>
        <v>0</v>
      </c>
      <c r="AE48">
        <f t="shared" ref="AE48:AF51" si="62">ROUND((EU48),2)</f>
        <v>0</v>
      </c>
      <c r="AF48">
        <f t="shared" si="62"/>
        <v>0</v>
      </c>
      <c r="AG48">
        <f t="shared" si="36"/>
        <v>0</v>
      </c>
      <c r="AH48">
        <f t="shared" ref="AH48:AI51" si="63">(EW48)</f>
        <v>0</v>
      </c>
      <c r="AI48">
        <f t="shared" si="63"/>
        <v>0</v>
      </c>
      <c r="AJ48">
        <f t="shared" si="38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111</v>
      </c>
      <c r="AU48">
        <v>64</v>
      </c>
      <c r="AV48">
        <v>1</v>
      </c>
      <c r="AW48">
        <v>1</v>
      </c>
      <c r="AZ48">
        <v>6.71</v>
      </c>
      <c r="BA48">
        <v>1</v>
      </c>
      <c r="BB48">
        <v>1</v>
      </c>
      <c r="BC48">
        <v>6.71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11001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123</v>
      </c>
      <c r="CA48">
        <v>75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9"/>
        <v>0</v>
      </c>
      <c r="CQ48">
        <f t="shared" si="40"/>
        <v>0</v>
      </c>
      <c r="CR48">
        <f t="shared" si="41"/>
        <v>0</v>
      </c>
      <c r="CS48">
        <f t="shared" si="42"/>
        <v>0</v>
      </c>
      <c r="CT48">
        <f t="shared" si="43"/>
        <v>0</v>
      </c>
      <c r="CU48">
        <f t="shared" si="44"/>
        <v>0</v>
      </c>
      <c r="CV48">
        <f t="shared" si="45"/>
        <v>0</v>
      </c>
      <c r="CW48">
        <f t="shared" si="46"/>
        <v>0</v>
      </c>
      <c r="CX48">
        <f t="shared" si="47"/>
        <v>0</v>
      </c>
      <c r="CY48">
        <f t="shared" si="48"/>
        <v>0</v>
      </c>
      <c r="CZ48">
        <f t="shared" si="49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83</v>
      </c>
      <c r="DW48" t="s">
        <v>83</v>
      </c>
      <c r="DX48">
        <v>1</v>
      </c>
      <c r="EE48">
        <v>39174504</v>
      </c>
      <c r="EF48">
        <v>2</v>
      </c>
      <c r="EG48" t="s">
        <v>19</v>
      </c>
      <c r="EH48">
        <v>0</v>
      </c>
      <c r="EI48" t="s">
        <v>3</v>
      </c>
      <c r="EJ48">
        <v>1</v>
      </c>
      <c r="EK48">
        <v>11001</v>
      </c>
      <c r="EL48" t="s">
        <v>30</v>
      </c>
      <c r="EM48" t="s">
        <v>116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50"/>
        <v>0</v>
      </c>
      <c r="FS48">
        <v>0</v>
      </c>
      <c r="FT48" t="s">
        <v>22</v>
      </c>
      <c r="FU48" t="s">
        <v>23</v>
      </c>
      <c r="FX48">
        <v>110.7</v>
      </c>
      <c r="FY48">
        <v>63.75</v>
      </c>
      <c r="GA48" t="s">
        <v>3</v>
      </c>
      <c r="GD48">
        <v>0</v>
      </c>
      <c r="GF48">
        <v>-919469713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51"/>
        <v>0</v>
      </c>
      <c r="GM48">
        <f t="shared" si="52"/>
        <v>0</v>
      </c>
      <c r="GN48">
        <f t="shared" si="53"/>
        <v>0</v>
      </c>
      <c r="GO48">
        <f t="shared" si="54"/>
        <v>0</v>
      </c>
      <c r="GP48">
        <f t="shared" si="55"/>
        <v>0</v>
      </c>
      <c r="GR48">
        <v>0</v>
      </c>
      <c r="GS48">
        <v>3</v>
      </c>
      <c r="GT48">
        <v>0</v>
      </c>
      <c r="GU48" t="s">
        <v>3</v>
      </c>
      <c r="GV48">
        <f t="shared" si="56"/>
        <v>0</v>
      </c>
      <c r="GW48">
        <v>1</v>
      </c>
      <c r="GX48">
        <f t="shared" si="57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71</v>
      </c>
      <c r="E49" t="s">
        <v>131</v>
      </c>
      <c r="F49" t="s">
        <v>132</v>
      </c>
      <c r="G49" t="s">
        <v>133</v>
      </c>
      <c r="H49" t="s">
        <v>83</v>
      </c>
      <c r="I49">
        <f>I47*J49</f>
        <v>338.43599999999998</v>
      </c>
      <c r="J49">
        <v>101.99999999999999</v>
      </c>
      <c r="O49">
        <f t="shared" si="21"/>
        <v>175995.18</v>
      </c>
      <c r="P49">
        <f t="shared" si="22"/>
        <v>175995.18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39096431</v>
      </c>
      <c r="AB49">
        <f t="shared" si="32"/>
        <v>77.5</v>
      </c>
      <c r="AC49">
        <f t="shared" si="61"/>
        <v>77.5</v>
      </c>
      <c r="AD49">
        <f>ROUND((((ET49)-(EU49))+AE49),2)</f>
        <v>0</v>
      </c>
      <c r="AE49">
        <f t="shared" si="62"/>
        <v>0</v>
      </c>
      <c r="AF49">
        <f t="shared" si="62"/>
        <v>0</v>
      </c>
      <c r="AG49">
        <f t="shared" si="36"/>
        <v>0</v>
      </c>
      <c r="AH49">
        <f t="shared" si="63"/>
        <v>0</v>
      </c>
      <c r="AI49">
        <f t="shared" si="63"/>
        <v>0</v>
      </c>
      <c r="AJ49">
        <f t="shared" si="38"/>
        <v>0</v>
      </c>
      <c r="AK49">
        <v>77.5</v>
      </c>
      <c r="AL49">
        <v>77.5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6.71</v>
      </c>
      <c r="BA49">
        <v>1</v>
      </c>
      <c r="BB49">
        <v>1</v>
      </c>
      <c r="BC49">
        <v>6.71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134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9"/>
        <v>175995.18</v>
      </c>
      <c r="CQ49">
        <f t="shared" si="40"/>
        <v>520.02499999999998</v>
      </c>
      <c r="CR49">
        <f t="shared" si="41"/>
        <v>0</v>
      </c>
      <c r="CS49">
        <f t="shared" si="42"/>
        <v>0</v>
      </c>
      <c r="CT49">
        <f t="shared" si="43"/>
        <v>0</v>
      </c>
      <c r="CU49">
        <f t="shared" si="44"/>
        <v>0</v>
      </c>
      <c r="CV49">
        <f t="shared" si="45"/>
        <v>0</v>
      </c>
      <c r="CW49">
        <f t="shared" si="46"/>
        <v>0</v>
      </c>
      <c r="CX49">
        <f t="shared" si="47"/>
        <v>0</v>
      </c>
      <c r="CY49">
        <f t="shared" si="48"/>
        <v>0</v>
      </c>
      <c r="CZ49">
        <f t="shared" si="49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83</v>
      </c>
      <c r="DW49" t="s">
        <v>83</v>
      </c>
      <c r="DX49">
        <v>1</v>
      </c>
      <c r="EE49">
        <v>39174504</v>
      </c>
      <c r="EF49">
        <v>2</v>
      </c>
      <c r="EG49" t="s">
        <v>19</v>
      </c>
      <c r="EH49">
        <v>0</v>
      </c>
      <c r="EI49" t="s">
        <v>3</v>
      </c>
      <c r="EJ49">
        <v>1</v>
      </c>
      <c r="EK49">
        <v>11001</v>
      </c>
      <c r="EL49" t="s">
        <v>30</v>
      </c>
      <c r="EM49" t="s">
        <v>116</v>
      </c>
      <c r="EO49" t="s">
        <v>3</v>
      </c>
      <c r="EQ49">
        <v>0</v>
      </c>
      <c r="ER49">
        <v>77.5</v>
      </c>
      <c r="ES49">
        <v>77.5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0"/>
        <v>0</v>
      </c>
      <c r="FS49">
        <v>0</v>
      </c>
      <c r="FT49" t="s">
        <v>22</v>
      </c>
      <c r="FU49" t="s">
        <v>23</v>
      </c>
      <c r="FX49">
        <v>110.7</v>
      </c>
      <c r="FY49">
        <v>63.75</v>
      </c>
      <c r="GA49" t="s">
        <v>3</v>
      </c>
      <c r="GD49">
        <v>0</v>
      </c>
      <c r="GF49">
        <v>1392042579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51"/>
        <v>0</v>
      </c>
      <c r="GM49">
        <f t="shared" si="52"/>
        <v>175995.18</v>
      </c>
      <c r="GN49">
        <f t="shared" si="53"/>
        <v>175995.18</v>
      </c>
      <c r="GO49">
        <f t="shared" si="54"/>
        <v>0</v>
      </c>
      <c r="GP49">
        <f t="shared" si="55"/>
        <v>0</v>
      </c>
      <c r="GR49">
        <v>0</v>
      </c>
      <c r="GS49">
        <v>0</v>
      </c>
      <c r="GT49">
        <v>0</v>
      </c>
      <c r="GU49" t="s">
        <v>3</v>
      </c>
      <c r="GV49">
        <f t="shared" si="56"/>
        <v>0</v>
      </c>
      <c r="GW49">
        <v>1</v>
      </c>
      <c r="GX49">
        <f t="shared" si="57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74</v>
      </c>
      <c r="E50" t="s">
        <v>135</v>
      </c>
      <c r="F50" t="s">
        <v>136</v>
      </c>
      <c r="G50" t="s">
        <v>137</v>
      </c>
      <c r="H50" t="s">
        <v>138</v>
      </c>
      <c r="I50">
        <f>I47*J50</f>
        <v>165.9</v>
      </c>
      <c r="J50">
        <v>50</v>
      </c>
      <c r="O50">
        <f t="shared" si="21"/>
        <v>0</v>
      </c>
      <c r="P50">
        <f t="shared" si="22"/>
        <v>0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39096431</v>
      </c>
      <c r="AB50">
        <f t="shared" si="32"/>
        <v>0</v>
      </c>
      <c r="AC50">
        <f t="shared" si="61"/>
        <v>0</v>
      </c>
      <c r="AD50">
        <f>ROUND((((ET50)-(EU50))+AE50),2)</f>
        <v>0</v>
      </c>
      <c r="AE50">
        <f t="shared" si="62"/>
        <v>0</v>
      </c>
      <c r="AF50">
        <f t="shared" si="62"/>
        <v>0</v>
      </c>
      <c r="AG50">
        <f t="shared" si="36"/>
        <v>0</v>
      </c>
      <c r="AH50">
        <f t="shared" si="63"/>
        <v>0</v>
      </c>
      <c r="AI50">
        <f t="shared" si="63"/>
        <v>0</v>
      </c>
      <c r="AJ50">
        <f t="shared" si="38"/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111</v>
      </c>
      <c r="AU50">
        <v>64</v>
      </c>
      <c r="AV50">
        <v>1</v>
      </c>
      <c r="AW50">
        <v>1</v>
      </c>
      <c r="AZ50">
        <v>6.71</v>
      </c>
      <c r="BA50">
        <v>1</v>
      </c>
      <c r="BB50">
        <v>1</v>
      </c>
      <c r="BC50">
        <v>6.71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3</v>
      </c>
      <c r="BM50">
        <v>11001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123</v>
      </c>
      <c r="CA50">
        <v>75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9"/>
        <v>0</v>
      </c>
      <c r="CQ50">
        <f t="shared" si="40"/>
        <v>0</v>
      </c>
      <c r="CR50">
        <f t="shared" si="41"/>
        <v>0</v>
      </c>
      <c r="CS50">
        <f t="shared" si="42"/>
        <v>0</v>
      </c>
      <c r="CT50">
        <f t="shared" si="43"/>
        <v>0</v>
      </c>
      <c r="CU50">
        <f t="shared" si="44"/>
        <v>0</v>
      </c>
      <c r="CV50">
        <f t="shared" si="45"/>
        <v>0</v>
      </c>
      <c r="CW50">
        <f t="shared" si="46"/>
        <v>0</v>
      </c>
      <c r="CX50">
        <f t="shared" si="47"/>
        <v>0</v>
      </c>
      <c r="CY50">
        <f t="shared" si="48"/>
        <v>0</v>
      </c>
      <c r="CZ50">
        <f t="shared" si="49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138</v>
      </c>
      <c r="DW50" t="s">
        <v>138</v>
      </c>
      <c r="DX50">
        <v>1</v>
      </c>
      <c r="EE50">
        <v>39174504</v>
      </c>
      <c r="EF50">
        <v>2</v>
      </c>
      <c r="EG50" t="s">
        <v>19</v>
      </c>
      <c r="EH50">
        <v>0</v>
      </c>
      <c r="EI50" t="s">
        <v>3</v>
      </c>
      <c r="EJ50">
        <v>1</v>
      </c>
      <c r="EK50">
        <v>11001</v>
      </c>
      <c r="EL50" t="s">
        <v>30</v>
      </c>
      <c r="EM50" t="s">
        <v>116</v>
      </c>
      <c r="EO50" t="s">
        <v>3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50"/>
        <v>0</v>
      </c>
      <c r="FS50">
        <v>0</v>
      </c>
      <c r="FT50" t="s">
        <v>22</v>
      </c>
      <c r="FU50" t="s">
        <v>23</v>
      </c>
      <c r="FX50">
        <v>110.7</v>
      </c>
      <c r="FY50">
        <v>63.75</v>
      </c>
      <c r="GA50" t="s">
        <v>3</v>
      </c>
      <c r="GD50">
        <v>0</v>
      </c>
      <c r="GF50">
        <v>290394019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51"/>
        <v>0</v>
      </c>
      <c r="GM50">
        <f t="shared" si="52"/>
        <v>0</v>
      </c>
      <c r="GN50">
        <f t="shared" si="53"/>
        <v>0</v>
      </c>
      <c r="GO50">
        <f t="shared" si="54"/>
        <v>0</v>
      </c>
      <c r="GP50">
        <f t="shared" si="55"/>
        <v>0</v>
      </c>
      <c r="GR50">
        <v>0</v>
      </c>
      <c r="GS50">
        <v>3</v>
      </c>
      <c r="GT50">
        <v>0</v>
      </c>
      <c r="GU50" t="s">
        <v>3</v>
      </c>
      <c r="GV50">
        <f t="shared" si="56"/>
        <v>0</v>
      </c>
      <c r="GW50">
        <v>1</v>
      </c>
      <c r="GX50">
        <f t="shared" si="57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73</v>
      </c>
      <c r="E51" t="s">
        <v>139</v>
      </c>
      <c r="F51" t="s">
        <v>140</v>
      </c>
      <c r="G51" t="s">
        <v>141</v>
      </c>
      <c r="H51" t="s">
        <v>138</v>
      </c>
      <c r="I51">
        <f>I47*J51</f>
        <v>165.9</v>
      </c>
      <c r="J51">
        <v>50</v>
      </c>
      <c r="O51">
        <f t="shared" si="21"/>
        <v>17699.71</v>
      </c>
      <c r="P51">
        <f t="shared" si="22"/>
        <v>17699.71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39096431</v>
      </c>
      <c r="AB51">
        <f t="shared" si="32"/>
        <v>15.9</v>
      </c>
      <c r="AC51">
        <f t="shared" si="61"/>
        <v>15.9</v>
      </c>
      <c r="AD51">
        <f>ROUND((((ET51)-(EU51))+AE51),2)</f>
        <v>0</v>
      </c>
      <c r="AE51">
        <f t="shared" si="62"/>
        <v>0</v>
      </c>
      <c r="AF51">
        <f t="shared" si="62"/>
        <v>0</v>
      </c>
      <c r="AG51">
        <f t="shared" si="36"/>
        <v>0</v>
      </c>
      <c r="AH51">
        <f t="shared" si="63"/>
        <v>0</v>
      </c>
      <c r="AI51">
        <f t="shared" si="63"/>
        <v>0</v>
      </c>
      <c r="AJ51">
        <f t="shared" si="38"/>
        <v>0</v>
      </c>
      <c r="AK51">
        <v>15.9</v>
      </c>
      <c r="AL51">
        <v>15.9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6.71</v>
      </c>
      <c r="BA51">
        <v>1</v>
      </c>
      <c r="BB51">
        <v>1</v>
      </c>
      <c r="BC51">
        <v>6.71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142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9"/>
        <v>17699.71</v>
      </c>
      <c r="CQ51">
        <f t="shared" si="40"/>
        <v>106.68900000000001</v>
      </c>
      <c r="CR51">
        <f t="shared" si="41"/>
        <v>0</v>
      </c>
      <c r="CS51">
        <f t="shared" si="42"/>
        <v>0</v>
      </c>
      <c r="CT51">
        <f t="shared" si="43"/>
        <v>0</v>
      </c>
      <c r="CU51">
        <f t="shared" si="44"/>
        <v>0</v>
      </c>
      <c r="CV51">
        <f t="shared" si="45"/>
        <v>0</v>
      </c>
      <c r="CW51">
        <f t="shared" si="46"/>
        <v>0</v>
      </c>
      <c r="CX51">
        <f t="shared" si="47"/>
        <v>0</v>
      </c>
      <c r="CY51">
        <f t="shared" si="48"/>
        <v>0</v>
      </c>
      <c r="CZ51">
        <f t="shared" si="49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138</v>
      </c>
      <c r="DW51" t="s">
        <v>138</v>
      </c>
      <c r="DX51">
        <v>1</v>
      </c>
      <c r="EE51">
        <v>39174504</v>
      </c>
      <c r="EF51">
        <v>2</v>
      </c>
      <c r="EG51" t="s">
        <v>19</v>
      </c>
      <c r="EH51">
        <v>0</v>
      </c>
      <c r="EI51" t="s">
        <v>3</v>
      </c>
      <c r="EJ51">
        <v>1</v>
      </c>
      <c r="EK51">
        <v>11001</v>
      </c>
      <c r="EL51" t="s">
        <v>30</v>
      </c>
      <c r="EM51" t="s">
        <v>116</v>
      </c>
      <c r="EO51" t="s">
        <v>3</v>
      </c>
      <c r="EQ51">
        <v>0</v>
      </c>
      <c r="ER51">
        <v>15.9</v>
      </c>
      <c r="ES51">
        <v>15.9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50"/>
        <v>0</v>
      </c>
      <c r="FS51">
        <v>0</v>
      </c>
      <c r="FT51" t="s">
        <v>22</v>
      </c>
      <c r="FU51" t="s">
        <v>23</v>
      </c>
      <c r="FX51">
        <v>110.7</v>
      </c>
      <c r="FY51">
        <v>63.75</v>
      </c>
      <c r="GA51" t="s">
        <v>3</v>
      </c>
      <c r="GD51">
        <v>0</v>
      </c>
      <c r="GF51">
        <v>1104462431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51"/>
        <v>0</v>
      </c>
      <c r="GM51">
        <f t="shared" si="52"/>
        <v>17699.71</v>
      </c>
      <c r="GN51">
        <f t="shared" si="53"/>
        <v>17699.71</v>
      </c>
      <c r="GO51">
        <f t="shared" si="54"/>
        <v>0</v>
      </c>
      <c r="GP51">
        <f t="shared" si="55"/>
        <v>0</v>
      </c>
      <c r="GR51">
        <v>0</v>
      </c>
      <c r="GS51">
        <v>0</v>
      </c>
      <c r="GT51">
        <v>0</v>
      </c>
      <c r="GU51" t="s">
        <v>3</v>
      </c>
      <c r="GV51">
        <f t="shared" si="56"/>
        <v>0</v>
      </c>
      <c r="GW51">
        <v>1</v>
      </c>
      <c r="GX51">
        <f t="shared" si="57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ROW(SmtRes!A92)</f>
        <v>92</v>
      </c>
      <c r="D52">
        <f>ROW(EtalonRes!A95)</f>
        <v>95</v>
      </c>
      <c r="E52" t="s">
        <v>143</v>
      </c>
      <c r="F52" t="s">
        <v>144</v>
      </c>
      <c r="G52" t="s">
        <v>145</v>
      </c>
      <c r="H52" t="s">
        <v>27</v>
      </c>
      <c r="I52">
        <v>1.9148000000000001</v>
      </c>
      <c r="J52">
        <v>0</v>
      </c>
      <c r="O52">
        <f t="shared" si="21"/>
        <v>1886.51</v>
      </c>
      <c r="P52">
        <f t="shared" si="22"/>
        <v>946.15</v>
      </c>
      <c r="Q52">
        <f t="shared" si="23"/>
        <v>34.299999999999997</v>
      </c>
      <c r="R52">
        <f t="shared" si="24"/>
        <v>6.81</v>
      </c>
      <c r="S52">
        <f t="shared" si="25"/>
        <v>906.06</v>
      </c>
      <c r="T52">
        <f t="shared" si="26"/>
        <v>0</v>
      </c>
      <c r="U52">
        <f t="shared" si="27"/>
        <v>14.7094936</v>
      </c>
      <c r="V52">
        <f t="shared" si="28"/>
        <v>9.5740000000000006E-2</v>
      </c>
      <c r="W52">
        <f t="shared" si="29"/>
        <v>0</v>
      </c>
      <c r="X52">
        <f t="shared" si="30"/>
        <v>1013.29</v>
      </c>
      <c r="Y52">
        <f t="shared" si="31"/>
        <v>584.24</v>
      </c>
      <c r="AA52">
        <v>39096431</v>
      </c>
      <c r="AB52">
        <f t="shared" si="32"/>
        <v>146.83000000000001</v>
      </c>
      <c r="AC52">
        <f t="shared" si="61"/>
        <v>73.64</v>
      </c>
      <c r="AD52">
        <f>ROUND(((((ET52*1.25))-((EU52*1.25)))+AE52),2)</f>
        <v>2.67</v>
      </c>
      <c r="AE52">
        <f>ROUND(((EU52*1.25)),2)</f>
        <v>0.53</v>
      </c>
      <c r="AF52">
        <f>ROUND(((EV52*1.15)),2)</f>
        <v>70.52</v>
      </c>
      <c r="AG52">
        <f t="shared" si="36"/>
        <v>0</v>
      </c>
      <c r="AH52">
        <f>((EW52*1.15))</f>
        <v>7.6819999999999995</v>
      </c>
      <c r="AI52">
        <f>((EX52*1.25))</f>
        <v>0.05</v>
      </c>
      <c r="AJ52">
        <f t="shared" si="38"/>
        <v>0</v>
      </c>
      <c r="AK52">
        <v>137.09</v>
      </c>
      <c r="AL52">
        <v>73.64</v>
      </c>
      <c r="AM52">
        <v>2.13</v>
      </c>
      <c r="AN52">
        <v>0.42</v>
      </c>
      <c r="AO52">
        <v>61.32</v>
      </c>
      <c r="AP52">
        <v>0</v>
      </c>
      <c r="AQ52">
        <v>6.68</v>
      </c>
      <c r="AR52">
        <v>0.04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6.71</v>
      </c>
      <c r="BA52">
        <v>6.71</v>
      </c>
      <c r="BB52">
        <v>6.71</v>
      </c>
      <c r="BC52">
        <v>6.71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146</v>
      </c>
      <c r="BM52">
        <v>11001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6.71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123</v>
      </c>
      <c r="CA52">
        <v>75</v>
      </c>
      <c r="CF52">
        <v>0</v>
      </c>
      <c r="CG52">
        <v>0</v>
      </c>
      <c r="CM52">
        <v>0</v>
      </c>
      <c r="CN52" t="s">
        <v>970</v>
      </c>
      <c r="CO52">
        <v>0</v>
      </c>
      <c r="CP52">
        <f t="shared" si="39"/>
        <v>1886.5099999999998</v>
      </c>
      <c r="CQ52">
        <f t="shared" si="40"/>
        <v>494.12439999999998</v>
      </c>
      <c r="CR52">
        <f t="shared" si="41"/>
        <v>17.915700000000001</v>
      </c>
      <c r="CS52">
        <f t="shared" si="42"/>
        <v>3.5563000000000002</v>
      </c>
      <c r="CT52">
        <f t="shared" si="43"/>
        <v>473.18919999999997</v>
      </c>
      <c r="CU52">
        <f t="shared" si="44"/>
        <v>0</v>
      </c>
      <c r="CV52">
        <f t="shared" si="45"/>
        <v>7.6819999999999995</v>
      </c>
      <c r="CW52">
        <f t="shared" si="46"/>
        <v>0.05</v>
      </c>
      <c r="CX52">
        <f t="shared" si="47"/>
        <v>0</v>
      </c>
      <c r="CY52">
        <f t="shared" si="48"/>
        <v>1013.2856999999999</v>
      </c>
      <c r="CZ52">
        <f t="shared" si="49"/>
        <v>584.2367999999999</v>
      </c>
      <c r="DC52" t="s">
        <v>3</v>
      </c>
      <c r="DD52" t="s">
        <v>3</v>
      </c>
      <c r="DE52" t="s">
        <v>85</v>
      </c>
      <c r="DF52" t="s">
        <v>85</v>
      </c>
      <c r="DG52" t="s">
        <v>86</v>
      </c>
      <c r="DH52" t="s">
        <v>3</v>
      </c>
      <c r="DI52" t="s">
        <v>86</v>
      </c>
      <c r="DJ52" t="s">
        <v>85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1003</v>
      </c>
      <c r="DV52" t="s">
        <v>27</v>
      </c>
      <c r="DW52" t="s">
        <v>27</v>
      </c>
      <c r="DX52">
        <v>100</v>
      </c>
      <c r="EE52">
        <v>39174504</v>
      </c>
      <c r="EF52">
        <v>2</v>
      </c>
      <c r="EG52" t="s">
        <v>19</v>
      </c>
      <c r="EH52">
        <v>0</v>
      </c>
      <c r="EI52" t="s">
        <v>3</v>
      </c>
      <c r="EJ52">
        <v>1</v>
      </c>
      <c r="EK52">
        <v>11001</v>
      </c>
      <c r="EL52" t="s">
        <v>30</v>
      </c>
      <c r="EM52" t="s">
        <v>116</v>
      </c>
      <c r="EO52" t="s">
        <v>89</v>
      </c>
      <c r="EQ52">
        <v>0</v>
      </c>
      <c r="ER52">
        <v>137.09</v>
      </c>
      <c r="ES52">
        <v>73.64</v>
      </c>
      <c r="ET52">
        <v>2.13</v>
      </c>
      <c r="EU52">
        <v>0.42</v>
      </c>
      <c r="EV52">
        <v>61.32</v>
      </c>
      <c r="EW52">
        <v>6.68</v>
      </c>
      <c r="EX52">
        <v>0.04</v>
      </c>
      <c r="EY52">
        <v>0</v>
      </c>
      <c r="FQ52">
        <v>0</v>
      </c>
      <c r="FR52">
        <f t="shared" si="50"/>
        <v>0</v>
      </c>
      <c r="FS52">
        <v>0</v>
      </c>
      <c r="FT52" t="s">
        <v>22</v>
      </c>
      <c r="FU52" t="s">
        <v>23</v>
      </c>
      <c r="FX52">
        <v>110.7</v>
      </c>
      <c r="FY52">
        <v>63.75</v>
      </c>
      <c r="GA52" t="s">
        <v>3</v>
      </c>
      <c r="GD52">
        <v>0</v>
      </c>
      <c r="GF52">
        <v>-1404287246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51"/>
        <v>0</v>
      </c>
      <c r="GM52">
        <f t="shared" si="52"/>
        <v>3484.04</v>
      </c>
      <c r="GN52">
        <f t="shared" si="53"/>
        <v>3484.04</v>
      </c>
      <c r="GO52">
        <f t="shared" si="54"/>
        <v>0</v>
      </c>
      <c r="GP52">
        <f t="shared" si="55"/>
        <v>0</v>
      </c>
      <c r="GR52">
        <v>0</v>
      </c>
      <c r="GS52">
        <v>0</v>
      </c>
      <c r="GT52">
        <v>0</v>
      </c>
      <c r="GU52" t="s">
        <v>3</v>
      </c>
      <c r="GV52">
        <f t="shared" si="56"/>
        <v>0</v>
      </c>
      <c r="GW52">
        <v>1</v>
      </c>
      <c r="GX52">
        <f t="shared" si="57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81</v>
      </c>
      <c r="E53" t="s">
        <v>147</v>
      </c>
      <c r="F53" t="s">
        <v>148</v>
      </c>
      <c r="G53" t="s">
        <v>149</v>
      </c>
      <c r="H53" t="s">
        <v>150</v>
      </c>
      <c r="I53">
        <f>I52*J53</f>
        <v>193.3948</v>
      </c>
      <c r="J53">
        <v>101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39096431</v>
      </c>
      <c r="AB53">
        <f t="shared" si="32"/>
        <v>0</v>
      </c>
      <c r="AC53">
        <f t="shared" si="61"/>
        <v>0</v>
      </c>
      <c r="AD53">
        <f t="shared" ref="AD53:AD64" si="64">ROUND((((ET53)-(EU53))+AE53),2)</f>
        <v>0</v>
      </c>
      <c r="AE53">
        <f t="shared" ref="AE53:AE64" si="65">ROUND((EU53),2)</f>
        <v>0</v>
      </c>
      <c r="AF53">
        <f t="shared" ref="AF53:AF64" si="66">ROUND((EV53),2)</f>
        <v>0</v>
      </c>
      <c r="AG53">
        <f t="shared" si="36"/>
        <v>0</v>
      </c>
      <c r="AH53">
        <f t="shared" ref="AH53:AH64" si="67">(EW53)</f>
        <v>0</v>
      </c>
      <c r="AI53">
        <f t="shared" ref="AI53:AI64" si="68">(EX53)</f>
        <v>0</v>
      </c>
      <c r="AJ53">
        <f t="shared" si="38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6.71</v>
      </c>
      <c r="BA53">
        <v>1</v>
      </c>
      <c r="BB53">
        <v>1</v>
      </c>
      <c r="BC53">
        <v>6.71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3</v>
      </c>
      <c r="BM53">
        <v>11001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9"/>
        <v>0</v>
      </c>
      <c r="CQ53">
        <f t="shared" si="40"/>
        <v>0</v>
      </c>
      <c r="CR53">
        <f t="shared" si="41"/>
        <v>0</v>
      </c>
      <c r="CS53">
        <f t="shared" si="42"/>
        <v>0</v>
      </c>
      <c r="CT53">
        <f t="shared" si="43"/>
        <v>0</v>
      </c>
      <c r="CU53">
        <f t="shared" si="44"/>
        <v>0</v>
      </c>
      <c r="CV53">
        <f t="shared" si="45"/>
        <v>0</v>
      </c>
      <c r="CW53">
        <f t="shared" si="46"/>
        <v>0</v>
      </c>
      <c r="CX53">
        <f t="shared" si="47"/>
        <v>0</v>
      </c>
      <c r="CY53">
        <f t="shared" si="48"/>
        <v>0</v>
      </c>
      <c r="CZ53">
        <f t="shared" si="49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150</v>
      </c>
      <c r="DW53" t="s">
        <v>150</v>
      </c>
      <c r="DX53">
        <v>1</v>
      </c>
      <c r="EE53">
        <v>39174504</v>
      </c>
      <c r="EF53">
        <v>2</v>
      </c>
      <c r="EG53" t="s">
        <v>19</v>
      </c>
      <c r="EH53">
        <v>0</v>
      </c>
      <c r="EI53" t="s">
        <v>3</v>
      </c>
      <c r="EJ53">
        <v>1</v>
      </c>
      <c r="EK53">
        <v>11001</v>
      </c>
      <c r="EL53" t="s">
        <v>30</v>
      </c>
      <c r="EM53" t="s">
        <v>116</v>
      </c>
      <c r="EO53" t="s">
        <v>3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50"/>
        <v>0</v>
      </c>
      <c r="FS53">
        <v>0</v>
      </c>
      <c r="FT53" t="s">
        <v>22</v>
      </c>
      <c r="FU53" t="s">
        <v>23</v>
      </c>
      <c r="FX53">
        <v>110.7</v>
      </c>
      <c r="FY53">
        <v>63.75</v>
      </c>
      <c r="GA53" t="s">
        <v>3</v>
      </c>
      <c r="GD53">
        <v>0</v>
      </c>
      <c r="GF53">
        <v>-2049262376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51"/>
        <v>0</v>
      </c>
      <c r="GM53">
        <f t="shared" si="52"/>
        <v>0</v>
      </c>
      <c r="GN53">
        <f t="shared" si="53"/>
        <v>0</v>
      </c>
      <c r="GO53">
        <f t="shared" si="54"/>
        <v>0</v>
      </c>
      <c r="GP53">
        <f t="shared" si="55"/>
        <v>0</v>
      </c>
      <c r="GR53">
        <v>0</v>
      </c>
      <c r="GS53">
        <v>3</v>
      </c>
      <c r="GT53">
        <v>0</v>
      </c>
      <c r="GU53" t="s">
        <v>3</v>
      </c>
      <c r="GV53">
        <f t="shared" si="56"/>
        <v>0</v>
      </c>
      <c r="GW53">
        <v>1</v>
      </c>
      <c r="GX53">
        <f t="shared" si="57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82</v>
      </c>
      <c r="E54" t="s">
        <v>151</v>
      </c>
      <c r="F54" t="s">
        <v>152</v>
      </c>
      <c r="G54" t="s">
        <v>153</v>
      </c>
      <c r="H54" t="s">
        <v>150</v>
      </c>
      <c r="I54">
        <f>I52*J54</f>
        <v>193.3948</v>
      </c>
      <c r="J54">
        <v>101</v>
      </c>
      <c r="O54">
        <f t="shared" si="21"/>
        <v>15961.45</v>
      </c>
      <c r="P54">
        <f t="shared" si="22"/>
        <v>15961.45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39096431</v>
      </c>
      <c r="AB54">
        <f t="shared" si="32"/>
        <v>12.3</v>
      </c>
      <c r="AC54">
        <f t="shared" si="61"/>
        <v>12.3</v>
      </c>
      <c r="AD54">
        <f t="shared" si="64"/>
        <v>0</v>
      </c>
      <c r="AE54">
        <f t="shared" si="65"/>
        <v>0</v>
      </c>
      <c r="AF54">
        <f t="shared" si="66"/>
        <v>0</v>
      </c>
      <c r="AG54">
        <f t="shared" si="36"/>
        <v>0</v>
      </c>
      <c r="AH54">
        <f t="shared" si="67"/>
        <v>0</v>
      </c>
      <c r="AI54">
        <f t="shared" si="68"/>
        <v>0</v>
      </c>
      <c r="AJ54">
        <f t="shared" si="38"/>
        <v>0</v>
      </c>
      <c r="AK54">
        <v>12.3</v>
      </c>
      <c r="AL54">
        <v>12.3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6.71</v>
      </c>
      <c r="BA54">
        <v>1</v>
      </c>
      <c r="BB54">
        <v>1</v>
      </c>
      <c r="BC54">
        <v>6.71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154</v>
      </c>
      <c r="BM54">
        <v>11001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123</v>
      </c>
      <c r="CA54">
        <v>75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9"/>
        <v>15961.45</v>
      </c>
      <c r="CQ54">
        <f t="shared" si="40"/>
        <v>82.533000000000001</v>
      </c>
      <c r="CR54">
        <f t="shared" si="41"/>
        <v>0</v>
      </c>
      <c r="CS54">
        <f t="shared" si="42"/>
        <v>0</v>
      </c>
      <c r="CT54">
        <f t="shared" si="43"/>
        <v>0</v>
      </c>
      <c r="CU54">
        <f t="shared" si="44"/>
        <v>0</v>
      </c>
      <c r="CV54">
        <f t="shared" si="45"/>
        <v>0</v>
      </c>
      <c r="CW54">
        <f t="shared" si="46"/>
        <v>0</v>
      </c>
      <c r="CX54">
        <f t="shared" si="47"/>
        <v>0</v>
      </c>
      <c r="CY54">
        <f t="shared" si="48"/>
        <v>0</v>
      </c>
      <c r="CZ54">
        <f t="shared" si="49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1003</v>
      </c>
      <c r="DV54" t="s">
        <v>150</v>
      </c>
      <c r="DW54" t="s">
        <v>150</v>
      </c>
      <c r="DX54">
        <v>1</v>
      </c>
      <c r="EE54">
        <v>39174504</v>
      </c>
      <c r="EF54">
        <v>2</v>
      </c>
      <c r="EG54" t="s">
        <v>19</v>
      </c>
      <c r="EH54">
        <v>0</v>
      </c>
      <c r="EI54" t="s">
        <v>3</v>
      </c>
      <c r="EJ54">
        <v>1</v>
      </c>
      <c r="EK54">
        <v>11001</v>
      </c>
      <c r="EL54" t="s">
        <v>30</v>
      </c>
      <c r="EM54" t="s">
        <v>116</v>
      </c>
      <c r="EO54" t="s">
        <v>3</v>
      </c>
      <c r="EQ54">
        <v>0</v>
      </c>
      <c r="ER54">
        <v>12.3</v>
      </c>
      <c r="ES54">
        <v>12.3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50"/>
        <v>0</v>
      </c>
      <c r="FS54">
        <v>0</v>
      </c>
      <c r="FT54" t="s">
        <v>22</v>
      </c>
      <c r="FU54" t="s">
        <v>23</v>
      </c>
      <c r="FX54">
        <v>110.7</v>
      </c>
      <c r="FY54">
        <v>63.75</v>
      </c>
      <c r="GA54" t="s">
        <v>3</v>
      </c>
      <c r="GD54">
        <v>0</v>
      </c>
      <c r="GF54">
        <v>1744309368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51"/>
        <v>0</v>
      </c>
      <c r="GM54">
        <f t="shared" si="52"/>
        <v>15961.45</v>
      </c>
      <c r="GN54">
        <f t="shared" si="53"/>
        <v>15961.45</v>
      </c>
      <c r="GO54">
        <f t="shared" si="54"/>
        <v>0</v>
      </c>
      <c r="GP54">
        <f t="shared" si="55"/>
        <v>0</v>
      </c>
      <c r="GR54">
        <v>0</v>
      </c>
      <c r="GS54">
        <v>0</v>
      </c>
      <c r="GT54">
        <v>0</v>
      </c>
      <c r="GU54" t="s">
        <v>3</v>
      </c>
      <c r="GV54">
        <f t="shared" si="56"/>
        <v>0</v>
      </c>
      <c r="GW54">
        <v>1</v>
      </c>
      <c r="GX54">
        <f t="shared" si="57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83</v>
      </c>
      <c r="E55" t="s">
        <v>155</v>
      </c>
      <c r="F55" t="s">
        <v>156</v>
      </c>
      <c r="G55" t="s">
        <v>157</v>
      </c>
      <c r="H55" t="s">
        <v>46</v>
      </c>
      <c r="I55">
        <f>I52*J55</f>
        <v>13.403600000000001</v>
      </c>
      <c r="J55">
        <v>7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39096431</v>
      </c>
      <c r="AB55">
        <f t="shared" si="32"/>
        <v>0</v>
      </c>
      <c r="AC55">
        <f t="shared" si="61"/>
        <v>0</v>
      </c>
      <c r="AD55">
        <f t="shared" si="64"/>
        <v>0</v>
      </c>
      <c r="AE55">
        <f t="shared" si="65"/>
        <v>0</v>
      </c>
      <c r="AF55">
        <f t="shared" si="66"/>
        <v>0</v>
      </c>
      <c r="AG55">
        <f t="shared" si="36"/>
        <v>0</v>
      </c>
      <c r="AH55">
        <f t="shared" si="67"/>
        <v>0</v>
      </c>
      <c r="AI55">
        <f t="shared" si="68"/>
        <v>0</v>
      </c>
      <c r="AJ55">
        <f t="shared" si="38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6.71</v>
      </c>
      <c r="BA55">
        <v>1</v>
      </c>
      <c r="BB55">
        <v>1</v>
      </c>
      <c r="BC55">
        <v>6.71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11001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9"/>
        <v>0</v>
      </c>
      <c r="CQ55">
        <f t="shared" si="40"/>
        <v>0</v>
      </c>
      <c r="CR55">
        <f t="shared" si="41"/>
        <v>0</v>
      </c>
      <c r="CS55">
        <f t="shared" si="42"/>
        <v>0</v>
      </c>
      <c r="CT55">
        <f t="shared" si="43"/>
        <v>0</v>
      </c>
      <c r="CU55">
        <f t="shared" si="44"/>
        <v>0</v>
      </c>
      <c r="CV55">
        <f t="shared" si="45"/>
        <v>0</v>
      </c>
      <c r="CW55">
        <f t="shared" si="46"/>
        <v>0</v>
      </c>
      <c r="CX55">
        <f t="shared" si="47"/>
        <v>0</v>
      </c>
      <c r="CY55">
        <f t="shared" si="48"/>
        <v>0</v>
      </c>
      <c r="CZ55">
        <f t="shared" si="49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46</v>
      </c>
      <c r="DW55" t="s">
        <v>46</v>
      </c>
      <c r="DX55">
        <v>1</v>
      </c>
      <c r="EE55">
        <v>39174504</v>
      </c>
      <c r="EF55">
        <v>2</v>
      </c>
      <c r="EG55" t="s">
        <v>19</v>
      </c>
      <c r="EH55">
        <v>0</v>
      </c>
      <c r="EI55" t="s">
        <v>3</v>
      </c>
      <c r="EJ55">
        <v>1</v>
      </c>
      <c r="EK55">
        <v>11001</v>
      </c>
      <c r="EL55" t="s">
        <v>30</v>
      </c>
      <c r="EM55" t="s">
        <v>116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50"/>
        <v>0</v>
      </c>
      <c r="FS55">
        <v>0</v>
      </c>
      <c r="FT55" t="s">
        <v>22</v>
      </c>
      <c r="FU55" t="s">
        <v>23</v>
      </c>
      <c r="FX55">
        <v>110.7</v>
      </c>
      <c r="FY55">
        <v>63.75</v>
      </c>
      <c r="GA55" t="s">
        <v>3</v>
      </c>
      <c r="GD55">
        <v>0</v>
      </c>
      <c r="GF55">
        <v>457303772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51"/>
        <v>0</v>
      </c>
      <c r="GM55">
        <f t="shared" si="52"/>
        <v>0</v>
      </c>
      <c r="GN55">
        <f t="shared" si="53"/>
        <v>0</v>
      </c>
      <c r="GO55">
        <f t="shared" si="54"/>
        <v>0</v>
      </c>
      <c r="GP55">
        <f t="shared" si="55"/>
        <v>0</v>
      </c>
      <c r="GR55">
        <v>0</v>
      </c>
      <c r="GS55">
        <v>3</v>
      </c>
      <c r="GT55">
        <v>0</v>
      </c>
      <c r="GU55" t="s">
        <v>3</v>
      </c>
      <c r="GV55">
        <f t="shared" si="56"/>
        <v>0</v>
      </c>
      <c r="GW55">
        <v>1</v>
      </c>
      <c r="GX55">
        <f t="shared" si="57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89</v>
      </c>
      <c r="E56" t="s">
        <v>158</v>
      </c>
      <c r="F56" t="s">
        <v>159</v>
      </c>
      <c r="G56" t="s">
        <v>160</v>
      </c>
      <c r="H56" t="s">
        <v>161</v>
      </c>
      <c r="I56">
        <f>I52*J56</f>
        <v>0.15224599999999999</v>
      </c>
      <c r="J56">
        <v>7.9510131606434081E-2</v>
      </c>
      <c r="O56">
        <f t="shared" si="21"/>
        <v>64.36</v>
      </c>
      <c r="P56">
        <f t="shared" si="22"/>
        <v>64.36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39096431</v>
      </c>
      <c r="AB56">
        <f t="shared" si="32"/>
        <v>63</v>
      </c>
      <c r="AC56">
        <f t="shared" si="61"/>
        <v>63</v>
      </c>
      <c r="AD56">
        <f t="shared" si="64"/>
        <v>0</v>
      </c>
      <c r="AE56">
        <f t="shared" si="65"/>
        <v>0</v>
      </c>
      <c r="AF56">
        <f t="shared" si="66"/>
        <v>0</v>
      </c>
      <c r="AG56">
        <f t="shared" si="36"/>
        <v>0</v>
      </c>
      <c r="AH56">
        <f t="shared" si="67"/>
        <v>0</v>
      </c>
      <c r="AI56">
        <f t="shared" si="68"/>
        <v>0</v>
      </c>
      <c r="AJ56">
        <f t="shared" si="38"/>
        <v>0</v>
      </c>
      <c r="AK56">
        <v>63</v>
      </c>
      <c r="AL56">
        <v>63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111</v>
      </c>
      <c r="AU56">
        <v>64</v>
      </c>
      <c r="AV56">
        <v>1</v>
      </c>
      <c r="AW56">
        <v>1</v>
      </c>
      <c r="AZ56">
        <v>6.71</v>
      </c>
      <c r="BA56">
        <v>1</v>
      </c>
      <c r="BB56">
        <v>1</v>
      </c>
      <c r="BC56">
        <v>6.71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162</v>
      </c>
      <c r="BM56">
        <v>11001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123</v>
      </c>
      <c r="CA56">
        <v>75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9"/>
        <v>64.36</v>
      </c>
      <c r="CQ56">
        <f t="shared" si="40"/>
        <v>422.73</v>
      </c>
      <c r="CR56">
        <f t="shared" si="41"/>
        <v>0</v>
      </c>
      <c r="CS56">
        <f t="shared" si="42"/>
        <v>0</v>
      </c>
      <c r="CT56">
        <f t="shared" si="43"/>
        <v>0</v>
      </c>
      <c r="CU56">
        <f t="shared" si="44"/>
        <v>0</v>
      </c>
      <c r="CV56">
        <f t="shared" si="45"/>
        <v>0</v>
      </c>
      <c r="CW56">
        <f t="shared" si="46"/>
        <v>0</v>
      </c>
      <c r="CX56">
        <f t="shared" si="47"/>
        <v>0</v>
      </c>
      <c r="CY56">
        <f t="shared" si="48"/>
        <v>0</v>
      </c>
      <c r="CZ56">
        <f t="shared" si="49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1010</v>
      </c>
      <c r="DV56" t="s">
        <v>161</v>
      </c>
      <c r="DW56" t="s">
        <v>161</v>
      </c>
      <c r="DX56">
        <v>100</v>
      </c>
      <c r="EE56">
        <v>39174504</v>
      </c>
      <c r="EF56">
        <v>2</v>
      </c>
      <c r="EG56" t="s">
        <v>19</v>
      </c>
      <c r="EH56">
        <v>0</v>
      </c>
      <c r="EI56" t="s">
        <v>3</v>
      </c>
      <c r="EJ56">
        <v>1</v>
      </c>
      <c r="EK56">
        <v>11001</v>
      </c>
      <c r="EL56" t="s">
        <v>30</v>
      </c>
      <c r="EM56" t="s">
        <v>116</v>
      </c>
      <c r="EO56" t="s">
        <v>3</v>
      </c>
      <c r="EQ56">
        <v>0</v>
      </c>
      <c r="ER56">
        <v>63</v>
      </c>
      <c r="ES56">
        <v>63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50"/>
        <v>0</v>
      </c>
      <c r="FS56">
        <v>0</v>
      </c>
      <c r="FT56" t="s">
        <v>22</v>
      </c>
      <c r="FU56" t="s">
        <v>23</v>
      </c>
      <c r="FX56">
        <v>110.7</v>
      </c>
      <c r="FY56">
        <v>63.75</v>
      </c>
      <c r="GA56" t="s">
        <v>3</v>
      </c>
      <c r="GD56">
        <v>0</v>
      </c>
      <c r="GF56">
        <v>1906340979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51"/>
        <v>0</v>
      </c>
      <c r="GM56">
        <f t="shared" si="52"/>
        <v>64.36</v>
      </c>
      <c r="GN56">
        <f t="shared" si="53"/>
        <v>64.36</v>
      </c>
      <c r="GO56">
        <f t="shared" si="54"/>
        <v>0</v>
      </c>
      <c r="GP56">
        <f t="shared" si="55"/>
        <v>0</v>
      </c>
      <c r="GR56">
        <v>0</v>
      </c>
      <c r="GS56">
        <v>0</v>
      </c>
      <c r="GT56">
        <v>0</v>
      </c>
      <c r="GU56" t="s">
        <v>3</v>
      </c>
      <c r="GV56">
        <f t="shared" si="56"/>
        <v>0</v>
      </c>
      <c r="GW56">
        <v>1</v>
      </c>
      <c r="GX56">
        <f t="shared" si="57"/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88</v>
      </c>
      <c r="E57" t="s">
        <v>163</v>
      </c>
      <c r="F57" t="s">
        <v>164</v>
      </c>
      <c r="G57" t="s">
        <v>165</v>
      </c>
      <c r="H57" t="s">
        <v>161</v>
      </c>
      <c r="I57">
        <f>I52*J57</f>
        <v>0.15224599999999999</v>
      </c>
      <c r="J57">
        <v>7.9510131606434081E-2</v>
      </c>
      <c r="O57">
        <f t="shared" si="21"/>
        <v>64.36</v>
      </c>
      <c r="P57">
        <f t="shared" si="22"/>
        <v>64.36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39096431</v>
      </c>
      <c r="AB57">
        <f t="shared" si="32"/>
        <v>63</v>
      </c>
      <c r="AC57">
        <f t="shared" si="61"/>
        <v>63</v>
      </c>
      <c r="AD57">
        <f t="shared" si="64"/>
        <v>0</v>
      </c>
      <c r="AE57">
        <f t="shared" si="65"/>
        <v>0</v>
      </c>
      <c r="AF57">
        <f t="shared" si="66"/>
        <v>0</v>
      </c>
      <c r="AG57">
        <f t="shared" si="36"/>
        <v>0</v>
      </c>
      <c r="AH57">
        <f t="shared" si="67"/>
        <v>0</v>
      </c>
      <c r="AI57">
        <f t="shared" si="68"/>
        <v>0</v>
      </c>
      <c r="AJ57">
        <f t="shared" si="38"/>
        <v>0</v>
      </c>
      <c r="AK57">
        <v>63</v>
      </c>
      <c r="AL57">
        <v>63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6.71</v>
      </c>
      <c r="BA57">
        <v>1</v>
      </c>
      <c r="BB57">
        <v>1</v>
      </c>
      <c r="BC57">
        <v>6.71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166</v>
      </c>
      <c r="BM57">
        <v>11001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9"/>
        <v>64.36</v>
      </c>
      <c r="CQ57">
        <f t="shared" si="40"/>
        <v>422.73</v>
      </c>
      <c r="CR57">
        <f t="shared" si="41"/>
        <v>0</v>
      </c>
      <c r="CS57">
        <f t="shared" si="42"/>
        <v>0</v>
      </c>
      <c r="CT57">
        <f t="shared" si="43"/>
        <v>0</v>
      </c>
      <c r="CU57">
        <f t="shared" si="44"/>
        <v>0</v>
      </c>
      <c r="CV57">
        <f t="shared" si="45"/>
        <v>0</v>
      </c>
      <c r="CW57">
        <f t="shared" si="46"/>
        <v>0</v>
      </c>
      <c r="CX57">
        <f t="shared" si="47"/>
        <v>0</v>
      </c>
      <c r="CY57">
        <f t="shared" si="48"/>
        <v>0</v>
      </c>
      <c r="CZ57">
        <f t="shared" si="49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1010</v>
      </c>
      <c r="DV57" t="s">
        <v>161</v>
      </c>
      <c r="DW57" t="s">
        <v>161</v>
      </c>
      <c r="DX57">
        <v>100</v>
      </c>
      <c r="EE57">
        <v>39174504</v>
      </c>
      <c r="EF57">
        <v>2</v>
      </c>
      <c r="EG57" t="s">
        <v>19</v>
      </c>
      <c r="EH57">
        <v>0</v>
      </c>
      <c r="EI57" t="s">
        <v>3</v>
      </c>
      <c r="EJ57">
        <v>1</v>
      </c>
      <c r="EK57">
        <v>11001</v>
      </c>
      <c r="EL57" t="s">
        <v>30</v>
      </c>
      <c r="EM57" t="s">
        <v>116</v>
      </c>
      <c r="EO57" t="s">
        <v>3</v>
      </c>
      <c r="EQ57">
        <v>0</v>
      </c>
      <c r="ER57">
        <v>63</v>
      </c>
      <c r="ES57">
        <v>63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50"/>
        <v>0</v>
      </c>
      <c r="FS57">
        <v>0</v>
      </c>
      <c r="FT57" t="s">
        <v>22</v>
      </c>
      <c r="FU57" t="s">
        <v>23</v>
      </c>
      <c r="FX57">
        <v>110.7</v>
      </c>
      <c r="FY57">
        <v>63.75</v>
      </c>
      <c r="GA57" t="s">
        <v>3</v>
      </c>
      <c r="GD57">
        <v>0</v>
      </c>
      <c r="GF57">
        <v>1345842772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51"/>
        <v>0</v>
      </c>
      <c r="GM57">
        <f t="shared" si="52"/>
        <v>64.36</v>
      </c>
      <c r="GN57">
        <f t="shared" si="53"/>
        <v>64.36</v>
      </c>
      <c r="GO57">
        <f t="shared" si="54"/>
        <v>0</v>
      </c>
      <c r="GP57">
        <f t="shared" si="55"/>
        <v>0</v>
      </c>
      <c r="GR57">
        <v>0</v>
      </c>
      <c r="GS57">
        <v>0</v>
      </c>
      <c r="GT57">
        <v>0</v>
      </c>
      <c r="GU57" t="s">
        <v>3</v>
      </c>
      <c r="GV57">
        <f t="shared" si="56"/>
        <v>0</v>
      </c>
      <c r="GW57">
        <v>1</v>
      </c>
      <c r="GX57">
        <f t="shared" si="57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90</v>
      </c>
      <c r="E58" t="s">
        <v>167</v>
      </c>
      <c r="F58" t="s">
        <v>168</v>
      </c>
      <c r="G58" t="s">
        <v>169</v>
      </c>
      <c r="H58" t="s">
        <v>161</v>
      </c>
      <c r="I58">
        <f>I52*J58</f>
        <v>0.76493999999999995</v>
      </c>
      <c r="J58">
        <v>0.39948819720075202</v>
      </c>
      <c r="O58">
        <f t="shared" si="21"/>
        <v>656.99</v>
      </c>
      <c r="P58">
        <f t="shared" si="22"/>
        <v>656.99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39096431</v>
      </c>
      <c r="AB58">
        <f t="shared" si="32"/>
        <v>128</v>
      </c>
      <c r="AC58">
        <f t="shared" si="61"/>
        <v>128</v>
      </c>
      <c r="AD58">
        <f t="shared" si="64"/>
        <v>0</v>
      </c>
      <c r="AE58">
        <f t="shared" si="65"/>
        <v>0</v>
      </c>
      <c r="AF58">
        <f t="shared" si="66"/>
        <v>0</v>
      </c>
      <c r="AG58">
        <f t="shared" si="36"/>
        <v>0</v>
      </c>
      <c r="AH58">
        <f t="shared" si="67"/>
        <v>0</v>
      </c>
      <c r="AI58">
        <f t="shared" si="68"/>
        <v>0</v>
      </c>
      <c r="AJ58">
        <f t="shared" si="38"/>
        <v>0</v>
      </c>
      <c r="AK58">
        <v>128</v>
      </c>
      <c r="AL58">
        <v>128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111</v>
      </c>
      <c r="AU58">
        <v>64</v>
      </c>
      <c r="AV58">
        <v>1</v>
      </c>
      <c r="AW58">
        <v>1</v>
      </c>
      <c r="AZ58">
        <v>6.71</v>
      </c>
      <c r="BA58">
        <v>1</v>
      </c>
      <c r="BB58">
        <v>1</v>
      </c>
      <c r="BC58">
        <v>6.71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170</v>
      </c>
      <c r="BM58">
        <v>11001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123</v>
      </c>
      <c r="CA58">
        <v>75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39"/>
        <v>656.99</v>
      </c>
      <c r="CQ58">
        <f t="shared" si="40"/>
        <v>858.88</v>
      </c>
      <c r="CR58">
        <f t="shared" si="41"/>
        <v>0</v>
      </c>
      <c r="CS58">
        <f t="shared" si="42"/>
        <v>0</v>
      </c>
      <c r="CT58">
        <f t="shared" si="43"/>
        <v>0</v>
      </c>
      <c r="CU58">
        <f t="shared" si="44"/>
        <v>0</v>
      </c>
      <c r="CV58">
        <f t="shared" si="45"/>
        <v>0</v>
      </c>
      <c r="CW58">
        <f t="shared" si="46"/>
        <v>0</v>
      </c>
      <c r="CX58">
        <f t="shared" si="47"/>
        <v>0</v>
      </c>
      <c r="CY58">
        <f t="shared" si="48"/>
        <v>0</v>
      </c>
      <c r="CZ58">
        <f t="shared" si="49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1010</v>
      </c>
      <c r="DV58" t="s">
        <v>161</v>
      </c>
      <c r="DW58" t="s">
        <v>161</v>
      </c>
      <c r="DX58">
        <v>100</v>
      </c>
      <c r="EE58">
        <v>39174504</v>
      </c>
      <c r="EF58">
        <v>2</v>
      </c>
      <c r="EG58" t="s">
        <v>19</v>
      </c>
      <c r="EH58">
        <v>0</v>
      </c>
      <c r="EI58" t="s">
        <v>3</v>
      </c>
      <c r="EJ58">
        <v>1</v>
      </c>
      <c r="EK58">
        <v>11001</v>
      </c>
      <c r="EL58" t="s">
        <v>30</v>
      </c>
      <c r="EM58" t="s">
        <v>116</v>
      </c>
      <c r="EO58" t="s">
        <v>3</v>
      </c>
      <c r="EQ58">
        <v>0</v>
      </c>
      <c r="ER58">
        <v>128</v>
      </c>
      <c r="ES58">
        <v>128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50"/>
        <v>0</v>
      </c>
      <c r="FS58">
        <v>0</v>
      </c>
      <c r="FT58" t="s">
        <v>22</v>
      </c>
      <c r="FU58" t="s">
        <v>23</v>
      </c>
      <c r="FX58">
        <v>110.7</v>
      </c>
      <c r="FY58">
        <v>63.75</v>
      </c>
      <c r="GA58" t="s">
        <v>3</v>
      </c>
      <c r="GD58">
        <v>0</v>
      </c>
      <c r="GF58">
        <v>848075668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51"/>
        <v>0</v>
      </c>
      <c r="GM58">
        <f t="shared" si="52"/>
        <v>656.99</v>
      </c>
      <c r="GN58">
        <f t="shared" si="53"/>
        <v>656.99</v>
      </c>
      <c r="GO58">
        <f t="shared" si="54"/>
        <v>0</v>
      </c>
      <c r="GP58">
        <f t="shared" si="55"/>
        <v>0</v>
      </c>
      <c r="GR58">
        <v>0</v>
      </c>
      <c r="GS58">
        <v>0</v>
      </c>
      <c r="GT58">
        <v>0</v>
      </c>
      <c r="GU58" t="s">
        <v>3</v>
      </c>
      <c r="GV58">
        <f t="shared" si="56"/>
        <v>0</v>
      </c>
      <c r="GW58">
        <v>1</v>
      </c>
      <c r="GX58">
        <f t="shared" si="57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91</v>
      </c>
      <c r="E59" t="s">
        <v>171</v>
      </c>
      <c r="F59" t="s">
        <v>172</v>
      </c>
      <c r="G59" t="s">
        <v>173</v>
      </c>
      <c r="H59" t="s">
        <v>161</v>
      </c>
      <c r="I59">
        <f>I52*J59</f>
        <v>13.367877</v>
      </c>
      <c r="J59">
        <v>6.9813437434719026</v>
      </c>
      <c r="O59">
        <f t="shared" si="21"/>
        <v>11481.4</v>
      </c>
      <c r="P59">
        <f t="shared" si="22"/>
        <v>11481.4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39096431</v>
      </c>
      <c r="AB59">
        <f t="shared" si="32"/>
        <v>128</v>
      </c>
      <c r="AC59">
        <f t="shared" si="61"/>
        <v>128</v>
      </c>
      <c r="AD59">
        <f t="shared" si="64"/>
        <v>0</v>
      </c>
      <c r="AE59">
        <f t="shared" si="65"/>
        <v>0</v>
      </c>
      <c r="AF59">
        <f t="shared" si="66"/>
        <v>0</v>
      </c>
      <c r="AG59">
        <f t="shared" si="36"/>
        <v>0</v>
      </c>
      <c r="AH59">
        <f t="shared" si="67"/>
        <v>0</v>
      </c>
      <c r="AI59">
        <f t="shared" si="68"/>
        <v>0</v>
      </c>
      <c r="AJ59">
        <f t="shared" si="38"/>
        <v>0</v>
      </c>
      <c r="AK59">
        <v>128</v>
      </c>
      <c r="AL59">
        <v>128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6.71</v>
      </c>
      <c r="BA59">
        <v>1</v>
      </c>
      <c r="BB59">
        <v>1</v>
      </c>
      <c r="BC59">
        <v>6.71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174</v>
      </c>
      <c r="BM59">
        <v>11001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123</v>
      </c>
      <c r="CA59">
        <v>75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9"/>
        <v>11481.4</v>
      </c>
      <c r="CQ59">
        <f t="shared" si="40"/>
        <v>858.88</v>
      </c>
      <c r="CR59">
        <f t="shared" si="41"/>
        <v>0</v>
      </c>
      <c r="CS59">
        <f t="shared" si="42"/>
        <v>0</v>
      </c>
      <c r="CT59">
        <f t="shared" si="43"/>
        <v>0</v>
      </c>
      <c r="CU59">
        <f t="shared" si="44"/>
        <v>0</v>
      </c>
      <c r="CV59">
        <f t="shared" si="45"/>
        <v>0</v>
      </c>
      <c r="CW59">
        <f t="shared" si="46"/>
        <v>0</v>
      </c>
      <c r="CX59">
        <f t="shared" si="47"/>
        <v>0</v>
      </c>
      <c r="CY59">
        <f t="shared" si="48"/>
        <v>0</v>
      </c>
      <c r="CZ59">
        <f t="shared" si="49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161</v>
      </c>
      <c r="DW59" t="s">
        <v>161</v>
      </c>
      <c r="DX59">
        <v>100</v>
      </c>
      <c r="EE59">
        <v>39174504</v>
      </c>
      <c r="EF59">
        <v>2</v>
      </c>
      <c r="EG59" t="s">
        <v>19</v>
      </c>
      <c r="EH59">
        <v>0</v>
      </c>
      <c r="EI59" t="s">
        <v>3</v>
      </c>
      <c r="EJ59">
        <v>1</v>
      </c>
      <c r="EK59">
        <v>11001</v>
      </c>
      <c r="EL59" t="s">
        <v>30</v>
      </c>
      <c r="EM59" t="s">
        <v>116</v>
      </c>
      <c r="EO59" t="s">
        <v>3</v>
      </c>
      <c r="EQ59">
        <v>0</v>
      </c>
      <c r="ER59">
        <v>128</v>
      </c>
      <c r="ES59">
        <v>128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0"/>
        <v>0</v>
      </c>
      <c r="FS59">
        <v>0</v>
      </c>
      <c r="FT59" t="s">
        <v>22</v>
      </c>
      <c r="FU59" t="s">
        <v>23</v>
      </c>
      <c r="FX59">
        <v>110.7</v>
      </c>
      <c r="FY59">
        <v>63.75</v>
      </c>
      <c r="GA59" t="s">
        <v>3</v>
      </c>
      <c r="GD59">
        <v>0</v>
      </c>
      <c r="GF59">
        <v>1508644261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51"/>
        <v>0</v>
      </c>
      <c r="GM59">
        <f t="shared" si="52"/>
        <v>11481.4</v>
      </c>
      <c r="GN59">
        <f t="shared" si="53"/>
        <v>11481.4</v>
      </c>
      <c r="GO59">
        <f t="shared" si="54"/>
        <v>0</v>
      </c>
      <c r="GP59">
        <f t="shared" si="55"/>
        <v>0</v>
      </c>
      <c r="GR59">
        <v>0</v>
      </c>
      <c r="GS59">
        <v>0</v>
      </c>
      <c r="GT59">
        <v>0</v>
      </c>
      <c r="GU59" t="s">
        <v>3</v>
      </c>
      <c r="GV59">
        <f t="shared" si="56"/>
        <v>0</v>
      </c>
      <c r="GW59">
        <v>1</v>
      </c>
      <c r="GX59">
        <f t="shared" si="57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92</v>
      </c>
      <c r="E60" t="s">
        <v>175</v>
      </c>
      <c r="F60" t="s">
        <v>176</v>
      </c>
      <c r="G60" t="s">
        <v>177</v>
      </c>
      <c r="H60" t="s">
        <v>161</v>
      </c>
      <c r="I60">
        <f>I52*J60</f>
        <v>0.13367799999999999</v>
      </c>
      <c r="J60">
        <v>6.9813035303948182E-2</v>
      </c>
      <c r="O60">
        <f t="shared" ref="O60:O83" si="69">ROUND(CP60,2)</f>
        <v>114.81</v>
      </c>
      <c r="P60">
        <f t="shared" ref="P60:P83" si="70">ROUND(CQ60*I60,2)</f>
        <v>114.81</v>
      </c>
      <c r="Q60">
        <f t="shared" ref="Q60:Q83" si="71">ROUND(CR60*I60,2)</f>
        <v>0</v>
      </c>
      <c r="R60">
        <f t="shared" ref="R60:R83" si="72">ROUND(CS60*I60,2)</f>
        <v>0</v>
      </c>
      <c r="S60">
        <f t="shared" ref="S60:S83" si="73">ROUND(CT60*I60,2)</f>
        <v>0</v>
      </c>
      <c r="T60">
        <f t="shared" ref="T60:T83" si="74">ROUND(CU60*I60,2)</f>
        <v>0</v>
      </c>
      <c r="U60">
        <f t="shared" ref="U60:U83" si="75">CV60*I60</f>
        <v>0</v>
      </c>
      <c r="V60">
        <f t="shared" ref="V60:V83" si="76">CW60*I60</f>
        <v>0</v>
      </c>
      <c r="W60">
        <f t="shared" ref="W60:W83" si="77">ROUND(CX60*I60,2)</f>
        <v>0</v>
      </c>
      <c r="X60">
        <f t="shared" ref="X60:X83" si="78">ROUND(CY60,2)</f>
        <v>0</v>
      </c>
      <c r="Y60">
        <f t="shared" ref="Y60:Y83" si="79">ROUND(CZ60,2)</f>
        <v>0</v>
      </c>
      <c r="AA60">
        <v>39096431</v>
      </c>
      <c r="AB60">
        <f t="shared" ref="AB60:AB83" si="80">ROUND((AC60+AD60+AF60),2)</f>
        <v>128</v>
      </c>
      <c r="AC60">
        <f t="shared" si="61"/>
        <v>128</v>
      </c>
      <c r="AD60">
        <f t="shared" si="64"/>
        <v>0</v>
      </c>
      <c r="AE60">
        <f t="shared" si="65"/>
        <v>0</v>
      </c>
      <c r="AF60">
        <f t="shared" si="66"/>
        <v>0</v>
      </c>
      <c r="AG60">
        <f t="shared" ref="AG60:AG83" si="81">ROUND((AP60),2)</f>
        <v>0</v>
      </c>
      <c r="AH60">
        <f t="shared" si="67"/>
        <v>0</v>
      </c>
      <c r="AI60">
        <f t="shared" si="68"/>
        <v>0</v>
      </c>
      <c r="AJ60">
        <f t="shared" ref="AJ60:AJ83" si="82">ROUND((AS60),2)</f>
        <v>0</v>
      </c>
      <c r="AK60">
        <v>128</v>
      </c>
      <c r="AL60">
        <v>128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111</v>
      </c>
      <c r="AU60">
        <v>64</v>
      </c>
      <c r="AV60">
        <v>1</v>
      </c>
      <c r="AW60">
        <v>1</v>
      </c>
      <c r="AZ60">
        <v>6.71</v>
      </c>
      <c r="BA60">
        <v>1</v>
      </c>
      <c r="BB60">
        <v>1</v>
      </c>
      <c r="BC60">
        <v>6.71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178</v>
      </c>
      <c r="BM60">
        <v>11001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123</v>
      </c>
      <c r="CA60">
        <v>75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ref="CP60:CP83" si="83">(P60+Q60+S60)</f>
        <v>114.81</v>
      </c>
      <c r="CQ60">
        <f t="shared" ref="CQ60:CQ83" si="84">AC60*BC60</f>
        <v>858.88</v>
      </c>
      <c r="CR60">
        <f t="shared" ref="CR60:CR83" si="85">AD60*BB60</f>
        <v>0</v>
      </c>
      <c r="CS60">
        <f t="shared" ref="CS60:CS83" si="86">AE60*BS60</f>
        <v>0</v>
      </c>
      <c r="CT60">
        <f t="shared" ref="CT60:CT83" si="87">AF60*BA60</f>
        <v>0</v>
      </c>
      <c r="CU60">
        <f t="shared" ref="CU60:CU83" si="88">AG60</f>
        <v>0</v>
      </c>
      <c r="CV60">
        <f t="shared" ref="CV60:CV83" si="89">AH60</f>
        <v>0</v>
      </c>
      <c r="CW60">
        <f t="shared" ref="CW60:CW83" si="90">AI60</f>
        <v>0</v>
      </c>
      <c r="CX60">
        <f t="shared" ref="CX60:CX83" si="91">AJ60</f>
        <v>0</v>
      </c>
      <c r="CY60">
        <f t="shared" ref="CY60:CY83" si="92">(((S60+R60)*AT60)/100)</f>
        <v>0</v>
      </c>
      <c r="CZ60">
        <f t="shared" ref="CZ60:CZ83" si="93"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161</v>
      </c>
      <c r="DW60" t="s">
        <v>161</v>
      </c>
      <c r="DX60">
        <v>100</v>
      </c>
      <c r="EE60">
        <v>39174504</v>
      </c>
      <c r="EF60">
        <v>2</v>
      </c>
      <c r="EG60" t="s">
        <v>19</v>
      </c>
      <c r="EH60">
        <v>0</v>
      </c>
      <c r="EI60" t="s">
        <v>3</v>
      </c>
      <c r="EJ60">
        <v>1</v>
      </c>
      <c r="EK60">
        <v>11001</v>
      </c>
      <c r="EL60" t="s">
        <v>30</v>
      </c>
      <c r="EM60" t="s">
        <v>116</v>
      </c>
      <c r="EO60" t="s">
        <v>3</v>
      </c>
      <c r="EQ60">
        <v>0</v>
      </c>
      <c r="ER60">
        <v>128</v>
      </c>
      <c r="ES60">
        <v>128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85" si="94">ROUND(IF(AND(BH60=3,BI60=3),P60,0),2)</f>
        <v>0</v>
      </c>
      <c r="FS60">
        <v>0</v>
      </c>
      <c r="FT60" t="s">
        <v>22</v>
      </c>
      <c r="FU60" t="s">
        <v>23</v>
      </c>
      <c r="FX60">
        <v>110.7</v>
      </c>
      <c r="FY60">
        <v>63.75</v>
      </c>
      <c r="GA60" t="s">
        <v>3</v>
      </c>
      <c r="GD60">
        <v>0</v>
      </c>
      <c r="GF60">
        <v>-1530028590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85" si="95">ROUND(IF(AND(BH60=3,BI60=3,FS60&lt;&gt;0),P60,0),2)</f>
        <v>0</v>
      </c>
      <c r="GM60">
        <f t="shared" ref="GM60:GM83" si="96">ROUND(O60+X60+Y60+GK60,2)+GX60</f>
        <v>114.81</v>
      </c>
      <c r="GN60">
        <f t="shared" ref="GN60:GN83" si="97">IF(OR(BI60=0,BI60=1),ROUND(O60+X60+Y60+GK60,2),0)</f>
        <v>114.81</v>
      </c>
      <c r="GO60">
        <f t="shared" ref="GO60:GO83" si="98">IF(BI60=2,ROUND(O60+X60+Y60+GK60,2),0)</f>
        <v>0</v>
      </c>
      <c r="GP60">
        <f t="shared" ref="GP60:GP83" si="99">IF(BI60=4,ROUND(O60+X60+Y60+GK60,2)+GX60,0)</f>
        <v>0</v>
      </c>
      <c r="GR60">
        <v>0</v>
      </c>
      <c r="GS60">
        <v>0</v>
      </c>
      <c r="GT60">
        <v>0</v>
      </c>
      <c r="GU60" t="s">
        <v>3</v>
      </c>
      <c r="GV60">
        <f t="shared" ref="GV60:GV83" si="100">ROUND(GT60,2)</f>
        <v>0</v>
      </c>
      <c r="GW60">
        <v>1</v>
      </c>
      <c r="GX60">
        <f t="shared" ref="GX60:GX85" si="101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84</v>
      </c>
      <c r="E61" t="s">
        <v>179</v>
      </c>
      <c r="F61" t="s">
        <v>156</v>
      </c>
      <c r="G61" t="s">
        <v>180</v>
      </c>
      <c r="H61" t="s">
        <v>46</v>
      </c>
      <c r="I61">
        <f>I52*J61</f>
        <v>13.367877</v>
      </c>
      <c r="J61">
        <v>6.9813437434719026</v>
      </c>
      <c r="O61">
        <f t="shared" si="69"/>
        <v>0</v>
      </c>
      <c r="P61">
        <f t="shared" si="70"/>
        <v>0</v>
      </c>
      <c r="Q61">
        <f t="shared" si="71"/>
        <v>0</v>
      </c>
      <c r="R61">
        <f t="shared" si="72"/>
        <v>0</v>
      </c>
      <c r="S61">
        <f t="shared" si="73"/>
        <v>0</v>
      </c>
      <c r="T61">
        <f t="shared" si="74"/>
        <v>0</v>
      </c>
      <c r="U61">
        <f t="shared" si="75"/>
        <v>0</v>
      </c>
      <c r="V61">
        <f t="shared" si="76"/>
        <v>0</v>
      </c>
      <c r="W61">
        <f t="shared" si="77"/>
        <v>0</v>
      </c>
      <c r="X61">
        <f t="shared" si="78"/>
        <v>0</v>
      </c>
      <c r="Y61">
        <f t="shared" si="79"/>
        <v>0</v>
      </c>
      <c r="AA61">
        <v>39096431</v>
      </c>
      <c r="AB61">
        <f t="shared" si="80"/>
        <v>0</v>
      </c>
      <c r="AC61">
        <f t="shared" si="61"/>
        <v>0</v>
      </c>
      <c r="AD61">
        <f t="shared" si="64"/>
        <v>0</v>
      </c>
      <c r="AE61">
        <f t="shared" si="65"/>
        <v>0</v>
      </c>
      <c r="AF61">
        <f t="shared" si="66"/>
        <v>0</v>
      </c>
      <c r="AG61">
        <f t="shared" si="81"/>
        <v>0</v>
      </c>
      <c r="AH61">
        <f t="shared" si="67"/>
        <v>0</v>
      </c>
      <c r="AI61">
        <f t="shared" si="68"/>
        <v>0</v>
      </c>
      <c r="AJ61">
        <f t="shared" si="82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6.71</v>
      </c>
      <c r="BA61">
        <v>1</v>
      </c>
      <c r="BB61">
        <v>1</v>
      </c>
      <c r="BC61">
        <v>6.71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3</v>
      </c>
      <c r="BM61">
        <v>11001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123</v>
      </c>
      <c r="CA61">
        <v>75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83"/>
        <v>0</v>
      </c>
      <c r="CQ61">
        <f t="shared" si="84"/>
        <v>0</v>
      </c>
      <c r="CR61">
        <f t="shared" si="85"/>
        <v>0</v>
      </c>
      <c r="CS61">
        <f t="shared" si="86"/>
        <v>0</v>
      </c>
      <c r="CT61">
        <f t="shared" si="87"/>
        <v>0</v>
      </c>
      <c r="CU61">
        <f t="shared" si="88"/>
        <v>0</v>
      </c>
      <c r="CV61">
        <f t="shared" si="89"/>
        <v>0</v>
      </c>
      <c r="CW61">
        <f t="shared" si="90"/>
        <v>0</v>
      </c>
      <c r="CX61">
        <f t="shared" si="91"/>
        <v>0</v>
      </c>
      <c r="CY61">
        <f t="shared" si="92"/>
        <v>0</v>
      </c>
      <c r="CZ61">
        <f t="shared" si="93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46</v>
      </c>
      <c r="DW61" t="s">
        <v>46</v>
      </c>
      <c r="DX61">
        <v>1</v>
      </c>
      <c r="EE61">
        <v>39174504</v>
      </c>
      <c r="EF61">
        <v>2</v>
      </c>
      <c r="EG61" t="s">
        <v>19</v>
      </c>
      <c r="EH61">
        <v>0</v>
      </c>
      <c r="EI61" t="s">
        <v>3</v>
      </c>
      <c r="EJ61">
        <v>1</v>
      </c>
      <c r="EK61">
        <v>11001</v>
      </c>
      <c r="EL61" t="s">
        <v>30</v>
      </c>
      <c r="EM61" t="s">
        <v>116</v>
      </c>
      <c r="EO61" t="s">
        <v>3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4"/>
        <v>0</v>
      </c>
      <c r="FS61">
        <v>0</v>
      </c>
      <c r="FT61" t="s">
        <v>22</v>
      </c>
      <c r="FU61" t="s">
        <v>23</v>
      </c>
      <c r="FX61">
        <v>110.7</v>
      </c>
      <c r="FY61">
        <v>63.75</v>
      </c>
      <c r="GA61" t="s">
        <v>3</v>
      </c>
      <c r="GD61">
        <v>0</v>
      </c>
      <c r="GF61">
        <v>119324816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5"/>
        <v>0</v>
      </c>
      <c r="GM61">
        <f t="shared" si="96"/>
        <v>0</v>
      </c>
      <c r="GN61">
        <f t="shared" si="97"/>
        <v>0</v>
      </c>
      <c r="GO61">
        <f t="shared" si="98"/>
        <v>0</v>
      </c>
      <c r="GP61">
        <f t="shared" si="99"/>
        <v>0</v>
      </c>
      <c r="GR61">
        <v>0</v>
      </c>
      <c r="GS61">
        <v>3</v>
      </c>
      <c r="GT61">
        <v>0</v>
      </c>
      <c r="GU61" t="s">
        <v>3</v>
      </c>
      <c r="GV61">
        <f t="shared" si="100"/>
        <v>0</v>
      </c>
      <c r="GW61">
        <v>1</v>
      </c>
      <c r="GX61">
        <f t="shared" si="101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85</v>
      </c>
      <c r="E62" t="s">
        <v>181</v>
      </c>
      <c r="F62" t="s">
        <v>156</v>
      </c>
      <c r="G62" t="s">
        <v>182</v>
      </c>
      <c r="H62" t="s">
        <v>46</v>
      </c>
      <c r="I62">
        <f>I52*J62</f>
        <v>76.493967999999995</v>
      </c>
      <c r="J62">
        <v>39.94880300814706</v>
      </c>
      <c r="O62">
        <f t="shared" si="69"/>
        <v>0</v>
      </c>
      <c r="P62">
        <f t="shared" si="70"/>
        <v>0</v>
      </c>
      <c r="Q62">
        <f t="shared" si="71"/>
        <v>0</v>
      </c>
      <c r="R62">
        <f t="shared" si="72"/>
        <v>0</v>
      </c>
      <c r="S62">
        <f t="shared" si="73"/>
        <v>0</v>
      </c>
      <c r="T62">
        <f t="shared" si="74"/>
        <v>0</v>
      </c>
      <c r="U62">
        <f t="shared" si="75"/>
        <v>0</v>
      </c>
      <c r="V62">
        <f t="shared" si="76"/>
        <v>0</v>
      </c>
      <c r="W62">
        <f t="shared" si="77"/>
        <v>0</v>
      </c>
      <c r="X62">
        <f t="shared" si="78"/>
        <v>0</v>
      </c>
      <c r="Y62">
        <f t="shared" si="79"/>
        <v>0</v>
      </c>
      <c r="AA62">
        <v>39096431</v>
      </c>
      <c r="AB62">
        <f t="shared" si="80"/>
        <v>0</v>
      </c>
      <c r="AC62">
        <f t="shared" si="61"/>
        <v>0</v>
      </c>
      <c r="AD62">
        <f t="shared" si="64"/>
        <v>0</v>
      </c>
      <c r="AE62">
        <f t="shared" si="65"/>
        <v>0</v>
      </c>
      <c r="AF62">
        <f t="shared" si="66"/>
        <v>0</v>
      </c>
      <c r="AG62">
        <f t="shared" si="81"/>
        <v>0</v>
      </c>
      <c r="AH62">
        <f t="shared" si="67"/>
        <v>0</v>
      </c>
      <c r="AI62">
        <f t="shared" si="68"/>
        <v>0</v>
      </c>
      <c r="AJ62">
        <f t="shared" si="82"/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111</v>
      </c>
      <c r="AU62">
        <v>64</v>
      </c>
      <c r="AV62">
        <v>1</v>
      </c>
      <c r="AW62">
        <v>1</v>
      </c>
      <c r="AZ62">
        <v>6.71</v>
      </c>
      <c r="BA62">
        <v>1</v>
      </c>
      <c r="BB62">
        <v>1</v>
      </c>
      <c r="BC62">
        <v>6.71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3</v>
      </c>
      <c r="BM62">
        <v>11001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123</v>
      </c>
      <c r="CA62">
        <v>75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83"/>
        <v>0</v>
      </c>
      <c r="CQ62">
        <f t="shared" si="84"/>
        <v>0</v>
      </c>
      <c r="CR62">
        <f t="shared" si="85"/>
        <v>0</v>
      </c>
      <c r="CS62">
        <f t="shared" si="86"/>
        <v>0</v>
      </c>
      <c r="CT62">
        <f t="shared" si="87"/>
        <v>0</v>
      </c>
      <c r="CU62">
        <f t="shared" si="88"/>
        <v>0</v>
      </c>
      <c r="CV62">
        <f t="shared" si="89"/>
        <v>0</v>
      </c>
      <c r="CW62">
        <f t="shared" si="90"/>
        <v>0</v>
      </c>
      <c r="CX62">
        <f t="shared" si="91"/>
        <v>0</v>
      </c>
      <c r="CY62">
        <f t="shared" si="92"/>
        <v>0</v>
      </c>
      <c r="CZ62">
        <f t="shared" si="93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1010</v>
      </c>
      <c r="DV62" t="s">
        <v>46</v>
      </c>
      <c r="DW62" t="s">
        <v>46</v>
      </c>
      <c r="DX62">
        <v>1</v>
      </c>
      <c r="EE62">
        <v>39174504</v>
      </c>
      <c r="EF62">
        <v>2</v>
      </c>
      <c r="EG62" t="s">
        <v>19</v>
      </c>
      <c r="EH62">
        <v>0</v>
      </c>
      <c r="EI62" t="s">
        <v>3</v>
      </c>
      <c r="EJ62">
        <v>1</v>
      </c>
      <c r="EK62">
        <v>11001</v>
      </c>
      <c r="EL62" t="s">
        <v>30</v>
      </c>
      <c r="EM62" t="s">
        <v>116</v>
      </c>
      <c r="EO62" t="s">
        <v>3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4"/>
        <v>0</v>
      </c>
      <c r="FS62">
        <v>0</v>
      </c>
      <c r="FT62" t="s">
        <v>22</v>
      </c>
      <c r="FU62" t="s">
        <v>23</v>
      </c>
      <c r="FX62">
        <v>110.7</v>
      </c>
      <c r="FY62">
        <v>63.75</v>
      </c>
      <c r="GA62" t="s">
        <v>3</v>
      </c>
      <c r="GD62">
        <v>0</v>
      </c>
      <c r="GF62">
        <v>2133044040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5"/>
        <v>0</v>
      </c>
      <c r="GM62">
        <f t="shared" si="96"/>
        <v>0</v>
      </c>
      <c r="GN62">
        <f t="shared" si="97"/>
        <v>0</v>
      </c>
      <c r="GO62">
        <f t="shared" si="98"/>
        <v>0</v>
      </c>
      <c r="GP62">
        <f t="shared" si="99"/>
        <v>0</v>
      </c>
      <c r="GR62">
        <v>0</v>
      </c>
      <c r="GS62">
        <v>3</v>
      </c>
      <c r="GT62">
        <v>0</v>
      </c>
      <c r="GU62" t="s">
        <v>3</v>
      </c>
      <c r="GV62">
        <f t="shared" si="100"/>
        <v>0</v>
      </c>
      <c r="GW62">
        <v>1</v>
      </c>
      <c r="GX62">
        <f t="shared" si="101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86</v>
      </c>
      <c r="E63" t="s">
        <v>183</v>
      </c>
      <c r="F63" t="s">
        <v>156</v>
      </c>
      <c r="G63" t="s">
        <v>184</v>
      </c>
      <c r="H63" t="s">
        <v>46</v>
      </c>
      <c r="I63">
        <f>I52*J63</f>
        <v>15.224527</v>
      </c>
      <c r="J63">
        <v>7.9509750365573426</v>
      </c>
      <c r="O63">
        <f t="shared" si="69"/>
        <v>0</v>
      </c>
      <c r="P63">
        <f t="shared" si="70"/>
        <v>0</v>
      </c>
      <c r="Q63">
        <f t="shared" si="71"/>
        <v>0</v>
      </c>
      <c r="R63">
        <f t="shared" si="72"/>
        <v>0</v>
      </c>
      <c r="S63">
        <f t="shared" si="73"/>
        <v>0</v>
      </c>
      <c r="T63">
        <f t="shared" si="74"/>
        <v>0</v>
      </c>
      <c r="U63">
        <f t="shared" si="75"/>
        <v>0</v>
      </c>
      <c r="V63">
        <f t="shared" si="76"/>
        <v>0</v>
      </c>
      <c r="W63">
        <f t="shared" si="77"/>
        <v>0</v>
      </c>
      <c r="X63">
        <f t="shared" si="78"/>
        <v>0</v>
      </c>
      <c r="Y63">
        <f t="shared" si="79"/>
        <v>0</v>
      </c>
      <c r="AA63">
        <v>39096431</v>
      </c>
      <c r="AB63">
        <f t="shared" si="80"/>
        <v>0</v>
      </c>
      <c r="AC63">
        <f t="shared" si="61"/>
        <v>0</v>
      </c>
      <c r="AD63">
        <f t="shared" si="64"/>
        <v>0</v>
      </c>
      <c r="AE63">
        <f t="shared" si="65"/>
        <v>0</v>
      </c>
      <c r="AF63">
        <f t="shared" si="66"/>
        <v>0</v>
      </c>
      <c r="AG63">
        <f t="shared" si="81"/>
        <v>0</v>
      </c>
      <c r="AH63">
        <f t="shared" si="67"/>
        <v>0</v>
      </c>
      <c r="AI63">
        <f t="shared" si="68"/>
        <v>0</v>
      </c>
      <c r="AJ63">
        <f t="shared" si="82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6.71</v>
      </c>
      <c r="BA63">
        <v>1</v>
      </c>
      <c r="BB63">
        <v>1</v>
      </c>
      <c r="BC63">
        <v>6.71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3</v>
      </c>
      <c r="BM63">
        <v>11001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83"/>
        <v>0</v>
      </c>
      <c r="CQ63">
        <f t="shared" si="84"/>
        <v>0</v>
      </c>
      <c r="CR63">
        <f t="shared" si="85"/>
        <v>0</v>
      </c>
      <c r="CS63">
        <f t="shared" si="86"/>
        <v>0</v>
      </c>
      <c r="CT63">
        <f t="shared" si="87"/>
        <v>0</v>
      </c>
      <c r="CU63">
        <f t="shared" si="88"/>
        <v>0</v>
      </c>
      <c r="CV63">
        <f t="shared" si="89"/>
        <v>0</v>
      </c>
      <c r="CW63">
        <f t="shared" si="90"/>
        <v>0</v>
      </c>
      <c r="CX63">
        <f t="shared" si="91"/>
        <v>0</v>
      </c>
      <c r="CY63">
        <f t="shared" si="92"/>
        <v>0</v>
      </c>
      <c r="CZ63">
        <f t="shared" si="93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1010</v>
      </c>
      <c r="DV63" t="s">
        <v>46</v>
      </c>
      <c r="DW63" t="s">
        <v>46</v>
      </c>
      <c r="DX63">
        <v>1</v>
      </c>
      <c r="EE63">
        <v>39174504</v>
      </c>
      <c r="EF63">
        <v>2</v>
      </c>
      <c r="EG63" t="s">
        <v>19</v>
      </c>
      <c r="EH63">
        <v>0</v>
      </c>
      <c r="EI63" t="s">
        <v>3</v>
      </c>
      <c r="EJ63">
        <v>1</v>
      </c>
      <c r="EK63">
        <v>11001</v>
      </c>
      <c r="EL63" t="s">
        <v>30</v>
      </c>
      <c r="EM63" t="s">
        <v>116</v>
      </c>
      <c r="EO63" t="s">
        <v>3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4"/>
        <v>0</v>
      </c>
      <c r="FS63">
        <v>0</v>
      </c>
      <c r="FT63" t="s">
        <v>22</v>
      </c>
      <c r="FU63" t="s">
        <v>23</v>
      </c>
      <c r="FX63">
        <v>110.7</v>
      </c>
      <c r="FY63">
        <v>63.75</v>
      </c>
      <c r="GA63" t="s">
        <v>3</v>
      </c>
      <c r="GD63">
        <v>0</v>
      </c>
      <c r="GF63">
        <v>1953413105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5"/>
        <v>0</v>
      </c>
      <c r="GM63">
        <f t="shared" si="96"/>
        <v>0</v>
      </c>
      <c r="GN63">
        <f t="shared" si="97"/>
        <v>0</v>
      </c>
      <c r="GO63">
        <f t="shared" si="98"/>
        <v>0</v>
      </c>
      <c r="GP63">
        <f t="shared" si="99"/>
        <v>0</v>
      </c>
      <c r="GR63">
        <v>0</v>
      </c>
      <c r="GS63">
        <v>3</v>
      </c>
      <c r="GT63">
        <v>0</v>
      </c>
      <c r="GU63" t="s">
        <v>3</v>
      </c>
      <c r="GV63">
        <f t="shared" si="100"/>
        <v>0</v>
      </c>
      <c r="GW63">
        <v>1</v>
      </c>
      <c r="GX63">
        <f t="shared" si="101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87</v>
      </c>
      <c r="E64" t="s">
        <v>185</v>
      </c>
      <c r="F64" t="s">
        <v>156</v>
      </c>
      <c r="G64" t="s">
        <v>186</v>
      </c>
      <c r="H64" t="s">
        <v>46</v>
      </c>
      <c r="I64">
        <f>I52*J64</f>
        <v>15.224527</v>
      </c>
      <c r="J64">
        <v>7.9509750365573426</v>
      </c>
      <c r="O64">
        <f t="shared" si="69"/>
        <v>0</v>
      </c>
      <c r="P64">
        <f t="shared" si="70"/>
        <v>0</v>
      </c>
      <c r="Q64">
        <f t="shared" si="71"/>
        <v>0</v>
      </c>
      <c r="R64">
        <f t="shared" si="72"/>
        <v>0</v>
      </c>
      <c r="S64">
        <f t="shared" si="73"/>
        <v>0</v>
      </c>
      <c r="T64">
        <f t="shared" si="74"/>
        <v>0</v>
      </c>
      <c r="U64">
        <f t="shared" si="75"/>
        <v>0</v>
      </c>
      <c r="V64">
        <f t="shared" si="76"/>
        <v>0</v>
      </c>
      <c r="W64">
        <f t="shared" si="77"/>
        <v>0</v>
      </c>
      <c r="X64">
        <f t="shared" si="78"/>
        <v>0</v>
      </c>
      <c r="Y64">
        <f t="shared" si="79"/>
        <v>0</v>
      </c>
      <c r="AA64">
        <v>39096431</v>
      </c>
      <c r="AB64">
        <f t="shared" si="80"/>
        <v>0</v>
      </c>
      <c r="AC64">
        <f t="shared" si="61"/>
        <v>0</v>
      </c>
      <c r="AD64">
        <f t="shared" si="64"/>
        <v>0</v>
      </c>
      <c r="AE64">
        <f t="shared" si="65"/>
        <v>0</v>
      </c>
      <c r="AF64">
        <f t="shared" si="66"/>
        <v>0</v>
      </c>
      <c r="AG64">
        <f t="shared" si="81"/>
        <v>0</v>
      </c>
      <c r="AH64">
        <f t="shared" si="67"/>
        <v>0</v>
      </c>
      <c r="AI64">
        <f t="shared" si="68"/>
        <v>0</v>
      </c>
      <c r="AJ64">
        <f t="shared" si="82"/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111</v>
      </c>
      <c r="AU64">
        <v>64</v>
      </c>
      <c r="AV64">
        <v>1</v>
      </c>
      <c r="AW64">
        <v>1</v>
      </c>
      <c r="AZ64">
        <v>6.71</v>
      </c>
      <c r="BA64">
        <v>1</v>
      </c>
      <c r="BB64">
        <v>1</v>
      </c>
      <c r="BC64">
        <v>6.71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3</v>
      </c>
      <c r="BM64">
        <v>11001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123</v>
      </c>
      <c r="CA64">
        <v>75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83"/>
        <v>0</v>
      </c>
      <c r="CQ64">
        <f t="shared" si="84"/>
        <v>0</v>
      </c>
      <c r="CR64">
        <f t="shared" si="85"/>
        <v>0</v>
      </c>
      <c r="CS64">
        <f t="shared" si="86"/>
        <v>0</v>
      </c>
      <c r="CT64">
        <f t="shared" si="87"/>
        <v>0</v>
      </c>
      <c r="CU64">
        <f t="shared" si="88"/>
        <v>0</v>
      </c>
      <c r="CV64">
        <f t="shared" si="89"/>
        <v>0</v>
      </c>
      <c r="CW64">
        <f t="shared" si="90"/>
        <v>0</v>
      </c>
      <c r="CX64">
        <f t="shared" si="91"/>
        <v>0</v>
      </c>
      <c r="CY64">
        <f t="shared" si="92"/>
        <v>0</v>
      </c>
      <c r="CZ64">
        <f t="shared" si="93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1010</v>
      </c>
      <c r="DV64" t="s">
        <v>46</v>
      </c>
      <c r="DW64" t="s">
        <v>46</v>
      </c>
      <c r="DX64">
        <v>1</v>
      </c>
      <c r="EE64">
        <v>39174504</v>
      </c>
      <c r="EF64">
        <v>2</v>
      </c>
      <c r="EG64" t="s">
        <v>19</v>
      </c>
      <c r="EH64">
        <v>0</v>
      </c>
      <c r="EI64" t="s">
        <v>3</v>
      </c>
      <c r="EJ64">
        <v>1</v>
      </c>
      <c r="EK64">
        <v>11001</v>
      </c>
      <c r="EL64" t="s">
        <v>30</v>
      </c>
      <c r="EM64" t="s">
        <v>116</v>
      </c>
      <c r="EO64" t="s">
        <v>3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4"/>
        <v>0</v>
      </c>
      <c r="FS64">
        <v>0</v>
      </c>
      <c r="FT64" t="s">
        <v>22</v>
      </c>
      <c r="FU64" t="s">
        <v>23</v>
      </c>
      <c r="FX64">
        <v>110.7</v>
      </c>
      <c r="FY64">
        <v>63.75</v>
      </c>
      <c r="GA64" t="s">
        <v>3</v>
      </c>
      <c r="GD64">
        <v>0</v>
      </c>
      <c r="GF64">
        <v>-333106949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5"/>
        <v>0</v>
      </c>
      <c r="GM64">
        <f t="shared" si="96"/>
        <v>0</v>
      </c>
      <c r="GN64">
        <f t="shared" si="97"/>
        <v>0</v>
      </c>
      <c r="GO64">
        <f t="shared" si="98"/>
        <v>0</v>
      </c>
      <c r="GP64">
        <f t="shared" si="99"/>
        <v>0</v>
      </c>
      <c r="GR64">
        <v>0</v>
      </c>
      <c r="GS64">
        <v>3</v>
      </c>
      <c r="GT64">
        <v>0</v>
      </c>
      <c r="GU64" t="s">
        <v>3</v>
      </c>
      <c r="GV64">
        <f t="shared" si="100"/>
        <v>0</v>
      </c>
      <c r="GW64">
        <v>1</v>
      </c>
      <c r="GX64">
        <f t="shared" si="101"/>
        <v>0</v>
      </c>
      <c r="HA64">
        <v>0</v>
      </c>
      <c r="HB64">
        <v>0</v>
      </c>
      <c r="IK64">
        <v>0</v>
      </c>
    </row>
    <row r="65" spans="1:245" x14ac:dyDescent="0.2">
      <c r="A65">
        <v>17</v>
      </c>
      <c r="B65">
        <v>1</v>
      </c>
      <c r="C65">
        <f>ROW(SmtRes!A97)</f>
        <v>97</v>
      </c>
      <c r="D65">
        <f>ROW(EtalonRes!A98)</f>
        <v>98</v>
      </c>
      <c r="E65" t="s">
        <v>187</v>
      </c>
      <c r="F65" t="s">
        <v>188</v>
      </c>
      <c r="G65" t="s">
        <v>189</v>
      </c>
      <c r="H65" t="s">
        <v>27</v>
      </c>
      <c r="I65">
        <f>ROUND(8.1/100,9)</f>
        <v>8.1000000000000003E-2</v>
      </c>
      <c r="J65">
        <v>0</v>
      </c>
      <c r="O65">
        <f t="shared" si="69"/>
        <v>134.6</v>
      </c>
      <c r="P65">
        <f t="shared" si="70"/>
        <v>43.7</v>
      </c>
      <c r="Q65">
        <f t="shared" si="71"/>
        <v>0</v>
      </c>
      <c r="R65">
        <f t="shared" si="72"/>
        <v>0</v>
      </c>
      <c r="S65">
        <f t="shared" si="73"/>
        <v>90.9</v>
      </c>
      <c r="T65">
        <f t="shared" si="74"/>
        <v>0</v>
      </c>
      <c r="U65">
        <f t="shared" si="75"/>
        <v>1.5500160000000001</v>
      </c>
      <c r="V65">
        <f t="shared" si="76"/>
        <v>0</v>
      </c>
      <c r="W65">
        <f t="shared" si="77"/>
        <v>0</v>
      </c>
      <c r="X65">
        <f t="shared" si="78"/>
        <v>100.9</v>
      </c>
      <c r="Y65">
        <f t="shared" si="79"/>
        <v>58.18</v>
      </c>
      <c r="AA65">
        <v>39096431</v>
      </c>
      <c r="AB65">
        <f t="shared" si="80"/>
        <v>247.64</v>
      </c>
      <c r="AC65">
        <f t="shared" si="61"/>
        <v>80.400000000000006</v>
      </c>
      <c r="AD65">
        <f>ROUND(((((ET65*1.25))-((EU65*1.25)))+AE65),2)</f>
        <v>0</v>
      </c>
      <c r="AE65">
        <f>ROUND(((EU65*1.25)),2)</f>
        <v>0</v>
      </c>
      <c r="AF65">
        <f>ROUND(((EV65*1.15)),2)</f>
        <v>167.24</v>
      </c>
      <c r="AG65">
        <f t="shared" si="81"/>
        <v>0</v>
      </c>
      <c r="AH65">
        <f>((EW65*1.15))</f>
        <v>19.135999999999999</v>
      </c>
      <c r="AI65">
        <f>((EX65*1.25))</f>
        <v>0</v>
      </c>
      <c r="AJ65">
        <f t="shared" si="82"/>
        <v>0</v>
      </c>
      <c r="AK65">
        <v>225.83</v>
      </c>
      <c r="AL65">
        <v>80.400000000000006</v>
      </c>
      <c r="AM65">
        <v>0</v>
      </c>
      <c r="AN65">
        <v>0</v>
      </c>
      <c r="AO65">
        <v>145.43</v>
      </c>
      <c r="AP65">
        <v>0</v>
      </c>
      <c r="AQ65">
        <v>16.64</v>
      </c>
      <c r="AR65">
        <v>0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6.71</v>
      </c>
      <c r="BA65">
        <v>6.71</v>
      </c>
      <c r="BB65">
        <v>6.71</v>
      </c>
      <c r="BC65">
        <v>6.71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1</v>
      </c>
      <c r="BJ65" t="s">
        <v>190</v>
      </c>
      <c r="BM65">
        <v>11001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6.71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970</v>
      </c>
      <c r="CO65">
        <v>0</v>
      </c>
      <c r="CP65">
        <f t="shared" si="83"/>
        <v>134.60000000000002</v>
      </c>
      <c r="CQ65">
        <f t="shared" si="84"/>
        <v>539.48400000000004</v>
      </c>
      <c r="CR65">
        <f t="shared" si="85"/>
        <v>0</v>
      </c>
      <c r="CS65">
        <f t="shared" si="86"/>
        <v>0</v>
      </c>
      <c r="CT65">
        <f t="shared" si="87"/>
        <v>1122.1804</v>
      </c>
      <c r="CU65">
        <f t="shared" si="88"/>
        <v>0</v>
      </c>
      <c r="CV65">
        <f t="shared" si="89"/>
        <v>19.135999999999999</v>
      </c>
      <c r="CW65">
        <f t="shared" si="90"/>
        <v>0</v>
      </c>
      <c r="CX65">
        <f t="shared" si="91"/>
        <v>0</v>
      </c>
      <c r="CY65">
        <f t="shared" si="92"/>
        <v>100.89900000000002</v>
      </c>
      <c r="CZ65">
        <f t="shared" si="93"/>
        <v>58.176000000000002</v>
      </c>
      <c r="DC65" t="s">
        <v>3</v>
      </c>
      <c r="DD65" t="s">
        <v>3</v>
      </c>
      <c r="DE65" t="s">
        <v>85</v>
      </c>
      <c r="DF65" t="s">
        <v>85</v>
      </c>
      <c r="DG65" t="s">
        <v>86</v>
      </c>
      <c r="DH65" t="s">
        <v>3</v>
      </c>
      <c r="DI65" t="s">
        <v>86</v>
      </c>
      <c r="DJ65" t="s">
        <v>85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27</v>
      </c>
      <c r="DW65" t="s">
        <v>27</v>
      </c>
      <c r="DX65">
        <v>100</v>
      </c>
      <c r="EE65">
        <v>39174504</v>
      </c>
      <c r="EF65">
        <v>2</v>
      </c>
      <c r="EG65" t="s">
        <v>19</v>
      </c>
      <c r="EH65">
        <v>0</v>
      </c>
      <c r="EI65" t="s">
        <v>3</v>
      </c>
      <c r="EJ65">
        <v>1</v>
      </c>
      <c r="EK65">
        <v>11001</v>
      </c>
      <c r="EL65" t="s">
        <v>30</v>
      </c>
      <c r="EM65" t="s">
        <v>116</v>
      </c>
      <c r="EO65" t="s">
        <v>89</v>
      </c>
      <c r="EQ65">
        <v>0</v>
      </c>
      <c r="ER65">
        <v>225.83</v>
      </c>
      <c r="ES65">
        <v>80.400000000000006</v>
      </c>
      <c r="ET65">
        <v>0</v>
      </c>
      <c r="EU65">
        <v>0</v>
      </c>
      <c r="EV65">
        <v>145.43</v>
      </c>
      <c r="EW65">
        <v>16.64</v>
      </c>
      <c r="EX65">
        <v>0</v>
      </c>
      <c r="EY65">
        <v>0</v>
      </c>
      <c r="FQ65">
        <v>0</v>
      </c>
      <c r="FR65">
        <f t="shared" si="94"/>
        <v>0</v>
      </c>
      <c r="FS65">
        <v>0</v>
      </c>
      <c r="FT65" t="s">
        <v>22</v>
      </c>
      <c r="FU65" t="s">
        <v>23</v>
      </c>
      <c r="FX65">
        <v>110.7</v>
      </c>
      <c r="FY65">
        <v>63.75</v>
      </c>
      <c r="GA65" t="s">
        <v>3</v>
      </c>
      <c r="GD65">
        <v>0</v>
      </c>
      <c r="GF65">
        <v>30217037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5"/>
        <v>0</v>
      </c>
      <c r="GM65">
        <f t="shared" si="96"/>
        <v>293.68</v>
      </c>
      <c r="GN65">
        <f t="shared" si="97"/>
        <v>293.68</v>
      </c>
      <c r="GO65">
        <f t="shared" si="98"/>
        <v>0</v>
      </c>
      <c r="GP65">
        <f t="shared" si="99"/>
        <v>0</v>
      </c>
      <c r="GR65">
        <v>0</v>
      </c>
      <c r="GS65">
        <v>0</v>
      </c>
      <c r="GT65">
        <v>0</v>
      </c>
      <c r="GU65" t="s">
        <v>3</v>
      </c>
      <c r="GV65">
        <f t="shared" si="100"/>
        <v>0</v>
      </c>
      <c r="GW65">
        <v>1</v>
      </c>
      <c r="GX65">
        <f t="shared" si="101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97</v>
      </c>
      <c r="E66" t="s">
        <v>191</v>
      </c>
      <c r="F66" t="s">
        <v>192</v>
      </c>
      <c r="G66" t="s">
        <v>193</v>
      </c>
      <c r="H66" t="s">
        <v>46</v>
      </c>
      <c r="I66">
        <f>I65*J66</f>
        <v>2</v>
      </c>
      <c r="J66">
        <v>24.691358024691358</v>
      </c>
      <c r="O66">
        <f t="shared" si="69"/>
        <v>419.78</v>
      </c>
      <c r="P66">
        <f t="shared" si="70"/>
        <v>419.78</v>
      </c>
      <c r="Q66">
        <f t="shared" si="71"/>
        <v>0</v>
      </c>
      <c r="R66">
        <f t="shared" si="72"/>
        <v>0</v>
      </c>
      <c r="S66">
        <f t="shared" si="73"/>
        <v>0</v>
      </c>
      <c r="T66">
        <f t="shared" si="74"/>
        <v>0</v>
      </c>
      <c r="U66">
        <f t="shared" si="75"/>
        <v>0</v>
      </c>
      <c r="V66">
        <f t="shared" si="76"/>
        <v>0</v>
      </c>
      <c r="W66">
        <f t="shared" si="77"/>
        <v>0</v>
      </c>
      <c r="X66">
        <f t="shared" si="78"/>
        <v>0</v>
      </c>
      <c r="Y66">
        <f t="shared" si="79"/>
        <v>0</v>
      </c>
      <c r="AA66">
        <v>39096431</v>
      </c>
      <c r="AB66">
        <f t="shared" si="80"/>
        <v>31.28</v>
      </c>
      <c r="AC66">
        <f t="shared" si="61"/>
        <v>31.28</v>
      </c>
      <c r="AD66">
        <f>ROUND((((ET66)-(EU66))+AE66),2)</f>
        <v>0</v>
      </c>
      <c r="AE66">
        <f t="shared" ref="AE66:AF68" si="102">ROUND((EU66),2)</f>
        <v>0</v>
      </c>
      <c r="AF66">
        <f t="shared" si="102"/>
        <v>0</v>
      </c>
      <c r="AG66">
        <f t="shared" si="81"/>
        <v>0</v>
      </c>
      <c r="AH66">
        <f t="shared" ref="AH66:AI68" si="103">(EW66)</f>
        <v>0</v>
      </c>
      <c r="AI66">
        <f t="shared" si="103"/>
        <v>0</v>
      </c>
      <c r="AJ66">
        <f t="shared" si="82"/>
        <v>0</v>
      </c>
      <c r="AK66">
        <v>31.28</v>
      </c>
      <c r="AL66">
        <v>31.28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111</v>
      </c>
      <c r="AU66">
        <v>64</v>
      </c>
      <c r="AV66">
        <v>1</v>
      </c>
      <c r="AW66">
        <v>1</v>
      </c>
      <c r="AZ66">
        <v>6.71</v>
      </c>
      <c r="BA66">
        <v>1</v>
      </c>
      <c r="BB66">
        <v>1</v>
      </c>
      <c r="BC66">
        <v>6.71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194</v>
      </c>
      <c r="BM66">
        <v>11001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123</v>
      </c>
      <c r="CA66">
        <v>75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83"/>
        <v>419.78</v>
      </c>
      <c r="CQ66">
        <f t="shared" si="84"/>
        <v>209.8888</v>
      </c>
      <c r="CR66">
        <f t="shared" si="85"/>
        <v>0</v>
      </c>
      <c r="CS66">
        <f t="shared" si="86"/>
        <v>0</v>
      </c>
      <c r="CT66">
        <f t="shared" si="87"/>
        <v>0</v>
      </c>
      <c r="CU66">
        <f t="shared" si="88"/>
        <v>0</v>
      </c>
      <c r="CV66">
        <f t="shared" si="89"/>
        <v>0</v>
      </c>
      <c r="CW66">
        <f t="shared" si="90"/>
        <v>0</v>
      </c>
      <c r="CX66">
        <f t="shared" si="91"/>
        <v>0</v>
      </c>
      <c r="CY66">
        <f t="shared" si="92"/>
        <v>0</v>
      </c>
      <c r="CZ66">
        <f t="shared" si="93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1010</v>
      </c>
      <c r="DV66" t="s">
        <v>46</v>
      </c>
      <c r="DW66" t="s">
        <v>46</v>
      </c>
      <c r="DX66">
        <v>1</v>
      </c>
      <c r="EE66">
        <v>39174504</v>
      </c>
      <c r="EF66">
        <v>2</v>
      </c>
      <c r="EG66" t="s">
        <v>19</v>
      </c>
      <c r="EH66">
        <v>0</v>
      </c>
      <c r="EI66" t="s">
        <v>3</v>
      </c>
      <c r="EJ66">
        <v>1</v>
      </c>
      <c r="EK66">
        <v>11001</v>
      </c>
      <c r="EL66" t="s">
        <v>30</v>
      </c>
      <c r="EM66" t="s">
        <v>116</v>
      </c>
      <c r="EO66" t="s">
        <v>3</v>
      </c>
      <c r="EQ66">
        <v>0</v>
      </c>
      <c r="ER66">
        <v>31.28</v>
      </c>
      <c r="ES66">
        <v>31.28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4"/>
        <v>0</v>
      </c>
      <c r="FS66">
        <v>0</v>
      </c>
      <c r="FT66" t="s">
        <v>22</v>
      </c>
      <c r="FU66" t="s">
        <v>23</v>
      </c>
      <c r="FX66">
        <v>110.7</v>
      </c>
      <c r="FY66">
        <v>63.75</v>
      </c>
      <c r="GA66" t="s">
        <v>3</v>
      </c>
      <c r="GD66">
        <v>0</v>
      </c>
      <c r="GF66">
        <v>577992781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5"/>
        <v>0</v>
      </c>
      <c r="GM66">
        <f t="shared" si="96"/>
        <v>419.78</v>
      </c>
      <c r="GN66">
        <f t="shared" si="97"/>
        <v>419.78</v>
      </c>
      <c r="GO66">
        <f t="shared" si="98"/>
        <v>0</v>
      </c>
      <c r="GP66">
        <f t="shared" si="99"/>
        <v>0</v>
      </c>
      <c r="GR66">
        <v>0</v>
      </c>
      <c r="GS66">
        <v>0</v>
      </c>
      <c r="GT66">
        <v>0</v>
      </c>
      <c r="GU66" t="s">
        <v>3</v>
      </c>
      <c r="GV66">
        <f t="shared" si="100"/>
        <v>0</v>
      </c>
      <c r="GW66">
        <v>1</v>
      </c>
      <c r="GX66">
        <f t="shared" si="101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96</v>
      </c>
      <c r="E67" t="s">
        <v>195</v>
      </c>
      <c r="F67" t="s">
        <v>196</v>
      </c>
      <c r="G67" t="s">
        <v>197</v>
      </c>
      <c r="H67" t="s">
        <v>46</v>
      </c>
      <c r="I67">
        <f>I65*J67</f>
        <v>5</v>
      </c>
      <c r="J67">
        <v>61.728395061728392</v>
      </c>
      <c r="O67">
        <f t="shared" si="69"/>
        <v>505.6</v>
      </c>
      <c r="P67">
        <f t="shared" si="70"/>
        <v>505.6</v>
      </c>
      <c r="Q67">
        <f t="shared" si="71"/>
        <v>0</v>
      </c>
      <c r="R67">
        <f t="shared" si="72"/>
        <v>0</v>
      </c>
      <c r="S67">
        <f t="shared" si="73"/>
        <v>0</v>
      </c>
      <c r="T67">
        <f t="shared" si="74"/>
        <v>0</v>
      </c>
      <c r="U67">
        <f t="shared" si="75"/>
        <v>0</v>
      </c>
      <c r="V67">
        <f t="shared" si="76"/>
        <v>0</v>
      </c>
      <c r="W67">
        <f t="shared" si="77"/>
        <v>0</v>
      </c>
      <c r="X67">
        <f t="shared" si="78"/>
        <v>0</v>
      </c>
      <c r="Y67">
        <f t="shared" si="79"/>
        <v>0</v>
      </c>
      <c r="AA67">
        <v>39096431</v>
      </c>
      <c r="AB67">
        <f t="shared" si="80"/>
        <v>15.07</v>
      </c>
      <c r="AC67">
        <f t="shared" si="61"/>
        <v>15.07</v>
      </c>
      <c r="AD67">
        <f>ROUND((((ET67)-(EU67))+AE67),2)</f>
        <v>0</v>
      </c>
      <c r="AE67">
        <f t="shared" si="102"/>
        <v>0</v>
      </c>
      <c r="AF67">
        <f t="shared" si="102"/>
        <v>0</v>
      </c>
      <c r="AG67">
        <f t="shared" si="81"/>
        <v>0</v>
      </c>
      <c r="AH67">
        <f t="shared" si="103"/>
        <v>0</v>
      </c>
      <c r="AI67">
        <f t="shared" si="103"/>
        <v>0</v>
      </c>
      <c r="AJ67">
        <f t="shared" si="82"/>
        <v>0</v>
      </c>
      <c r="AK67">
        <v>15.07</v>
      </c>
      <c r="AL67">
        <v>15.07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6.71</v>
      </c>
      <c r="BA67">
        <v>1</v>
      </c>
      <c r="BB67">
        <v>1</v>
      </c>
      <c r="BC67">
        <v>6.71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198</v>
      </c>
      <c r="BM67">
        <v>11001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123</v>
      </c>
      <c r="CA67">
        <v>75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83"/>
        <v>505.6</v>
      </c>
      <c r="CQ67">
        <f t="shared" si="84"/>
        <v>101.11969999999999</v>
      </c>
      <c r="CR67">
        <f t="shared" si="85"/>
        <v>0</v>
      </c>
      <c r="CS67">
        <f t="shared" si="86"/>
        <v>0</v>
      </c>
      <c r="CT67">
        <f t="shared" si="87"/>
        <v>0</v>
      </c>
      <c r="CU67">
        <f t="shared" si="88"/>
        <v>0</v>
      </c>
      <c r="CV67">
        <f t="shared" si="89"/>
        <v>0</v>
      </c>
      <c r="CW67">
        <f t="shared" si="90"/>
        <v>0</v>
      </c>
      <c r="CX67">
        <f t="shared" si="91"/>
        <v>0</v>
      </c>
      <c r="CY67">
        <f t="shared" si="92"/>
        <v>0</v>
      </c>
      <c r="CZ67">
        <f t="shared" si="93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1010</v>
      </c>
      <c r="DV67" t="s">
        <v>46</v>
      </c>
      <c r="DW67" t="s">
        <v>46</v>
      </c>
      <c r="DX67">
        <v>1</v>
      </c>
      <c r="EE67">
        <v>39174504</v>
      </c>
      <c r="EF67">
        <v>2</v>
      </c>
      <c r="EG67" t="s">
        <v>19</v>
      </c>
      <c r="EH67">
        <v>0</v>
      </c>
      <c r="EI67" t="s">
        <v>3</v>
      </c>
      <c r="EJ67">
        <v>1</v>
      </c>
      <c r="EK67">
        <v>11001</v>
      </c>
      <c r="EL67" t="s">
        <v>30</v>
      </c>
      <c r="EM67" t="s">
        <v>116</v>
      </c>
      <c r="EO67" t="s">
        <v>3</v>
      </c>
      <c r="EQ67">
        <v>0</v>
      </c>
      <c r="ER67">
        <v>15.07</v>
      </c>
      <c r="ES67">
        <v>15.07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4"/>
        <v>0</v>
      </c>
      <c r="FS67">
        <v>0</v>
      </c>
      <c r="FT67" t="s">
        <v>22</v>
      </c>
      <c r="FU67" t="s">
        <v>23</v>
      </c>
      <c r="FX67">
        <v>110.7</v>
      </c>
      <c r="FY67">
        <v>63.75</v>
      </c>
      <c r="GA67" t="s">
        <v>3</v>
      </c>
      <c r="GD67">
        <v>0</v>
      </c>
      <c r="GF67">
        <v>-1858633972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5"/>
        <v>0</v>
      </c>
      <c r="GM67">
        <f t="shared" si="96"/>
        <v>505.6</v>
      </c>
      <c r="GN67">
        <f t="shared" si="97"/>
        <v>505.6</v>
      </c>
      <c r="GO67">
        <f t="shared" si="98"/>
        <v>0</v>
      </c>
      <c r="GP67">
        <f t="shared" si="99"/>
        <v>0</v>
      </c>
      <c r="GR67">
        <v>0</v>
      </c>
      <c r="GS67">
        <v>0</v>
      </c>
      <c r="GT67">
        <v>0</v>
      </c>
      <c r="GU67" t="s">
        <v>3</v>
      </c>
      <c r="GV67">
        <f t="shared" si="100"/>
        <v>0</v>
      </c>
      <c r="GW67">
        <v>1</v>
      </c>
      <c r="GX67">
        <f t="shared" si="101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95</v>
      </c>
      <c r="E68" t="s">
        <v>199</v>
      </c>
      <c r="F68" t="s">
        <v>200</v>
      </c>
      <c r="G68" t="s">
        <v>201</v>
      </c>
      <c r="H68" t="s">
        <v>150</v>
      </c>
      <c r="I68">
        <f>I65*J68</f>
        <v>8.5050000000000008</v>
      </c>
      <c r="J68">
        <v>105</v>
      </c>
      <c r="O68">
        <f t="shared" si="69"/>
        <v>0</v>
      </c>
      <c r="P68">
        <f t="shared" si="70"/>
        <v>0</v>
      </c>
      <c r="Q68">
        <f t="shared" si="71"/>
        <v>0</v>
      </c>
      <c r="R68">
        <f t="shared" si="72"/>
        <v>0</v>
      </c>
      <c r="S68">
        <f t="shared" si="73"/>
        <v>0</v>
      </c>
      <c r="T68">
        <f t="shared" si="74"/>
        <v>0</v>
      </c>
      <c r="U68">
        <f t="shared" si="75"/>
        <v>0</v>
      </c>
      <c r="V68">
        <f t="shared" si="76"/>
        <v>0</v>
      </c>
      <c r="W68">
        <f t="shared" si="77"/>
        <v>0</v>
      </c>
      <c r="X68">
        <f t="shared" si="78"/>
        <v>0</v>
      </c>
      <c r="Y68">
        <f t="shared" si="79"/>
        <v>0</v>
      </c>
      <c r="AA68">
        <v>39096431</v>
      </c>
      <c r="AB68">
        <f t="shared" si="80"/>
        <v>0</v>
      </c>
      <c r="AC68">
        <f t="shared" si="61"/>
        <v>0</v>
      </c>
      <c r="AD68">
        <f>ROUND((((ET68)-(EU68))+AE68),2)</f>
        <v>0</v>
      </c>
      <c r="AE68">
        <f t="shared" si="102"/>
        <v>0</v>
      </c>
      <c r="AF68">
        <f t="shared" si="102"/>
        <v>0</v>
      </c>
      <c r="AG68">
        <f t="shared" si="81"/>
        <v>0</v>
      </c>
      <c r="AH68">
        <f t="shared" si="103"/>
        <v>0</v>
      </c>
      <c r="AI68">
        <f t="shared" si="103"/>
        <v>0</v>
      </c>
      <c r="AJ68">
        <f t="shared" si="82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111</v>
      </c>
      <c r="AU68">
        <v>64</v>
      </c>
      <c r="AV68">
        <v>1</v>
      </c>
      <c r="AW68">
        <v>1</v>
      </c>
      <c r="AZ68">
        <v>6.71</v>
      </c>
      <c r="BA68">
        <v>1</v>
      </c>
      <c r="BB68">
        <v>1</v>
      </c>
      <c r="BC68">
        <v>6.71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3</v>
      </c>
      <c r="BM68">
        <v>11001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123</v>
      </c>
      <c r="CA68">
        <v>75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83"/>
        <v>0</v>
      </c>
      <c r="CQ68">
        <f t="shared" si="84"/>
        <v>0</v>
      </c>
      <c r="CR68">
        <f t="shared" si="85"/>
        <v>0</v>
      </c>
      <c r="CS68">
        <f t="shared" si="86"/>
        <v>0</v>
      </c>
      <c r="CT68">
        <f t="shared" si="87"/>
        <v>0</v>
      </c>
      <c r="CU68">
        <f t="shared" si="88"/>
        <v>0</v>
      </c>
      <c r="CV68">
        <f t="shared" si="89"/>
        <v>0</v>
      </c>
      <c r="CW68">
        <f t="shared" si="90"/>
        <v>0</v>
      </c>
      <c r="CX68">
        <f t="shared" si="91"/>
        <v>0</v>
      </c>
      <c r="CY68">
        <f t="shared" si="92"/>
        <v>0</v>
      </c>
      <c r="CZ68">
        <f t="shared" si="93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1003</v>
      </c>
      <c r="DV68" t="s">
        <v>150</v>
      </c>
      <c r="DW68" t="s">
        <v>150</v>
      </c>
      <c r="DX68">
        <v>1</v>
      </c>
      <c r="EE68">
        <v>39174504</v>
      </c>
      <c r="EF68">
        <v>2</v>
      </c>
      <c r="EG68" t="s">
        <v>19</v>
      </c>
      <c r="EH68">
        <v>0</v>
      </c>
      <c r="EI68" t="s">
        <v>3</v>
      </c>
      <c r="EJ68">
        <v>1</v>
      </c>
      <c r="EK68">
        <v>11001</v>
      </c>
      <c r="EL68" t="s">
        <v>30</v>
      </c>
      <c r="EM68" t="s">
        <v>116</v>
      </c>
      <c r="EO68" t="s">
        <v>3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4"/>
        <v>0</v>
      </c>
      <c r="FS68">
        <v>0</v>
      </c>
      <c r="FT68" t="s">
        <v>22</v>
      </c>
      <c r="FU68" t="s">
        <v>23</v>
      </c>
      <c r="FX68">
        <v>110.7</v>
      </c>
      <c r="FY68">
        <v>63.75</v>
      </c>
      <c r="GA68" t="s">
        <v>3</v>
      </c>
      <c r="GD68">
        <v>0</v>
      </c>
      <c r="GF68">
        <v>2101938969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5"/>
        <v>0</v>
      </c>
      <c r="GM68">
        <f t="shared" si="96"/>
        <v>0</v>
      </c>
      <c r="GN68">
        <f t="shared" si="97"/>
        <v>0</v>
      </c>
      <c r="GO68">
        <f t="shared" si="98"/>
        <v>0</v>
      </c>
      <c r="GP68">
        <f t="shared" si="99"/>
        <v>0</v>
      </c>
      <c r="GR68">
        <v>0</v>
      </c>
      <c r="GS68">
        <v>3</v>
      </c>
      <c r="GT68">
        <v>0</v>
      </c>
      <c r="GU68" t="s">
        <v>3</v>
      </c>
      <c r="GV68">
        <f t="shared" si="100"/>
        <v>0</v>
      </c>
      <c r="GW68">
        <v>1</v>
      </c>
      <c r="GX68">
        <f t="shared" si="101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ROW(SmtRes!A105)</f>
        <v>105</v>
      </c>
      <c r="D69">
        <f>ROW(EtalonRes!A106)</f>
        <v>106</v>
      </c>
      <c r="E69" t="s">
        <v>202</v>
      </c>
      <c r="F69" t="s">
        <v>203</v>
      </c>
      <c r="G69" t="s">
        <v>204</v>
      </c>
      <c r="H69" t="s">
        <v>17</v>
      </c>
      <c r="I69">
        <v>1.6897</v>
      </c>
      <c r="J69">
        <v>0</v>
      </c>
      <c r="O69">
        <f t="shared" si="69"/>
        <v>24802.43</v>
      </c>
      <c r="P69">
        <f t="shared" si="70"/>
        <v>12816.35</v>
      </c>
      <c r="Q69">
        <f t="shared" si="71"/>
        <v>1465.2</v>
      </c>
      <c r="R69">
        <f t="shared" si="72"/>
        <v>848.98</v>
      </c>
      <c r="S69">
        <f t="shared" si="73"/>
        <v>10520.88</v>
      </c>
      <c r="T69">
        <f t="shared" si="74"/>
        <v>0</v>
      </c>
      <c r="U69">
        <f t="shared" si="75"/>
        <v>166.80042519999998</v>
      </c>
      <c r="V69">
        <f t="shared" si="76"/>
        <v>13.285266249999999</v>
      </c>
      <c r="W69">
        <f t="shared" si="77"/>
        <v>0</v>
      </c>
      <c r="X69">
        <f t="shared" si="78"/>
        <v>10801.37</v>
      </c>
      <c r="Y69">
        <f t="shared" si="79"/>
        <v>5343.83</v>
      </c>
      <c r="AA69">
        <v>39096431</v>
      </c>
      <c r="AB69">
        <f t="shared" si="80"/>
        <v>2187.5700000000002</v>
      </c>
      <c r="AC69">
        <f t="shared" si="61"/>
        <v>1130.4000000000001</v>
      </c>
      <c r="AD69">
        <f>ROUND(((((ET69*1.25))-((EU69*1.25)))+AE69),2)</f>
        <v>129.22999999999999</v>
      </c>
      <c r="AE69">
        <f>ROUND(((EU69*1.25)),2)</f>
        <v>74.88</v>
      </c>
      <c r="AF69">
        <f>ROUND(((EV69*1.15)),2)</f>
        <v>927.94</v>
      </c>
      <c r="AG69">
        <f t="shared" si="81"/>
        <v>0</v>
      </c>
      <c r="AH69">
        <f>((EW69*1.15))</f>
        <v>98.715999999999994</v>
      </c>
      <c r="AI69">
        <f>((EX69*1.25))</f>
        <v>7.8624999999999998</v>
      </c>
      <c r="AJ69">
        <f t="shared" si="82"/>
        <v>0</v>
      </c>
      <c r="AK69">
        <v>2040.68</v>
      </c>
      <c r="AL69">
        <v>1130.4000000000001</v>
      </c>
      <c r="AM69">
        <v>103.38</v>
      </c>
      <c r="AN69">
        <v>59.9</v>
      </c>
      <c r="AO69">
        <v>806.9</v>
      </c>
      <c r="AP69">
        <v>0</v>
      </c>
      <c r="AQ69">
        <v>85.84</v>
      </c>
      <c r="AR69">
        <v>6.29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6.71</v>
      </c>
      <c r="BA69">
        <v>6.71</v>
      </c>
      <c r="BB69">
        <v>6.71</v>
      </c>
      <c r="BC69">
        <v>6.71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205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6.71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970</v>
      </c>
      <c r="CO69">
        <v>0</v>
      </c>
      <c r="CP69">
        <f t="shared" si="83"/>
        <v>24802.43</v>
      </c>
      <c r="CQ69">
        <f t="shared" si="84"/>
        <v>7584.9840000000004</v>
      </c>
      <c r="CR69">
        <f t="shared" si="85"/>
        <v>867.13329999999996</v>
      </c>
      <c r="CS69">
        <f t="shared" si="86"/>
        <v>502.44479999999999</v>
      </c>
      <c r="CT69">
        <f t="shared" si="87"/>
        <v>6226.4774000000007</v>
      </c>
      <c r="CU69">
        <f t="shared" si="88"/>
        <v>0</v>
      </c>
      <c r="CV69">
        <f t="shared" si="89"/>
        <v>98.715999999999994</v>
      </c>
      <c r="CW69">
        <f t="shared" si="90"/>
        <v>7.8624999999999998</v>
      </c>
      <c r="CX69">
        <f t="shared" si="91"/>
        <v>0</v>
      </c>
      <c r="CY69">
        <f t="shared" si="92"/>
        <v>10801.367</v>
      </c>
      <c r="CZ69">
        <f t="shared" si="93"/>
        <v>5343.8341999999993</v>
      </c>
      <c r="DC69" t="s">
        <v>3</v>
      </c>
      <c r="DD69" t="s">
        <v>3</v>
      </c>
      <c r="DE69" t="s">
        <v>85</v>
      </c>
      <c r="DF69" t="s">
        <v>85</v>
      </c>
      <c r="DG69" t="s">
        <v>86</v>
      </c>
      <c r="DH69" t="s">
        <v>3</v>
      </c>
      <c r="DI69" t="s">
        <v>86</v>
      </c>
      <c r="DJ69" t="s">
        <v>85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17</v>
      </c>
      <c r="DW69" t="s">
        <v>17</v>
      </c>
      <c r="DX69">
        <v>100</v>
      </c>
      <c r="EE69">
        <v>39174529</v>
      </c>
      <c r="EF69">
        <v>2</v>
      </c>
      <c r="EG69" t="s">
        <v>19</v>
      </c>
      <c r="EH69">
        <v>0</v>
      </c>
      <c r="EI69" t="s">
        <v>3</v>
      </c>
      <c r="EJ69">
        <v>1</v>
      </c>
      <c r="EK69">
        <v>15001</v>
      </c>
      <c r="EL69" t="s">
        <v>59</v>
      </c>
      <c r="EM69" t="s">
        <v>60</v>
      </c>
      <c r="EO69" t="s">
        <v>89</v>
      </c>
      <c r="EQ69">
        <v>0</v>
      </c>
      <c r="ER69">
        <v>2040.68</v>
      </c>
      <c r="ES69">
        <v>1130.4000000000001</v>
      </c>
      <c r="ET69">
        <v>103.38</v>
      </c>
      <c r="EU69">
        <v>59.9</v>
      </c>
      <c r="EV69">
        <v>806.9</v>
      </c>
      <c r="EW69">
        <v>85.84</v>
      </c>
      <c r="EX69">
        <v>6.29</v>
      </c>
      <c r="EY69">
        <v>0</v>
      </c>
      <c r="FQ69">
        <v>0</v>
      </c>
      <c r="FR69">
        <f t="shared" si="94"/>
        <v>0</v>
      </c>
      <c r="FS69">
        <v>0</v>
      </c>
      <c r="FT69" t="s">
        <v>22</v>
      </c>
      <c r="FU69" t="s">
        <v>23</v>
      </c>
      <c r="FX69">
        <v>94.5</v>
      </c>
      <c r="FY69">
        <v>46.75</v>
      </c>
      <c r="GA69" t="s">
        <v>3</v>
      </c>
      <c r="GD69">
        <v>0</v>
      </c>
      <c r="GF69">
        <v>2119154356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5"/>
        <v>0</v>
      </c>
      <c r="GM69">
        <f t="shared" si="96"/>
        <v>40947.629999999997</v>
      </c>
      <c r="GN69">
        <f t="shared" si="97"/>
        <v>40947.629999999997</v>
      </c>
      <c r="GO69">
        <f t="shared" si="98"/>
        <v>0</v>
      </c>
      <c r="GP69">
        <f t="shared" si="99"/>
        <v>0</v>
      </c>
      <c r="GR69">
        <v>0</v>
      </c>
      <c r="GS69">
        <v>3</v>
      </c>
      <c r="GT69">
        <v>0</v>
      </c>
      <c r="GU69" t="s">
        <v>3</v>
      </c>
      <c r="GV69">
        <f t="shared" si="100"/>
        <v>0</v>
      </c>
      <c r="GW69">
        <v>1</v>
      </c>
      <c r="GX69">
        <f t="shared" si="101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ROW(SmtRes!A110)</f>
        <v>110</v>
      </c>
      <c r="D70">
        <f>ROW(EtalonRes!A111)</f>
        <v>111</v>
      </c>
      <c r="E70" t="s">
        <v>206</v>
      </c>
      <c r="F70" t="s">
        <v>207</v>
      </c>
      <c r="G70" t="s">
        <v>208</v>
      </c>
      <c r="H70" t="s">
        <v>17</v>
      </c>
      <c r="I70">
        <v>3.3180000000000001</v>
      </c>
      <c r="J70">
        <v>0</v>
      </c>
      <c r="O70">
        <f t="shared" si="69"/>
        <v>152481.96</v>
      </c>
      <c r="P70">
        <f t="shared" si="70"/>
        <v>118786.17</v>
      </c>
      <c r="Q70">
        <f t="shared" si="71"/>
        <v>9036.65</v>
      </c>
      <c r="R70">
        <f t="shared" si="72"/>
        <v>1764.18</v>
      </c>
      <c r="S70">
        <f t="shared" si="73"/>
        <v>24659.14</v>
      </c>
      <c r="T70">
        <f t="shared" si="74"/>
        <v>0</v>
      </c>
      <c r="U70">
        <f t="shared" si="75"/>
        <v>390.95662199999992</v>
      </c>
      <c r="V70">
        <f t="shared" si="76"/>
        <v>22.147649999999999</v>
      </c>
      <c r="W70">
        <f t="shared" si="77"/>
        <v>0</v>
      </c>
      <c r="X70">
        <f t="shared" si="78"/>
        <v>25102.15</v>
      </c>
      <c r="Y70">
        <f t="shared" si="79"/>
        <v>12418.96</v>
      </c>
      <c r="AA70">
        <v>39096431</v>
      </c>
      <c r="AB70">
        <f t="shared" si="80"/>
        <v>6848.88</v>
      </c>
      <c r="AC70">
        <f t="shared" si="61"/>
        <v>5335.4</v>
      </c>
      <c r="AD70">
        <f>ROUND(((((ET70*1.25))-((EU70*1.25)))+AE70),2)</f>
        <v>405.89</v>
      </c>
      <c r="AE70">
        <f>ROUND(((EU70*1.25)),2)</f>
        <v>79.239999999999995</v>
      </c>
      <c r="AF70">
        <f>ROUND(((EV70*1.15)),2)</f>
        <v>1107.5899999999999</v>
      </c>
      <c r="AG70">
        <f t="shared" si="81"/>
        <v>0</v>
      </c>
      <c r="AH70">
        <f>((EW70*1.15))</f>
        <v>117.82899999999998</v>
      </c>
      <c r="AI70">
        <f>((EX70*1.25))</f>
        <v>6.6749999999999998</v>
      </c>
      <c r="AJ70">
        <f t="shared" si="82"/>
        <v>0</v>
      </c>
      <c r="AK70">
        <v>6623.23</v>
      </c>
      <c r="AL70">
        <v>5335.4</v>
      </c>
      <c r="AM70">
        <v>324.70999999999998</v>
      </c>
      <c r="AN70">
        <v>63.39</v>
      </c>
      <c r="AO70">
        <v>963.12</v>
      </c>
      <c r="AP70">
        <v>0</v>
      </c>
      <c r="AQ70">
        <v>102.46</v>
      </c>
      <c r="AR70">
        <v>5.34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6.71</v>
      </c>
      <c r="BA70">
        <v>6.71</v>
      </c>
      <c r="BB70">
        <v>6.71</v>
      </c>
      <c r="BC70">
        <v>6.71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209</v>
      </c>
      <c r="BM70">
        <v>15001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6.71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970</v>
      </c>
      <c r="CO70">
        <v>0</v>
      </c>
      <c r="CP70">
        <f t="shared" si="83"/>
        <v>152481.96</v>
      </c>
      <c r="CQ70">
        <f t="shared" si="84"/>
        <v>35800.534</v>
      </c>
      <c r="CR70">
        <f t="shared" si="85"/>
        <v>2723.5218999999997</v>
      </c>
      <c r="CS70">
        <f t="shared" si="86"/>
        <v>531.70039999999995</v>
      </c>
      <c r="CT70">
        <f t="shared" si="87"/>
        <v>7431.928899999999</v>
      </c>
      <c r="CU70">
        <f t="shared" si="88"/>
        <v>0</v>
      </c>
      <c r="CV70">
        <f t="shared" si="89"/>
        <v>117.82899999999998</v>
      </c>
      <c r="CW70">
        <f t="shared" si="90"/>
        <v>6.6749999999999998</v>
      </c>
      <c r="CX70">
        <f t="shared" si="91"/>
        <v>0</v>
      </c>
      <c r="CY70">
        <f t="shared" si="92"/>
        <v>25102.153999999999</v>
      </c>
      <c r="CZ70">
        <f t="shared" si="93"/>
        <v>12418.9604</v>
      </c>
      <c r="DC70" t="s">
        <v>3</v>
      </c>
      <c r="DD70" t="s">
        <v>3</v>
      </c>
      <c r="DE70" t="s">
        <v>85</v>
      </c>
      <c r="DF70" t="s">
        <v>85</v>
      </c>
      <c r="DG70" t="s">
        <v>86</v>
      </c>
      <c r="DH70" t="s">
        <v>3</v>
      </c>
      <c r="DI70" t="s">
        <v>86</v>
      </c>
      <c r="DJ70" t="s">
        <v>85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17</v>
      </c>
      <c r="DW70" t="s">
        <v>17</v>
      </c>
      <c r="DX70">
        <v>100</v>
      </c>
      <c r="EE70">
        <v>39174529</v>
      </c>
      <c r="EF70">
        <v>2</v>
      </c>
      <c r="EG70" t="s">
        <v>19</v>
      </c>
      <c r="EH70">
        <v>0</v>
      </c>
      <c r="EI70" t="s">
        <v>3</v>
      </c>
      <c r="EJ70">
        <v>1</v>
      </c>
      <c r="EK70">
        <v>15001</v>
      </c>
      <c r="EL70" t="s">
        <v>59</v>
      </c>
      <c r="EM70" t="s">
        <v>60</v>
      </c>
      <c r="EO70" t="s">
        <v>89</v>
      </c>
      <c r="EQ70">
        <v>0</v>
      </c>
      <c r="ER70">
        <v>6623.23</v>
      </c>
      <c r="ES70">
        <v>5335.4</v>
      </c>
      <c r="ET70">
        <v>324.70999999999998</v>
      </c>
      <c r="EU70">
        <v>63.39</v>
      </c>
      <c r="EV70">
        <v>963.12</v>
      </c>
      <c r="EW70">
        <v>102.46</v>
      </c>
      <c r="EX70">
        <v>5.34</v>
      </c>
      <c r="EY70">
        <v>0</v>
      </c>
      <c r="FQ70">
        <v>0</v>
      </c>
      <c r="FR70">
        <f t="shared" si="94"/>
        <v>0</v>
      </c>
      <c r="FS70">
        <v>0</v>
      </c>
      <c r="FT70" t="s">
        <v>22</v>
      </c>
      <c r="FU70" t="s">
        <v>23</v>
      </c>
      <c r="FX70">
        <v>94.5</v>
      </c>
      <c r="FY70">
        <v>46.75</v>
      </c>
      <c r="GA70" t="s">
        <v>3</v>
      </c>
      <c r="GD70">
        <v>0</v>
      </c>
      <c r="GF70">
        <v>-59192285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5"/>
        <v>0</v>
      </c>
      <c r="GM70">
        <f t="shared" si="96"/>
        <v>190003.07</v>
      </c>
      <c r="GN70">
        <f t="shared" si="97"/>
        <v>190003.07</v>
      </c>
      <c r="GO70">
        <f t="shared" si="98"/>
        <v>0</v>
      </c>
      <c r="GP70">
        <f t="shared" si="99"/>
        <v>0</v>
      </c>
      <c r="GR70">
        <v>0</v>
      </c>
      <c r="GS70">
        <v>0</v>
      </c>
      <c r="GT70">
        <v>0</v>
      </c>
      <c r="GU70" t="s">
        <v>3</v>
      </c>
      <c r="GV70">
        <f t="shared" si="100"/>
        <v>0</v>
      </c>
      <c r="GW70">
        <v>1</v>
      </c>
      <c r="GX70">
        <f t="shared" si="101"/>
        <v>0</v>
      </c>
      <c r="HA70">
        <v>0</v>
      </c>
      <c r="HB70">
        <v>0</v>
      </c>
      <c r="IK70">
        <v>0</v>
      </c>
    </row>
    <row r="71" spans="1:245" x14ac:dyDescent="0.2">
      <c r="A71">
        <v>17</v>
      </c>
      <c r="B71">
        <v>1</v>
      </c>
      <c r="C71">
        <f>ROW(SmtRes!A116)</f>
        <v>116</v>
      </c>
      <c r="D71">
        <f>ROW(EtalonRes!A116)</f>
        <v>116</v>
      </c>
      <c r="E71" t="s">
        <v>210</v>
      </c>
      <c r="F71" t="s">
        <v>211</v>
      </c>
      <c r="G71" t="s">
        <v>212</v>
      </c>
      <c r="H71" t="s">
        <v>17</v>
      </c>
      <c r="I71">
        <v>5.0434000000000001</v>
      </c>
      <c r="J71">
        <v>0</v>
      </c>
      <c r="O71">
        <f t="shared" si="69"/>
        <v>31199.22</v>
      </c>
      <c r="P71">
        <f t="shared" si="70"/>
        <v>18606.91</v>
      </c>
      <c r="Q71">
        <f t="shared" si="71"/>
        <v>677.16</v>
      </c>
      <c r="R71">
        <f t="shared" si="72"/>
        <v>292.39</v>
      </c>
      <c r="S71">
        <f t="shared" si="73"/>
        <v>11915.15</v>
      </c>
      <c r="T71">
        <f t="shared" si="74"/>
        <v>0</v>
      </c>
      <c r="U71">
        <f t="shared" si="75"/>
        <v>213.68885799999998</v>
      </c>
      <c r="V71">
        <f t="shared" si="76"/>
        <v>3.227776</v>
      </c>
      <c r="W71">
        <f t="shared" si="77"/>
        <v>0</v>
      </c>
      <c r="X71">
        <f t="shared" si="78"/>
        <v>9643.9599999999991</v>
      </c>
      <c r="Y71">
        <f t="shared" si="79"/>
        <v>6103.77</v>
      </c>
      <c r="AA71">
        <v>39096431</v>
      </c>
      <c r="AB71">
        <f t="shared" si="80"/>
        <v>921.93</v>
      </c>
      <c r="AC71">
        <f t="shared" si="61"/>
        <v>549.83000000000004</v>
      </c>
      <c r="AD71">
        <f>ROUND((((ET71)-(EU71))+AE71),2)</f>
        <v>20.010000000000002</v>
      </c>
      <c r="AE71">
        <f t="shared" ref="AE71:AF73" si="104">ROUND((EU71),2)</f>
        <v>8.64</v>
      </c>
      <c r="AF71">
        <f t="shared" si="104"/>
        <v>352.09</v>
      </c>
      <c r="AG71">
        <f t="shared" si="81"/>
        <v>0</v>
      </c>
      <c r="AH71">
        <f t="shared" ref="AH71:AI73" si="105">(EW71)</f>
        <v>42.37</v>
      </c>
      <c r="AI71">
        <f t="shared" si="105"/>
        <v>0.64</v>
      </c>
      <c r="AJ71">
        <f t="shared" si="82"/>
        <v>0</v>
      </c>
      <c r="AK71">
        <v>921.93</v>
      </c>
      <c r="AL71">
        <v>549.83000000000004</v>
      </c>
      <c r="AM71">
        <v>20.010000000000002</v>
      </c>
      <c r="AN71">
        <v>8.64</v>
      </c>
      <c r="AO71">
        <v>352.09</v>
      </c>
      <c r="AP71">
        <v>0</v>
      </c>
      <c r="AQ71">
        <v>42.37</v>
      </c>
      <c r="AR71">
        <v>0.64</v>
      </c>
      <c r="AS71">
        <v>0</v>
      </c>
      <c r="AT71">
        <v>79</v>
      </c>
      <c r="AU71">
        <v>50</v>
      </c>
      <c r="AV71">
        <v>1</v>
      </c>
      <c r="AW71">
        <v>1</v>
      </c>
      <c r="AZ71">
        <v>6.71</v>
      </c>
      <c r="BA71">
        <v>6.71</v>
      </c>
      <c r="BB71">
        <v>6.71</v>
      </c>
      <c r="BC71">
        <v>6.71</v>
      </c>
      <c r="BD71" t="s">
        <v>3</v>
      </c>
      <c r="BE71" t="s">
        <v>3</v>
      </c>
      <c r="BF71" t="s">
        <v>3</v>
      </c>
      <c r="BG71" t="s">
        <v>3</v>
      </c>
      <c r="BH71">
        <v>0</v>
      </c>
      <c r="BI71">
        <v>1</v>
      </c>
      <c r="BJ71" t="s">
        <v>213</v>
      </c>
      <c r="BM71">
        <v>61001</v>
      </c>
      <c r="BN71">
        <v>0</v>
      </c>
      <c r="BO71" t="s">
        <v>3</v>
      </c>
      <c r="BP71">
        <v>0</v>
      </c>
      <c r="BQ71">
        <v>6</v>
      </c>
      <c r="BR71">
        <v>0</v>
      </c>
      <c r="BS71">
        <v>6.71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79</v>
      </c>
      <c r="CA71">
        <v>50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3"/>
        <v>31199.22</v>
      </c>
      <c r="CQ71">
        <f t="shared" si="84"/>
        <v>3689.3593000000001</v>
      </c>
      <c r="CR71">
        <f t="shared" si="85"/>
        <v>134.2671</v>
      </c>
      <c r="CS71">
        <f t="shared" si="86"/>
        <v>57.974400000000003</v>
      </c>
      <c r="CT71">
        <f t="shared" si="87"/>
        <v>2362.5238999999997</v>
      </c>
      <c r="CU71">
        <f t="shared" si="88"/>
        <v>0</v>
      </c>
      <c r="CV71">
        <f t="shared" si="89"/>
        <v>42.37</v>
      </c>
      <c r="CW71">
        <f t="shared" si="90"/>
        <v>0.64</v>
      </c>
      <c r="CX71">
        <f t="shared" si="91"/>
        <v>0</v>
      </c>
      <c r="CY71">
        <f t="shared" si="92"/>
        <v>9643.9565999999995</v>
      </c>
      <c r="CZ71">
        <f t="shared" si="93"/>
        <v>6103.77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17</v>
      </c>
      <c r="DW71" t="s">
        <v>17</v>
      </c>
      <c r="DX71">
        <v>100</v>
      </c>
      <c r="EE71">
        <v>39174586</v>
      </c>
      <c r="EF71">
        <v>6</v>
      </c>
      <c r="EG71" t="s">
        <v>29</v>
      </c>
      <c r="EH71">
        <v>0</v>
      </c>
      <c r="EI71" t="s">
        <v>3</v>
      </c>
      <c r="EJ71">
        <v>1</v>
      </c>
      <c r="EK71">
        <v>61001</v>
      </c>
      <c r="EL71" t="s">
        <v>214</v>
      </c>
      <c r="EM71" t="s">
        <v>215</v>
      </c>
      <c r="EO71" t="s">
        <v>3</v>
      </c>
      <c r="EQ71">
        <v>0</v>
      </c>
      <c r="ER71">
        <v>921.93</v>
      </c>
      <c r="ES71">
        <v>549.83000000000004</v>
      </c>
      <c r="ET71">
        <v>20.010000000000002</v>
      </c>
      <c r="EU71">
        <v>8.64</v>
      </c>
      <c r="EV71">
        <v>352.09</v>
      </c>
      <c r="EW71">
        <v>42.37</v>
      </c>
      <c r="EX71">
        <v>0.64</v>
      </c>
      <c r="EY71">
        <v>0</v>
      </c>
      <c r="FQ71">
        <v>0</v>
      </c>
      <c r="FR71">
        <f t="shared" si="94"/>
        <v>0</v>
      </c>
      <c r="FS71">
        <v>0</v>
      </c>
      <c r="FX71">
        <v>79</v>
      </c>
      <c r="FY71">
        <v>50</v>
      </c>
      <c r="GA71" t="s">
        <v>3</v>
      </c>
      <c r="GD71">
        <v>0</v>
      </c>
      <c r="GF71">
        <v>651283125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5"/>
        <v>0</v>
      </c>
      <c r="GM71">
        <f t="shared" si="96"/>
        <v>46946.95</v>
      </c>
      <c r="GN71">
        <f t="shared" si="97"/>
        <v>46946.95</v>
      </c>
      <c r="GO71">
        <f t="shared" si="98"/>
        <v>0</v>
      </c>
      <c r="GP71">
        <f t="shared" si="99"/>
        <v>0</v>
      </c>
      <c r="GR71">
        <v>0</v>
      </c>
      <c r="GS71">
        <v>0</v>
      </c>
      <c r="GT71">
        <v>0</v>
      </c>
      <c r="GU71" t="s">
        <v>3</v>
      </c>
      <c r="GV71">
        <f t="shared" si="100"/>
        <v>0</v>
      </c>
      <c r="GW71">
        <v>1</v>
      </c>
      <c r="GX71">
        <f t="shared" si="101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115</v>
      </c>
      <c r="E72" t="s">
        <v>216</v>
      </c>
      <c r="F72" t="s">
        <v>217</v>
      </c>
      <c r="G72" t="s">
        <v>218</v>
      </c>
      <c r="H72" t="s">
        <v>106</v>
      </c>
      <c r="I72">
        <f>I71*J72</f>
        <v>-5.3460039999999989</v>
      </c>
      <c r="J72">
        <v>-1.0599999999999998</v>
      </c>
      <c r="O72">
        <f t="shared" si="69"/>
        <v>-18578.310000000001</v>
      </c>
      <c r="P72">
        <f t="shared" si="70"/>
        <v>-18578.310000000001</v>
      </c>
      <c r="Q72">
        <f t="shared" si="71"/>
        <v>0</v>
      </c>
      <c r="R72">
        <f t="shared" si="72"/>
        <v>0</v>
      </c>
      <c r="S72">
        <f t="shared" si="73"/>
        <v>0</v>
      </c>
      <c r="T72">
        <f t="shared" si="74"/>
        <v>0</v>
      </c>
      <c r="U72">
        <f t="shared" si="75"/>
        <v>0</v>
      </c>
      <c r="V72">
        <f t="shared" si="76"/>
        <v>0</v>
      </c>
      <c r="W72">
        <f t="shared" si="77"/>
        <v>0</v>
      </c>
      <c r="X72">
        <f t="shared" si="78"/>
        <v>0</v>
      </c>
      <c r="Y72">
        <f t="shared" si="79"/>
        <v>0</v>
      </c>
      <c r="AA72">
        <v>39096431</v>
      </c>
      <c r="AB72">
        <f t="shared" si="80"/>
        <v>517.91</v>
      </c>
      <c r="AC72">
        <f t="shared" si="61"/>
        <v>517.91</v>
      </c>
      <c r="AD72">
        <f>ROUND((((ET72)-(EU72))+AE72),2)</f>
        <v>0</v>
      </c>
      <c r="AE72">
        <f t="shared" si="104"/>
        <v>0</v>
      </c>
      <c r="AF72">
        <f t="shared" si="104"/>
        <v>0</v>
      </c>
      <c r="AG72">
        <f t="shared" si="81"/>
        <v>0</v>
      </c>
      <c r="AH72">
        <f t="shared" si="105"/>
        <v>0</v>
      </c>
      <c r="AI72">
        <f t="shared" si="105"/>
        <v>0</v>
      </c>
      <c r="AJ72">
        <f t="shared" si="82"/>
        <v>0</v>
      </c>
      <c r="AK72">
        <v>517.91</v>
      </c>
      <c r="AL72">
        <v>517.91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79</v>
      </c>
      <c r="AU72">
        <v>50</v>
      </c>
      <c r="AV72">
        <v>1</v>
      </c>
      <c r="AW72">
        <v>1</v>
      </c>
      <c r="AZ72">
        <v>6.71</v>
      </c>
      <c r="BA72">
        <v>1</v>
      </c>
      <c r="BB72">
        <v>1</v>
      </c>
      <c r="BC72">
        <v>6.71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219</v>
      </c>
      <c r="BM72">
        <v>61001</v>
      </c>
      <c r="BN72">
        <v>0</v>
      </c>
      <c r="BO72" t="s">
        <v>3</v>
      </c>
      <c r="BP72">
        <v>0</v>
      </c>
      <c r="BQ72">
        <v>6</v>
      </c>
      <c r="BR72">
        <v>1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79</v>
      </c>
      <c r="CA72">
        <v>50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83"/>
        <v>-18578.310000000001</v>
      </c>
      <c r="CQ72">
        <f t="shared" si="84"/>
        <v>3475.1760999999997</v>
      </c>
      <c r="CR72">
        <f t="shared" si="85"/>
        <v>0</v>
      </c>
      <c r="CS72">
        <f t="shared" si="86"/>
        <v>0</v>
      </c>
      <c r="CT72">
        <f t="shared" si="87"/>
        <v>0</v>
      </c>
      <c r="CU72">
        <f t="shared" si="88"/>
        <v>0</v>
      </c>
      <c r="CV72">
        <f t="shared" si="89"/>
        <v>0</v>
      </c>
      <c r="CW72">
        <f t="shared" si="90"/>
        <v>0</v>
      </c>
      <c r="CX72">
        <f t="shared" si="91"/>
        <v>0</v>
      </c>
      <c r="CY72">
        <f t="shared" si="92"/>
        <v>0</v>
      </c>
      <c r="CZ72">
        <f t="shared" si="93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1007</v>
      </c>
      <c r="DV72" t="s">
        <v>106</v>
      </c>
      <c r="DW72" t="s">
        <v>106</v>
      </c>
      <c r="DX72">
        <v>1</v>
      </c>
      <c r="EE72">
        <v>39174586</v>
      </c>
      <c r="EF72">
        <v>6</v>
      </c>
      <c r="EG72" t="s">
        <v>29</v>
      </c>
      <c r="EH72">
        <v>0</v>
      </c>
      <c r="EI72" t="s">
        <v>3</v>
      </c>
      <c r="EJ72">
        <v>1</v>
      </c>
      <c r="EK72">
        <v>61001</v>
      </c>
      <c r="EL72" t="s">
        <v>214</v>
      </c>
      <c r="EM72" t="s">
        <v>215</v>
      </c>
      <c r="EO72" t="s">
        <v>3</v>
      </c>
      <c r="EQ72">
        <v>32768</v>
      </c>
      <c r="ER72">
        <v>517.91</v>
      </c>
      <c r="ES72">
        <v>517.91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4"/>
        <v>0</v>
      </c>
      <c r="FS72">
        <v>0</v>
      </c>
      <c r="FX72">
        <v>79</v>
      </c>
      <c r="FY72">
        <v>50</v>
      </c>
      <c r="GA72" t="s">
        <v>3</v>
      </c>
      <c r="GD72">
        <v>0</v>
      </c>
      <c r="GF72">
        <v>-1001479081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5"/>
        <v>0</v>
      </c>
      <c r="GM72">
        <f t="shared" si="96"/>
        <v>-18578.310000000001</v>
      </c>
      <c r="GN72">
        <f t="shared" si="97"/>
        <v>-18578.310000000001</v>
      </c>
      <c r="GO72">
        <f t="shared" si="98"/>
        <v>0</v>
      </c>
      <c r="GP72">
        <f t="shared" si="99"/>
        <v>0</v>
      </c>
      <c r="GR72">
        <v>0</v>
      </c>
      <c r="GS72">
        <v>0</v>
      </c>
      <c r="GT72">
        <v>0</v>
      </c>
      <c r="GU72" t="s">
        <v>3</v>
      </c>
      <c r="GV72">
        <f t="shared" si="100"/>
        <v>0</v>
      </c>
      <c r="GW72">
        <v>1</v>
      </c>
      <c r="GX72">
        <f t="shared" si="101"/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116</v>
      </c>
      <c r="E73" t="s">
        <v>220</v>
      </c>
      <c r="F73" t="s">
        <v>221</v>
      </c>
      <c r="G73" t="s">
        <v>222</v>
      </c>
      <c r="H73" t="s">
        <v>138</v>
      </c>
      <c r="I73">
        <f>I71*J73</f>
        <v>8018.54</v>
      </c>
      <c r="J73">
        <v>1589.9076020145139</v>
      </c>
      <c r="O73">
        <f t="shared" si="69"/>
        <v>111375.12</v>
      </c>
      <c r="P73">
        <f t="shared" si="70"/>
        <v>111375.12</v>
      </c>
      <c r="Q73">
        <f t="shared" si="71"/>
        <v>0</v>
      </c>
      <c r="R73">
        <f t="shared" si="72"/>
        <v>0</v>
      </c>
      <c r="S73">
        <f t="shared" si="73"/>
        <v>0</v>
      </c>
      <c r="T73">
        <f t="shared" si="74"/>
        <v>0</v>
      </c>
      <c r="U73">
        <f t="shared" si="75"/>
        <v>0</v>
      </c>
      <c r="V73">
        <f t="shared" si="76"/>
        <v>0</v>
      </c>
      <c r="W73">
        <f t="shared" si="77"/>
        <v>0</v>
      </c>
      <c r="X73">
        <f t="shared" si="78"/>
        <v>0</v>
      </c>
      <c r="Y73">
        <f t="shared" si="79"/>
        <v>0</v>
      </c>
      <c r="AA73">
        <v>39096431</v>
      </c>
      <c r="AB73">
        <f t="shared" si="80"/>
        <v>2.0699999999999998</v>
      </c>
      <c r="AC73">
        <f t="shared" si="61"/>
        <v>2.0699999999999998</v>
      </c>
      <c r="AD73">
        <f>ROUND((((ET73)-(EU73))+AE73),2)</f>
        <v>0</v>
      </c>
      <c r="AE73">
        <f t="shared" si="104"/>
        <v>0</v>
      </c>
      <c r="AF73">
        <f t="shared" si="104"/>
        <v>0</v>
      </c>
      <c r="AG73">
        <f t="shared" si="81"/>
        <v>0</v>
      </c>
      <c r="AH73">
        <f t="shared" si="105"/>
        <v>0</v>
      </c>
      <c r="AI73">
        <f t="shared" si="105"/>
        <v>0</v>
      </c>
      <c r="AJ73">
        <f t="shared" si="82"/>
        <v>0</v>
      </c>
      <c r="AK73">
        <v>2.0699999999999998</v>
      </c>
      <c r="AL73">
        <v>2.0699999999999998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79</v>
      </c>
      <c r="AU73">
        <v>50</v>
      </c>
      <c r="AV73">
        <v>1</v>
      </c>
      <c r="AW73">
        <v>1</v>
      </c>
      <c r="AZ73">
        <v>6.71</v>
      </c>
      <c r="BA73">
        <v>1</v>
      </c>
      <c r="BB73">
        <v>1</v>
      </c>
      <c r="BC73">
        <v>6.71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223</v>
      </c>
      <c r="BM73">
        <v>61001</v>
      </c>
      <c r="BN73">
        <v>0</v>
      </c>
      <c r="BO73" t="s">
        <v>3</v>
      </c>
      <c r="BP73">
        <v>0</v>
      </c>
      <c r="BQ73">
        <v>6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79</v>
      </c>
      <c r="CA73">
        <v>50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83"/>
        <v>111375.12</v>
      </c>
      <c r="CQ73">
        <f t="shared" si="84"/>
        <v>13.889699999999999</v>
      </c>
      <c r="CR73">
        <f t="shared" si="85"/>
        <v>0</v>
      </c>
      <c r="CS73">
        <f t="shared" si="86"/>
        <v>0</v>
      </c>
      <c r="CT73">
        <f t="shared" si="87"/>
        <v>0</v>
      </c>
      <c r="CU73">
        <f t="shared" si="88"/>
        <v>0</v>
      </c>
      <c r="CV73">
        <f t="shared" si="89"/>
        <v>0</v>
      </c>
      <c r="CW73">
        <f t="shared" si="90"/>
        <v>0</v>
      </c>
      <c r="CX73">
        <f t="shared" si="91"/>
        <v>0</v>
      </c>
      <c r="CY73">
        <f t="shared" si="92"/>
        <v>0</v>
      </c>
      <c r="CZ73">
        <f t="shared" si="93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138</v>
      </c>
      <c r="DW73" t="s">
        <v>138</v>
      </c>
      <c r="DX73">
        <v>1</v>
      </c>
      <c r="EE73">
        <v>39174586</v>
      </c>
      <c r="EF73">
        <v>6</v>
      </c>
      <c r="EG73" t="s">
        <v>29</v>
      </c>
      <c r="EH73">
        <v>0</v>
      </c>
      <c r="EI73" t="s">
        <v>3</v>
      </c>
      <c r="EJ73">
        <v>1</v>
      </c>
      <c r="EK73">
        <v>61001</v>
      </c>
      <c r="EL73" t="s">
        <v>214</v>
      </c>
      <c r="EM73" t="s">
        <v>215</v>
      </c>
      <c r="EO73" t="s">
        <v>3</v>
      </c>
      <c r="EQ73">
        <v>0</v>
      </c>
      <c r="ER73">
        <v>2.0699999999999998</v>
      </c>
      <c r="ES73">
        <v>2.0699999999999998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4"/>
        <v>0</v>
      </c>
      <c r="FS73">
        <v>0</v>
      </c>
      <c r="FX73">
        <v>79</v>
      </c>
      <c r="FY73">
        <v>50</v>
      </c>
      <c r="GA73" t="s">
        <v>3</v>
      </c>
      <c r="GD73">
        <v>0</v>
      </c>
      <c r="GF73">
        <v>-60067644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5"/>
        <v>0</v>
      </c>
      <c r="GM73">
        <f t="shared" si="96"/>
        <v>111375.12</v>
      </c>
      <c r="GN73">
        <f t="shared" si="97"/>
        <v>111375.12</v>
      </c>
      <c r="GO73">
        <f t="shared" si="98"/>
        <v>0</v>
      </c>
      <c r="GP73">
        <f t="shared" si="99"/>
        <v>0</v>
      </c>
      <c r="GR73">
        <v>0</v>
      </c>
      <c r="GS73">
        <v>0</v>
      </c>
      <c r="GT73">
        <v>0</v>
      </c>
      <c r="GU73" t="s">
        <v>3</v>
      </c>
      <c r="GV73">
        <f t="shared" si="100"/>
        <v>0</v>
      </c>
      <c r="GW73">
        <v>1</v>
      </c>
      <c r="GX73">
        <f t="shared" si="101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ROW(SmtRes!A123)</f>
        <v>123</v>
      </c>
      <c r="D74">
        <f>ROW(EtalonRes!A122)</f>
        <v>122</v>
      </c>
      <c r="E74" t="s">
        <v>224</v>
      </c>
      <c r="F74" t="s">
        <v>225</v>
      </c>
      <c r="G74" t="s">
        <v>226</v>
      </c>
      <c r="H74" t="s">
        <v>17</v>
      </c>
      <c r="I74">
        <v>5.0434000000000001</v>
      </c>
      <c r="J74">
        <v>0</v>
      </c>
      <c r="O74">
        <f t="shared" si="69"/>
        <v>6190.57</v>
      </c>
      <c r="P74">
        <f t="shared" si="70"/>
        <v>12.18</v>
      </c>
      <c r="Q74">
        <f t="shared" si="71"/>
        <v>68.36</v>
      </c>
      <c r="R74">
        <f t="shared" si="72"/>
        <v>15.57</v>
      </c>
      <c r="S74">
        <f t="shared" si="73"/>
        <v>6110.03</v>
      </c>
      <c r="T74">
        <f t="shared" si="74"/>
        <v>0</v>
      </c>
      <c r="U74">
        <f t="shared" si="75"/>
        <v>94.654531199999994</v>
      </c>
      <c r="V74">
        <f t="shared" si="76"/>
        <v>0.1891275</v>
      </c>
      <c r="W74">
        <f t="shared" si="77"/>
        <v>0</v>
      </c>
      <c r="X74">
        <f t="shared" si="78"/>
        <v>5819.32</v>
      </c>
      <c r="Y74">
        <f t="shared" si="79"/>
        <v>2879.03</v>
      </c>
      <c r="AA74">
        <v>39096431</v>
      </c>
      <c r="AB74">
        <f t="shared" si="80"/>
        <v>182.93</v>
      </c>
      <c r="AC74">
        <f t="shared" si="61"/>
        <v>0.36</v>
      </c>
      <c r="AD74">
        <f>ROUND(((((ET74*1.25))-((EU74*1.25)))+AE74),2)</f>
        <v>2.02</v>
      </c>
      <c r="AE74">
        <f>ROUND(((EU74*1.25)),2)</f>
        <v>0.46</v>
      </c>
      <c r="AF74">
        <f>ROUND(((EV74*1.15)),2)</f>
        <v>180.55</v>
      </c>
      <c r="AG74">
        <f t="shared" si="81"/>
        <v>0</v>
      </c>
      <c r="AH74">
        <f>((EW74*1.15))</f>
        <v>18.767999999999997</v>
      </c>
      <c r="AI74">
        <f>((EX74*1.25))</f>
        <v>3.7499999999999999E-2</v>
      </c>
      <c r="AJ74">
        <f t="shared" si="82"/>
        <v>0</v>
      </c>
      <c r="AK74">
        <v>158.97999999999999</v>
      </c>
      <c r="AL74">
        <v>0.36</v>
      </c>
      <c r="AM74">
        <v>1.62</v>
      </c>
      <c r="AN74">
        <v>0.37</v>
      </c>
      <c r="AO74">
        <v>157</v>
      </c>
      <c r="AP74">
        <v>0</v>
      </c>
      <c r="AQ74">
        <v>16.32</v>
      </c>
      <c r="AR74">
        <v>0.03</v>
      </c>
      <c r="AS74">
        <v>0</v>
      </c>
      <c r="AT74">
        <v>95</v>
      </c>
      <c r="AU74">
        <v>47</v>
      </c>
      <c r="AV74">
        <v>1</v>
      </c>
      <c r="AW74">
        <v>1</v>
      </c>
      <c r="AZ74">
        <v>6.71</v>
      </c>
      <c r="BA74">
        <v>6.71</v>
      </c>
      <c r="BB74">
        <v>6.71</v>
      </c>
      <c r="BC74">
        <v>6.71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227</v>
      </c>
      <c r="BM74">
        <v>15001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6.71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105</v>
      </c>
      <c r="CA74">
        <v>55</v>
      </c>
      <c r="CF74">
        <v>0</v>
      </c>
      <c r="CG74">
        <v>0</v>
      </c>
      <c r="CM74">
        <v>0</v>
      </c>
      <c r="CN74" t="s">
        <v>970</v>
      </c>
      <c r="CO74">
        <v>0</v>
      </c>
      <c r="CP74">
        <f t="shared" si="83"/>
        <v>6190.57</v>
      </c>
      <c r="CQ74">
        <f t="shared" si="84"/>
        <v>2.4156</v>
      </c>
      <c r="CR74">
        <f t="shared" si="85"/>
        <v>13.5542</v>
      </c>
      <c r="CS74">
        <f t="shared" si="86"/>
        <v>3.0866000000000002</v>
      </c>
      <c r="CT74">
        <f t="shared" si="87"/>
        <v>1211.4905000000001</v>
      </c>
      <c r="CU74">
        <f t="shared" si="88"/>
        <v>0</v>
      </c>
      <c r="CV74">
        <f t="shared" si="89"/>
        <v>18.767999999999997</v>
      </c>
      <c r="CW74">
        <f t="shared" si="90"/>
        <v>3.7499999999999999E-2</v>
      </c>
      <c r="CX74">
        <f t="shared" si="91"/>
        <v>0</v>
      </c>
      <c r="CY74">
        <f t="shared" si="92"/>
        <v>5819.32</v>
      </c>
      <c r="CZ74">
        <f t="shared" si="93"/>
        <v>2879.0319999999997</v>
      </c>
      <c r="DC74" t="s">
        <v>3</v>
      </c>
      <c r="DD74" t="s">
        <v>3</v>
      </c>
      <c r="DE74" t="s">
        <v>85</v>
      </c>
      <c r="DF74" t="s">
        <v>85</v>
      </c>
      <c r="DG74" t="s">
        <v>86</v>
      </c>
      <c r="DH74" t="s">
        <v>3</v>
      </c>
      <c r="DI74" t="s">
        <v>86</v>
      </c>
      <c r="DJ74" t="s">
        <v>85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1005</v>
      </c>
      <c r="DV74" t="s">
        <v>17</v>
      </c>
      <c r="DW74" t="s">
        <v>17</v>
      </c>
      <c r="DX74">
        <v>100</v>
      </c>
      <c r="EE74">
        <v>39174529</v>
      </c>
      <c r="EF74">
        <v>2</v>
      </c>
      <c r="EG74" t="s">
        <v>19</v>
      </c>
      <c r="EH74">
        <v>0</v>
      </c>
      <c r="EI74" t="s">
        <v>3</v>
      </c>
      <c r="EJ74">
        <v>1</v>
      </c>
      <c r="EK74">
        <v>15001</v>
      </c>
      <c r="EL74" t="s">
        <v>59</v>
      </c>
      <c r="EM74" t="s">
        <v>60</v>
      </c>
      <c r="EO74" t="s">
        <v>89</v>
      </c>
      <c r="EQ74">
        <v>0</v>
      </c>
      <c r="ER74">
        <v>158.97999999999999</v>
      </c>
      <c r="ES74">
        <v>0.36</v>
      </c>
      <c r="ET74">
        <v>1.62</v>
      </c>
      <c r="EU74">
        <v>0.37</v>
      </c>
      <c r="EV74">
        <v>157</v>
      </c>
      <c r="EW74">
        <v>16.32</v>
      </c>
      <c r="EX74">
        <v>0.03</v>
      </c>
      <c r="EY74">
        <v>0</v>
      </c>
      <c r="FQ74">
        <v>0</v>
      </c>
      <c r="FR74">
        <f t="shared" si="94"/>
        <v>0</v>
      </c>
      <c r="FS74">
        <v>0</v>
      </c>
      <c r="FT74" t="s">
        <v>22</v>
      </c>
      <c r="FU74" t="s">
        <v>23</v>
      </c>
      <c r="FX74">
        <v>94.5</v>
      </c>
      <c r="FY74">
        <v>46.75</v>
      </c>
      <c r="GA74" t="s">
        <v>3</v>
      </c>
      <c r="GD74">
        <v>0</v>
      </c>
      <c r="GF74">
        <v>-816382651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5"/>
        <v>0</v>
      </c>
      <c r="GM74">
        <f t="shared" si="96"/>
        <v>14888.92</v>
      </c>
      <c r="GN74">
        <f t="shared" si="97"/>
        <v>14888.92</v>
      </c>
      <c r="GO74">
        <f t="shared" si="98"/>
        <v>0</v>
      </c>
      <c r="GP74">
        <f t="shared" si="99"/>
        <v>0</v>
      </c>
      <c r="GR74">
        <v>0</v>
      </c>
      <c r="GS74">
        <v>0</v>
      </c>
      <c r="GT74">
        <v>0</v>
      </c>
      <c r="GU74" t="s">
        <v>3</v>
      </c>
      <c r="GV74">
        <f t="shared" si="100"/>
        <v>0</v>
      </c>
      <c r="GW74">
        <v>1</v>
      </c>
      <c r="GX74">
        <f t="shared" si="101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123</v>
      </c>
      <c r="E75" t="s">
        <v>228</v>
      </c>
      <c r="F75" t="s">
        <v>229</v>
      </c>
      <c r="G75" t="s">
        <v>230</v>
      </c>
      <c r="H75" t="s">
        <v>110</v>
      </c>
      <c r="I75">
        <f>I74*J75</f>
        <v>0.100868</v>
      </c>
      <c r="J75">
        <v>0.02</v>
      </c>
      <c r="O75">
        <f t="shared" si="69"/>
        <v>0</v>
      </c>
      <c r="P75">
        <f t="shared" si="70"/>
        <v>0</v>
      </c>
      <c r="Q75">
        <f t="shared" si="71"/>
        <v>0</v>
      </c>
      <c r="R75">
        <f t="shared" si="72"/>
        <v>0</v>
      </c>
      <c r="S75">
        <f t="shared" si="73"/>
        <v>0</v>
      </c>
      <c r="T75">
        <f t="shared" si="74"/>
        <v>0</v>
      </c>
      <c r="U75">
        <f t="shared" si="75"/>
        <v>0</v>
      </c>
      <c r="V75">
        <f t="shared" si="76"/>
        <v>0</v>
      </c>
      <c r="W75">
        <f t="shared" si="77"/>
        <v>0</v>
      </c>
      <c r="X75">
        <f t="shared" si="78"/>
        <v>0</v>
      </c>
      <c r="Y75">
        <f t="shared" si="79"/>
        <v>0</v>
      </c>
      <c r="AA75">
        <v>39096431</v>
      </c>
      <c r="AB75">
        <f t="shared" si="80"/>
        <v>0</v>
      </c>
      <c r="AC75">
        <f t="shared" si="61"/>
        <v>0</v>
      </c>
      <c r="AD75">
        <f>ROUND((((ET75)-(EU75))+AE75),2)</f>
        <v>0</v>
      </c>
      <c r="AE75">
        <f>ROUND((EU75),2)</f>
        <v>0</v>
      </c>
      <c r="AF75">
        <f>ROUND((EV75),2)</f>
        <v>0</v>
      </c>
      <c r="AG75">
        <f t="shared" si="81"/>
        <v>0</v>
      </c>
      <c r="AH75">
        <f>(EW75)</f>
        <v>0</v>
      </c>
      <c r="AI75">
        <f>(EX75)</f>
        <v>0</v>
      </c>
      <c r="AJ75">
        <f t="shared" si="82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6.71</v>
      </c>
      <c r="BA75">
        <v>1</v>
      </c>
      <c r="BB75">
        <v>1</v>
      </c>
      <c r="BC75">
        <v>6.71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15001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3"/>
        <v>0</v>
      </c>
      <c r="CQ75">
        <f t="shared" si="84"/>
        <v>0</v>
      </c>
      <c r="CR75">
        <f t="shared" si="85"/>
        <v>0</v>
      </c>
      <c r="CS75">
        <f t="shared" si="86"/>
        <v>0</v>
      </c>
      <c r="CT75">
        <f t="shared" si="87"/>
        <v>0</v>
      </c>
      <c r="CU75">
        <f t="shared" si="88"/>
        <v>0</v>
      </c>
      <c r="CV75">
        <f t="shared" si="89"/>
        <v>0</v>
      </c>
      <c r="CW75">
        <f t="shared" si="90"/>
        <v>0</v>
      </c>
      <c r="CX75">
        <f t="shared" si="91"/>
        <v>0</v>
      </c>
      <c r="CY75">
        <f t="shared" si="92"/>
        <v>0</v>
      </c>
      <c r="CZ75">
        <f t="shared" si="93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110</v>
      </c>
      <c r="DW75" t="s">
        <v>110</v>
      </c>
      <c r="DX75">
        <v>1000</v>
      </c>
      <c r="EE75">
        <v>39174529</v>
      </c>
      <c r="EF75">
        <v>2</v>
      </c>
      <c r="EG75" t="s">
        <v>19</v>
      </c>
      <c r="EH75">
        <v>0</v>
      </c>
      <c r="EI75" t="s">
        <v>3</v>
      </c>
      <c r="EJ75">
        <v>1</v>
      </c>
      <c r="EK75">
        <v>15001</v>
      </c>
      <c r="EL75" t="s">
        <v>59</v>
      </c>
      <c r="EM75" t="s">
        <v>60</v>
      </c>
      <c r="EO75" t="s">
        <v>3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4"/>
        <v>0</v>
      </c>
      <c r="FS75">
        <v>0</v>
      </c>
      <c r="FT75" t="s">
        <v>22</v>
      </c>
      <c r="FU75" t="s">
        <v>23</v>
      </c>
      <c r="FX75">
        <v>94.5</v>
      </c>
      <c r="FY75">
        <v>46.75</v>
      </c>
      <c r="GA75" t="s">
        <v>3</v>
      </c>
      <c r="GD75">
        <v>0</v>
      </c>
      <c r="GF75">
        <v>-1212923053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5"/>
        <v>0</v>
      </c>
      <c r="GM75">
        <f t="shared" si="96"/>
        <v>0</v>
      </c>
      <c r="GN75">
        <f t="shared" si="97"/>
        <v>0</v>
      </c>
      <c r="GO75">
        <f t="shared" si="98"/>
        <v>0</v>
      </c>
      <c r="GP75">
        <f t="shared" si="99"/>
        <v>0</v>
      </c>
      <c r="GR75">
        <v>0</v>
      </c>
      <c r="GS75">
        <v>3</v>
      </c>
      <c r="GT75">
        <v>0</v>
      </c>
      <c r="GU75" t="s">
        <v>3</v>
      </c>
      <c r="GV75">
        <f t="shared" si="100"/>
        <v>0</v>
      </c>
      <c r="GW75">
        <v>1</v>
      </c>
      <c r="GX75">
        <f t="shared" si="101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122</v>
      </c>
      <c r="E76" t="s">
        <v>231</v>
      </c>
      <c r="F76" t="s">
        <v>232</v>
      </c>
      <c r="G76" t="s">
        <v>233</v>
      </c>
      <c r="H76" t="s">
        <v>138</v>
      </c>
      <c r="I76">
        <f>I74*J76</f>
        <v>100.86799999999999</v>
      </c>
      <c r="J76">
        <v>20</v>
      </c>
      <c r="O76">
        <f t="shared" si="69"/>
        <v>10213.280000000001</v>
      </c>
      <c r="P76">
        <f t="shared" si="70"/>
        <v>10213.280000000001</v>
      </c>
      <c r="Q76">
        <f t="shared" si="71"/>
        <v>0</v>
      </c>
      <c r="R76">
        <f t="shared" si="72"/>
        <v>0</v>
      </c>
      <c r="S76">
        <f t="shared" si="73"/>
        <v>0</v>
      </c>
      <c r="T76">
        <f t="shared" si="74"/>
        <v>0</v>
      </c>
      <c r="U76">
        <f t="shared" si="75"/>
        <v>0</v>
      </c>
      <c r="V76">
        <f t="shared" si="76"/>
        <v>0</v>
      </c>
      <c r="W76">
        <f t="shared" si="77"/>
        <v>0</v>
      </c>
      <c r="X76">
        <f t="shared" si="78"/>
        <v>0</v>
      </c>
      <c r="Y76">
        <f t="shared" si="79"/>
        <v>0</v>
      </c>
      <c r="AA76">
        <v>39096431</v>
      </c>
      <c r="AB76">
        <f t="shared" si="80"/>
        <v>15.09</v>
      </c>
      <c r="AC76">
        <f t="shared" si="61"/>
        <v>15.09</v>
      </c>
      <c r="AD76">
        <f>ROUND((((ET76)-(EU76))+AE76),2)</f>
        <v>0</v>
      </c>
      <c r="AE76">
        <f>ROUND((EU76),2)</f>
        <v>0</v>
      </c>
      <c r="AF76">
        <f>ROUND((EV76),2)</f>
        <v>0</v>
      </c>
      <c r="AG76">
        <f t="shared" si="81"/>
        <v>0</v>
      </c>
      <c r="AH76">
        <f>(EW76)</f>
        <v>0</v>
      </c>
      <c r="AI76">
        <f>(EX76)</f>
        <v>0</v>
      </c>
      <c r="AJ76">
        <f t="shared" si="82"/>
        <v>0</v>
      </c>
      <c r="AK76">
        <v>15.09</v>
      </c>
      <c r="AL76">
        <v>15.09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6.71</v>
      </c>
      <c r="BA76">
        <v>1</v>
      </c>
      <c r="BB76">
        <v>1</v>
      </c>
      <c r="BC76">
        <v>6.71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234</v>
      </c>
      <c r="BM76">
        <v>15001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105</v>
      </c>
      <c r="CA76">
        <v>55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83"/>
        <v>10213.280000000001</v>
      </c>
      <c r="CQ76">
        <f t="shared" si="84"/>
        <v>101.2539</v>
      </c>
      <c r="CR76">
        <f t="shared" si="85"/>
        <v>0</v>
      </c>
      <c r="CS76">
        <f t="shared" si="86"/>
        <v>0</v>
      </c>
      <c r="CT76">
        <f t="shared" si="87"/>
        <v>0</v>
      </c>
      <c r="CU76">
        <f t="shared" si="88"/>
        <v>0</v>
      </c>
      <c r="CV76">
        <f t="shared" si="89"/>
        <v>0</v>
      </c>
      <c r="CW76">
        <f t="shared" si="90"/>
        <v>0</v>
      </c>
      <c r="CX76">
        <f t="shared" si="91"/>
        <v>0</v>
      </c>
      <c r="CY76">
        <f t="shared" si="92"/>
        <v>0</v>
      </c>
      <c r="CZ76">
        <f t="shared" si="93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1009</v>
      </c>
      <c r="DV76" t="s">
        <v>138</v>
      </c>
      <c r="DW76" t="s">
        <v>138</v>
      </c>
      <c r="DX76">
        <v>1</v>
      </c>
      <c r="EE76">
        <v>39174529</v>
      </c>
      <c r="EF76">
        <v>2</v>
      </c>
      <c r="EG76" t="s">
        <v>19</v>
      </c>
      <c r="EH76">
        <v>0</v>
      </c>
      <c r="EI76" t="s">
        <v>3</v>
      </c>
      <c r="EJ76">
        <v>1</v>
      </c>
      <c r="EK76">
        <v>15001</v>
      </c>
      <c r="EL76" t="s">
        <v>59</v>
      </c>
      <c r="EM76" t="s">
        <v>60</v>
      </c>
      <c r="EO76" t="s">
        <v>3</v>
      </c>
      <c r="EQ76">
        <v>0</v>
      </c>
      <c r="ER76">
        <v>15.09</v>
      </c>
      <c r="ES76">
        <v>15.09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4"/>
        <v>0</v>
      </c>
      <c r="FS76">
        <v>0</v>
      </c>
      <c r="FT76" t="s">
        <v>22</v>
      </c>
      <c r="FU76" t="s">
        <v>23</v>
      </c>
      <c r="FX76">
        <v>94.5</v>
      </c>
      <c r="FY76">
        <v>46.75</v>
      </c>
      <c r="GA76" t="s">
        <v>3</v>
      </c>
      <c r="GD76">
        <v>0</v>
      </c>
      <c r="GF76">
        <v>1453462043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5"/>
        <v>0</v>
      </c>
      <c r="GM76">
        <f t="shared" si="96"/>
        <v>10213.280000000001</v>
      </c>
      <c r="GN76">
        <f t="shared" si="97"/>
        <v>10213.280000000001</v>
      </c>
      <c r="GO76">
        <f t="shared" si="98"/>
        <v>0</v>
      </c>
      <c r="GP76">
        <f t="shared" si="99"/>
        <v>0</v>
      </c>
      <c r="GR76">
        <v>0</v>
      </c>
      <c r="GS76">
        <v>3</v>
      </c>
      <c r="GT76">
        <v>0</v>
      </c>
      <c r="GU76" t="s">
        <v>3</v>
      </c>
      <c r="GV76">
        <f t="shared" si="100"/>
        <v>0</v>
      </c>
      <c r="GW76">
        <v>1</v>
      </c>
      <c r="GX76">
        <f t="shared" si="101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ROW(SmtRes!A132)</f>
        <v>132</v>
      </c>
      <c r="D77">
        <f>ROW(EtalonRes!A130)</f>
        <v>130</v>
      </c>
      <c r="E77" t="s">
        <v>235</v>
      </c>
      <c r="F77" t="s">
        <v>236</v>
      </c>
      <c r="G77" t="s">
        <v>237</v>
      </c>
      <c r="H77" t="s">
        <v>17</v>
      </c>
      <c r="I77">
        <v>5.2919999999999998</v>
      </c>
      <c r="J77">
        <v>0</v>
      </c>
      <c r="O77">
        <f t="shared" si="69"/>
        <v>26132.73</v>
      </c>
      <c r="P77">
        <f t="shared" si="70"/>
        <v>9953.26</v>
      </c>
      <c r="Q77">
        <f t="shared" si="71"/>
        <v>465.53</v>
      </c>
      <c r="R77">
        <f t="shared" si="72"/>
        <v>89.13</v>
      </c>
      <c r="S77">
        <f t="shared" si="73"/>
        <v>15713.94</v>
      </c>
      <c r="T77">
        <f t="shared" si="74"/>
        <v>0</v>
      </c>
      <c r="U77">
        <f t="shared" si="75"/>
        <v>261.08081999999996</v>
      </c>
      <c r="V77">
        <f t="shared" si="76"/>
        <v>1.1245500000000002</v>
      </c>
      <c r="W77">
        <f t="shared" si="77"/>
        <v>0</v>
      </c>
      <c r="X77">
        <f t="shared" si="78"/>
        <v>15012.92</v>
      </c>
      <c r="Y77">
        <f t="shared" si="79"/>
        <v>7427.44</v>
      </c>
      <c r="AA77">
        <v>39096431</v>
      </c>
      <c r="AB77">
        <f t="shared" si="80"/>
        <v>735.94</v>
      </c>
      <c r="AC77">
        <f t="shared" si="61"/>
        <v>280.3</v>
      </c>
      <c r="AD77">
        <f>ROUND(((((ET77*1.25))-((EU77*1.25)))+AE77),2)</f>
        <v>13.11</v>
      </c>
      <c r="AE77">
        <f>ROUND(((EU77*1.25)),2)</f>
        <v>2.5099999999999998</v>
      </c>
      <c r="AF77">
        <f>ROUND(((EV77*1.15)),2)</f>
        <v>442.53</v>
      </c>
      <c r="AG77">
        <f t="shared" si="81"/>
        <v>0</v>
      </c>
      <c r="AH77">
        <f>((EW77*1.15))</f>
        <v>49.334999999999994</v>
      </c>
      <c r="AI77">
        <f>((EX77*1.25))</f>
        <v>0.21250000000000002</v>
      </c>
      <c r="AJ77">
        <f t="shared" si="82"/>
        <v>0</v>
      </c>
      <c r="AK77">
        <v>675.6</v>
      </c>
      <c r="AL77">
        <v>280.3</v>
      </c>
      <c r="AM77">
        <v>10.49</v>
      </c>
      <c r="AN77">
        <v>2.0099999999999998</v>
      </c>
      <c r="AO77">
        <v>384.81</v>
      </c>
      <c r="AP77">
        <v>0</v>
      </c>
      <c r="AQ77">
        <v>42.9</v>
      </c>
      <c r="AR77">
        <v>0.17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6.71</v>
      </c>
      <c r="BA77">
        <v>6.71</v>
      </c>
      <c r="BB77">
        <v>6.71</v>
      </c>
      <c r="BC77">
        <v>6.71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238</v>
      </c>
      <c r="BM77">
        <v>15001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6.71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970</v>
      </c>
      <c r="CO77">
        <v>0</v>
      </c>
      <c r="CP77">
        <f t="shared" si="83"/>
        <v>26132.730000000003</v>
      </c>
      <c r="CQ77">
        <f t="shared" si="84"/>
        <v>1880.8130000000001</v>
      </c>
      <c r="CR77">
        <f t="shared" si="85"/>
        <v>87.968099999999993</v>
      </c>
      <c r="CS77">
        <f t="shared" si="86"/>
        <v>16.842099999999999</v>
      </c>
      <c r="CT77">
        <f t="shared" si="87"/>
        <v>2969.3762999999999</v>
      </c>
      <c r="CU77">
        <f t="shared" si="88"/>
        <v>0</v>
      </c>
      <c r="CV77">
        <f t="shared" si="89"/>
        <v>49.334999999999994</v>
      </c>
      <c r="CW77">
        <f t="shared" si="90"/>
        <v>0.21250000000000002</v>
      </c>
      <c r="CX77">
        <f t="shared" si="91"/>
        <v>0</v>
      </c>
      <c r="CY77">
        <f t="shared" si="92"/>
        <v>15012.916499999999</v>
      </c>
      <c r="CZ77">
        <f t="shared" si="93"/>
        <v>7427.4429</v>
      </c>
      <c r="DC77" t="s">
        <v>3</v>
      </c>
      <c r="DD77" t="s">
        <v>3</v>
      </c>
      <c r="DE77" t="s">
        <v>85</v>
      </c>
      <c r="DF77" t="s">
        <v>85</v>
      </c>
      <c r="DG77" t="s">
        <v>86</v>
      </c>
      <c r="DH77" t="s">
        <v>3</v>
      </c>
      <c r="DI77" t="s">
        <v>86</v>
      </c>
      <c r="DJ77" t="s">
        <v>85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17</v>
      </c>
      <c r="DW77" t="s">
        <v>17</v>
      </c>
      <c r="DX77">
        <v>100</v>
      </c>
      <c r="EE77">
        <v>39174529</v>
      </c>
      <c r="EF77">
        <v>2</v>
      </c>
      <c r="EG77" t="s">
        <v>19</v>
      </c>
      <c r="EH77">
        <v>0</v>
      </c>
      <c r="EI77" t="s">
        <v>3</v>
      </c>
      <c r="EJ77">
        <v>1</v>
      </c>
      <c r="EK77">
        <v>15001</v>
      </c>
      <c r="EL77" t="s">
        <v>59</v>
      </c>
      <c r="EM77" t="s">
        <v>60</v>
      </c>
      <c r="EO77" t="s">
        <v>89</v>
      </c>
      <c r="EQ77">
        <v>0</v>
      </c>
      <c r="ER77">
        <v>675.6</v>
      </c>
      <c r="ES77">
        <v>280.3</v>
      </c>
      <c r="ET77">
        <v>10.49</v>
      </c>
      <c r="EU77">
        <v>2.0099999999999998</v>
      </c>
      <c r="EV77">
        <v>384.81</v>
      </c>
      <c r="EW77">
        <v>42.9</v>
      </c>
      <c r="EX77">
        <v>0.17</v>
      </c>
      <c r="EY77">
        <v>0</v>
      </c>
      <c r="FQ77">
        <v>0</v>
      </c>
      <c r="FR77">
        <f t="shared" si="94"/>
        <v>0</v>
      </c>
      <c r="FS77">
        <v>0</v>
      </c>
      <c r="FT77" t="s">
        <v>22</v>
      </c>
      <c r="FU77" t="s">
        <v>23</v>
      </c>
      <c r="FX77">
        <v>94.5</v>
      </c>
      <c r="FY77">
        <v>46.75</v>
      </c>
      <c r="GA77" t="s">
        <v>3</v>
      </c>
      <c r="GD77">
        <v>0</v>
      </c>
      <c r="GF77">
        <v>621368623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5"/>
        <v>0</v>
      </c>
      <c r="GM77">
        <f t="shared" si="96"/>
        <v>48573.09</v>
      </c>
      <c r="GN77">
        <f t="shared" si="97"/>
        <v>48573.09</v>
      </c>
      <c r="GO77">
        <f t="shared" si="98"/>
        <v>0</v>
      </c>
      <c r="GP77">
        <f t="shared" si="99"/>
        <v>0</v>
      </c>
      <c r="GR77">
        <v>0</v>
      </c>
      <c r="GS77">
        <v>0</v>
      </c>
      <c r="GT77">
        <v>0</v>
      </c>
      <c r="GU77" t="s">
        <v>3</v>
      </c>
      <c r="GV77">
        <f t="shared" si="100"/>
        <v>0</v>
      </c>
      <c r="GW77">
        <v>1</v>
      </c>
      <c r="GX77">
        <f t="shared" si="101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130</v>
      </c>
      <c r="E78" t="s">
        <v>239</v>
      </c>
      <c r="F78" t="s">
        <v>240</v>
      </c>
      <c r="G78" t="s">
        <v>241</v>
      </c>
      <c r="H78" t="s">
        <v>110</v>
      </c>
      <c r="I78">
        <f>I77*J78</f>
        <v>0.33339599999999997</v>
      </c>
      <c r="J78">
        <v>6.3E-2</v>
      </c>
      <c r="O78">
        <f t="shared" si="69"/>
        <v>0</v>
      </c>
      <c r="P78">
        <f t="shared" si="70"/>
        <v>0</v>
      </c>
      <c r="Q78">
        <f t="shared" si="71"/>
        <v>0</v>
      </c>
      <c r="R78">
        <f t="shared" si="72"/>
        <v>0</v>
      </c>
      <c r="S78">
        <f t="shared" si="73"/>
        <v>0</v>
      </c>
      <c r="T78">
        <f t="shared" si="74"/>
        <v>0</v>
      </c>
      <c r="U78">
        <f t="shared" si="75"/>
        <v>0</v>
      </c>
      <c r="V78">
        <f t="shared" si="76"/>
        <v>0</v>
      </c>
      <c r="W78">
        <f t="shared" si="77"/>
        <v>0</v>
      </c>
      <c r="X78">
        <f t="shared" si="78"/>
        <v>0</v>
      </c>
      <c r="Y78">
        <f t="shared" si="79"/>
        <v>0</v>
      </c>
      <c r="AA78">
        <v>39096431</v>
      </c>
      <c r="AB78">
        <f t="shared" si="80"/>
        <v>0</v>
      </c>
      <c r="AC78">
        <f t="shared" si="61"/>
        <v>0</v>
      </c>
      <c r="AD78">
        <f>ROUND((((ET78)-(EU78))+AE78),2)</f>
        <v>0</v>
      </c>
      <c r="AE78">
        <f>ROUND((EU78),2)</f>
        <v>0</v>
      </c>
      <c r="AF78">
        <f>ROUND((EV78),2)</f>
        <v>0</v>
      </c>
      <c r="AG78">
        <f t="shared" si="81"/>
        <v>0</v>
      </c>
      <c r="AH78">
        <f>(EW78)</f>
        <v>0</v>
      </c>
      <c r="AI78">
        <f>(EX78)</f>
        <v>0</v>
      </c>
      <c r="AJ78">
        <f t="shared" si="82"/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95</v>
      </c>
      <c r="AU78">
        <v>47</v>
      </c>
      <c r="AV78">
        <v>1</v>
      </c>
      <c r="AW78">
        <v>1</v>
      </c>
      <c r="AZ78">
        <v>6.71</v>
      </c>
      <c r="BA78">
        <v>1</v>
      </c>
      <c r="BB78">
        <v>1</v>
      </c>
      <c r="BC78">
        <v>6.71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3</v>
      </c>
      <c r="BM78">
        <v>15001</v>
      </c>
      <c r="BN78">
        <v>0</v>
      </c>
      <c r="BO78" t="s">
        <v>3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105</v>
      </c>
      <c r="CA78">
        <v>55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3"/>
        <v>0</v>
      </c>
      <c r="CQ78">
        <f t="shared" si="84"/>
        <v>0</v>
      </c>
      <c r="CR78">
        <f t="shared" si="85"/>
        <v>0</v>
      </c>
      <c r="CS78">
        <f t="shared" si="86"/>
        <v>0</v>
      </c>
      <c r="CT78">
        <f t="shared" si="87"/>
        <v>0</v>
      </c>
      <c r="CU78">
        <f t="shared" si="88"/>
        <v>0</v>
      </c>
      <c r="CV78">
        <f t="shared" si="89"/>
        <v>0</v>
      </c>
      <c r="CW78">
        <f t="shared" si="90"/>
        <v>0</v>
      </c>
      <c r="CX78">
        <f t="shared" si="91"/>
        <v>0</v>
      </c>
      <c r="CY78">
        <f t="shared" si="92"/>
        <v>0</v>
      </c>
      <c r="CZ78">
        <f t="shared" si="93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1009</v>
      </c>
      <c r="DV78" t="s">
        <v>110</v>
      </c>
      <c r="DW78" t="s">
        <v>110</v>
      </c>
      <c r="DX78">
        <v>1000</v>
      </c>
      <c r="EE78">
        <v>39174529</v>
      </c>
      <c r="EF78">
        <v>2</v>
      </c>
      <c r="EG78" t="s">
        <v>19</v>
      </c>
      <c r="EH78">
        <v>0</v>
      </c>
      <c r="EI78" t="s">
        <v>3</v>
      </c>
      <c r="EJ78">
        <v>1</v>
      </c>
      <c r="EK78">
        <v>15001</v>
      </c>
      <c r="EL78" t="s">
        <v>59</v>
      </c>
      <c r="EM78" t="s">
        <v>60</v>
      </c>
      <c r="EO78" t="s">
        <v>3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4"/>
        <v>0</v>
      </c>
      <c r="FS78">
        <v>0</v>
      </c>
      <c r="FT78" t="s">
        <v>22</v>
      </c>
      <c r="FU78" t="s">
        <v>23</v>
      </c>
      <c r="FX78">
        <v>94.5</v>
      </c>
      <c r="FY78">
        <v>46.75</v>
      </c>
      <c r="GA78" t="s">
        <v>3</v>
      </c>
      <c r="GD78">
        <v>0</v>
      </c>
      <c r="GF78">
        <v>1891904026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5"/>
        <v>0</v>
      </c>
      <c r="GM78">
        <f t="shared" si="96"/>
        <v>0</v>
      </c>
      <c r="GN78">
        <f t="shared" si="97"/>
        <v>0</v>
      </c>
      <c r="GO78">
        <f t="shared" si="98"/>
        <v>0</v>
      </c>
      <c r="GP78">
        <f t="shared" si="99"/>
        <v>0</v>
      </c>
      <c r="GR78">
        <v>0</v>
      </c>
      <c r="GS78">
        <v>3</v>
      </c>
      <c r="GT78">
        <v>0</v>
      </c>
      <c r="GU78" t="s">
        <v>3</v>
      </c>
      <c r="GV78">
        <f t="shared" si="100"/>
        <v>0</v>
      </c>
      <c r="GW78">
        <v>1</v>
      </c>
      <c r="GX78">
        <f t="shared" si="101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131</v>
      </c>
      <c r="E79" t="s">
        <v>242</v>
      </c>
      <c r="F79" t="s">
        <v>243</v>
      </c>
      <c r="G79" t="s">
        <v>244</v>
      </c>
      <c r="H79" t="s">
        <v>110</v>
      </c>
      <c r="I79">
        <f>I77*J79</f>
        <v>0.33339599999999997</v>
      </c>
      <c r="J79">
        <v>6.3E-2</v>
      </c>
      <c r="O79">
        <f t="shared" si="69"/>
        <v>44682.84</v>
      </c>
      <c r="P79">
        <f t="shared" si="70"/>
        <v>44682.84</v>
      </c>
      <c r="Q79">
        <f t="shared" si="71"/>
        <v>0</v>
      </c>
      <c r="R79">
        <f t="shared" si="72"/>
        <v>0</v>
      </c>
      <c r="S79">
        <f t="shared" si="73"/>
        <v>0</v>
      </c>
      <c r="T79">
        <f t="shared" si="74"/>
        <v>0</v>
      </c>
      <c r="U79">
        <f t="shared" si="75"/>
        <v>0</v>
      </c>
      <c r="V79">
        <f t="shared" si="76"/>
        <v>0</v>
      </c>
      <c r="W79">
        <f t="shared" si="77"/>
        <v>0</v>
      </c>
      <c r="X79">
        <f t="shared" si="78"/>
        <v>0</v>
      </c>
      <c r="Y79">
        <f t="shared" si="79"/>
        <v>0</v>
      </c>
      <c r="AA79">
        <v>39096431</v>
      </c>
      <c r="AB79">
        <f t="shared" si="80"/>
        <v>19973.669999999998</v>
      </c>
      <c r="AC79">
        <f t="shared" si="61"/>
        <v>19973.669999999998</v>
      </c>
      <c r="AD79">
        <f>ROUND((((ET79)-(EU79))+AE79),2)</f>
        <v>0</v>
      </c>
      <c r="AE79">
        <f>ROUND((EU79),2)</f>
        <v>0</v>
      </c>
      <c r="AF79">
        <f>ROUND((EV79),2)</f>
        <v>0</v>
      </c>
      <c r="AG79">
        <f t="shared" si="81"/>
        <v>0</v>
      </c>
      <c r="AH79">
        <f>(EW79)</f>
        <v>0</v>
      </c>
      <c r="AI79">
        <f>(EX79)</f>
        <v>0</v>
      </c>
      <c r="AJ79">
        <f t="shared" si="82"/>
        <v>0</v>
      </c>
      <c r="AK79">
        <v>19973.669999999998</v>
      </c>
      <c r="AL79">
        <v>19973.669999999998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6.71</v>
      </c>
      <c r="BA79">
        <v>1</v>
      </c>
      <c r="BB79">
        <v>1</v>
      </c>
      <c r="BC79">
        <v>6.71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245</v>
      </c>
      <c r="BM79">
        <v>15001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3"/>
        <v>44682.84</v>
      </c>
      <c r="CQ79">
        <f t="shared" si="84"/>
        <v>134023.32569999999</v>
      </c>
      <c r="CR79">
        <f t="shared" si="85"/>
        <v>0</v>
      </c>
      <c r="CS79">
        <f t="shared" si="86"/>
        <v>0</v>
      </c>
      <c r="CT79">
        <f t="shared" si="87"/>
        <v>0</v>
      </c>
      <c r="CU79">
        <f t="shared" si="88"/>
        <v>0</v>
      </c>
      <c r="CV79">
        <f t="shared" si="89"/>
        <v>0</v>
      </c>
      <c r="CW79">
        <f t="shared" si="90"/>
        <v>0</v>
      </c>
      <c r="CX79">
        <f t="shared" si="91"/>
        <v>0</v>
      </c>
      <c r="CY79">
        <f t="shared" si="92"/>
        <v>0</v>
      </c>
      <c r="CZ79">
        <f t="shared" si="93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110</v>
      </c>
      <c r="DW79" t="s">
        <v>110</v>
      </c>
      <c r="DX79">
        <v>1000</v>
      </c>
      <c r="EE79">
        <v>39174529</v>
      </c>
      <c r="EF79">
        <v>2</v>
      </c>
      <c r="EG79" t="s">
        <v>19</v>
      </c>
      <c r="EH79">
        <v>0</v>
      </c>
      <c r="EI79" t="s">
        <v>3</v>
      </c>
      <c r="EJ79">
        <v>1</v>
      </c>
      <c r="EK79">
        <v>15001</v>
      </c>
      <c r="EL79" t="s">
        <v>59</v>
      </c>
      <c r="EM79" t="s">
        <v>60</v>
      </c>
      <c r="EO79" t="s">
        <v>3</v>
      </c>
      <c r="EQ79">
        <v>0</v>
      </c>
      <c r="ER79">
        <v>19973.669999999998</v>
      </c>
      <c r="ES79">
        <v>19973.669999999998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4"/>
        <v>0</v>
      </c>
      <c r="FS79">
        <v>0</v>
      </c>
      <c r="FT79" t="s">
        <v>22</v>
      </c>
      <c r="FU79" t="s">
        <v>23</v>
      </c>
      <c r="FX79">
        <v>94.5</v>
      </c>
      <c r="FY79">
        <v>46.75</v>
      </c>
      <c r="GA79" t="s">
        <v>3</v>
      </c>
      <c r="GD79">
        <v>0</v>
      </c>
      <c r="GF79">
        <v>772632804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5"/>
        <v>0</v>
      </c>
      <c r="GM79">
        <f t="shared" si="96"/>
        <v>44682.84</v>
      </c>
      <c r="GN79">
        <f t="shared" si="97"/>
        <v>44682.84</v>
      </c>
      <c r="GO79">
        <f t="shared" si="98"/>
        <v>0</v>
      </c>
      <c r="GP79">
        <f t="shared" si="99"/>
        <v>0</v>
      </c>
      <c r="GR79">
        <v>0</v>
      </c>
      <c r="GS79">
        <v>0</v>
      </c>
      <c r="GT79">
        <v>0</v>
      </c>
      <c r="GU79" t="s">
        <v>3</v>
      </c>
      <c r="GV79">
        <f t="shared" si="100"/>
        <v>0</v>
      </c>
      <c r="GW79">
        <v>1</v>
      </c>
      <c r="GX79">
        <f t="shared" si="101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C80">
        <f>ROW(SmtRes!A137)</f>
        <v>137</v>
      </c>
      <c r="D80">
        <f>ROW(EtalonRes!A135)</f>
        <v>135</v>
      </c>
      <c r="E80" t="s">
        <v>246</v>
      </c>
      <c r="F80" t="s">
        <v>247</v>
      </c>
      <c r="G80" t="s">
        <v>248</v>
      </c>
      <c r="H80" t="s">
        <v>17</v>
      </c>
      <c r="I80">
        <f>ROUND(24.86/100,9)</f>
        <v>0.24859999999999999</v>
      </c>
      <c r="J80">
        <v>0</v>
      </c>
      <c r="O80">
        <f t="shared" si="69"/>
        <v>7518.3</v>
      </c>
      <c r="P80">
        <f t="shared" si="70"/>
        <v>3747.42</v>
      </c>
      <c r="Q80">
        <f t="shared" si="71"/>
        <v>134.28</v>
      </c>
      <c r="R80">
        <f t="shared" si="72"/>
        <v>57.98</v>
      </c>
      <c r="S80">
        <f t="shared" si="73"/>
        <v>3636.6</v>
      </c>
      <c r="T80">
        <f t="shared" si="74"/>
        <v>0</v>
      </c>
      <c r="U80">
        <f t="shared" si="75"/>
        <v>58.338713399999996</v>
      </c>
      <c r="V80">
        <f t="shared" si="76"/>
        <v>0.64014499999999996</v>
      </c>
      <c r="W80">
        <f t="shared" si="77"/>
        <v>0</v>
      </c>
      <c r="X80">
        <f t="shared" si="78"/>
        <v>3509.85</v>
      </c>
      <c r="Y80">
        <f t="shared" si="79"/>
        <v>1736.45</v>
      </c>
      <c r="AA80">
        <v>39096431</v>
      </c>
      <c r="AB80">
        <f t="shared" si="80"/>
        <v>4507.09</v>
      </c>
      <c r="AC80">
        <f t="shared" si="61"/>
        <v>2246.5100000000002</v>
      </c>
      <c r="AD80">
        <f>ROUND(((((ET80*1.25))-((EU80*1.25)))+AE80),2)</f>
        <v>80.5</v>
      </c>
      <c r="AE80">
        <f>ROUND(((EU80*1.25)),2)</f>
        <v>34.76</v>
      </c>
      <c r="AF80">
        <f>ROUND(((EV80*1.15)),2)</f>
        <v>2180.08</v>
      </c>
      <c r="AG80">
        <f t="shared" si="81"/>
        <v>0</v>
      </c>
      <c r="AH80">
        <f>((EW80*1.15))</f>
        <v>234.66899999999998</v>
      </c>
      <c r="AI80">
        <f>((EX80*1.25))</f>
        <v>2.5750000000000002</v>
      </c>
      <c r="AJ80">
        <f t="shared" si="82"/>
        <v>0</v>
      </c>
      <c r="AK80">
        <v>4206.63</v>
      </c>
      <c r="AL80">
        <v>2246.5100000000002</v>
      </c>
      <c r="AM80">
        <v>64.400000000000006</v>
      </c>
      <c r="AN80">
        <v>27.81</v>
      </c>
      <c r="AO80">
        <v>1895.72</v>
      </c>
      <c r="AP80">
        <v>0</v>
      </c>
      <c r="AQ80">
        <v>204.06</v>
      </c>
      <c r="AR80">
        <v>2.06</v>
      </c>
      <c r="AS80">
        <v>0</v>
      </c>
      <c r="AT80">
        <v>95</v>
      </c>
      <c r="AU80">
        <v>47</v>
      </c>
      <c r="AV80">
        <v>1</v>
      </c>
      <c r="AW80">
        <v>1</v>
      </c>
      <c r="AZ80">
        <v>6.71</v>
      </c>
      <c r="BA80">
        <v>6.71</v>
      </c>
      <c r="BB80">
        <v>6.71</v>
      </c>
      <c r="BC80">
        <v>6.71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249</v>
      </c>
      <c r="BM80">
        <v>15001</v>
      </c>
      <c r="BN80">
        <v>0</v>
      </c>
      <c r="BO80" t="s">
        <v>3</v>
      </c>
      <c r="BP80">
        <v>0</v>
      </c>
      <c r="BQ80">
        <v>2</v>
      </c>
      <c r="BR80">
        <v>0</v>
      </c>
      <c r="BS80">
        <v>6.71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105</v>
      </c>
      <c r="CA80">
        <v>55</v>
      </c>
      <c r="CF80">
        <v>0</v>
      </c>
      <c r="CG80">
        <v>0</v>
      </c>
      <c r="CM80">
        <v>0</v>
      </c>
      <c r="CN80" t="s">
        <v>970</v>
      </c>
      <c r="CO80">
        <v>0</v>
      </c>
      <c r="CP80">
        <f t="shared" si="83"/>
        <v>7518.3</v>
      </c>
      <c r="CQ80">
        <f t="shared" si="84"/>
        <v>15074.082100000001</v>
      </c>
      <c r="CR80">
        <f t="shared" si="85"/>
        <v>540.15499999999997</v>
      </c>
      <c r="CS80">
        <f t="shared" si="86"/>
        <v>233.2396</v>
      </c>
      <c r="CT80">
        <f t="shared" si="87"/>
        <v>14628.336799999999</v>
      </c>
      <c r="CU80">
        <f t="shared" si="88"/>
        <v>0</v>
      </c>
      <c r="CV80">
        <f t="shared" si="89"/>
        <v>234.66899999999998</v>
      </c>
      <c r="CW80">
        <f t="shared" si="90"/>
        <v>2.5750000000000002</v>
      </c>
      <c r="CX80">
        <f t="shared" si="91"/>
        <v>0</v>
      </c>
      <c r="CY80">
        <f t="shared" si="92"/>
        <v>3509.8509999999997</v>
      </c>
      <c r="CZ80">
        <f t="shared" si="93"/>
        <v>1736.4526000000001</v>
      </c>
      <c r="DC80" t="s">
        <v>3</v>
      </c>
      <c r="DD80" t="s">
        <v>3</v>
      </c>
      <c r="DE80" t="s">
        <v>85</v>
      </c>
      <c r="DF80" t="s">
        <v>85</v>
      </c>
      <c r="DG80" t="s">
        <v>86</v>
      </c>
      <c r="DH80" t="s">
        <v>3</v>
      </c>
      <c r="DI80" t="s">
        <v>86</v>
      </c>
      <c r="DJ80" t="s">
        <v>85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1005</v>
      </c>
      <c r="DV80" t="s">
        <v>17</v>
      </c>
      <c r="DW80" t="s">
        <v>17</v>
      </c>
      <c r="DX80">
        <v>100</v>
      </c>
      <c r="EE80">
        <v>39174529</v>
      </c>
      <c r="EF80">
        <v>2</v>
      </c>
      <c r="EG80" t="s">
        <v>19</v>
      </c>
      <c r="EH80">
        <v>0</v>
      </c>
      <c r="EI80" t="s">
        <v>3</v>
      </c>
      <c r="EJ80">
        <v>1</v>
      </c>
      <c r="EK80">
        <v>15001</v>
      </c>
      <c r="EL80" t="s">
        <v>59</v>
      </c>
      <c r="EM80" t="s">
        <v>60</v>
      </c>
      <c r="EO80" t="s">
        <v>89</v>
      </c>
      <c r="EQ80">
        <v>0</v>
      </c>
      <c r="ER80">
        <v>4206.63</v>
      </c>
      <c r="ES80">
        <v>2246.5100000000002</v>
      </c>
      <c r="ET80">
        <v>64.400000000000006</v>
      </c>
      <c r="EU80">
        <v>27.81</v>
      </c>
      <c r="EV80">
        <v>1895.72</v>
      </c>
      <c r="EW80">
        <v>204.06</v>
      </c>
      <c r="EX80">
        <v>2.06</v>
      </c>
      <c r="EY80">
        <v>0</v>
      </c>
      <c r="FQ80">
        <v>0</v>
      </c>
      <c r="FR80">
        <f t="shared" si="94"/>
        <v>0</v>
      </c>
      <c r="FS80">
        <v>0</v>
      </c>
      <c r="FT80" t="s">
        <v>22</v>
      </c>
      <c r="FU80" t="s">
        <v>23</v>
      </c>
      <c r="FX80">
        <v>94.5</v>
      </c>
      <c r="FY80">
        <v>46.75</v>
      </c>
      <c r="GA80" t="s">
        <v>3</v>
      </c>
      <c r="GD80">
        <v>0</v>
      </c>
      <c r="GF80">
        <v>-635342655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5"/>
        <v>0</v>
      </c>
      <c r="GM80">
        <f t="shared" si="96"/>
        <v>12764.6</v>
      </c>
      <c r="GN80">
        <f t="shared" si="97"/>
        <v>12764.6</v>
      </c>
      <c r="GO80">
        <f t="shared" si="98"/>
        <v>0</v>
      </c>
      <c r="GP80">
        <f t="shared" si="99"/>
        <v>0</v>
      </c>
      <c r="GR80">
        <v>0</v>
      </c>
      <c r="GS80">
        <v>0</v>
      </c>
      <c r="GT80">
        <v>0</v>
      </c>
      <c r="GU80" t="s">
        <v>3</v>
      </c>
      <c r="GV80">
        <f t="shared" si="100"/>
        <v>0</v>
      </c>
      <c r="GW80">
        <v>1</v>
      </c>
      <c r="GX80">
        <f t="shared" si="101"/>
        <v>0</v>
      </c>
      <c r="HA80">
        <v>0</v>
      </c>
      <c r="HB80">
        <v>0</v>
      </c>
      <c r="IK80">
        <v>0</v>
      </c>
    </row>
    <row r="81" spans="1:245" x14ac:dyDescent="0.2">
      <c r="A81">
        <v>17</v>
      </c>
      <c r="B81">
        <v>1</v>
      </c>
      <c r="C81">
        <f>ROW(SmtRes!A150)</f>
        <v>150</v>
      </c>
      <c r="D81">
        <f>ROW(EtalonRes!A148)</f>
        <v>148</v>
      </c>
      <c r="E81" t="s">
        <v>250</v>
      </c>
      <c r="F81" t="s">
        <v>251</v>
      </c>
      <c r="G81" t="s">
        <v>252</v>
      </c>
      <c r="H81" t="s">
        <v>39</v>
      </c>
      <c r="I81">
        <f>ROUND(9/100,9)</f>
        <v>0.09</v>
      </c>
      <c r="J81">
        <v>0</v>
      </c>
      <c r="O81">
        <f t="shared" si="69"/>
        <v>3871.61</v>
      </c>
      <c r="P81">
        <f t="shared" si="70"/>
        <v>1100.3800000000001</v>
      </c>
      <c r="Q81">
        <f t="shared" si="71"/>
        <v>5.16</v>
      </c>
      <c r="R81">
        <f t="shared" si="72"/>
        <v>0.91</v>
      </c>
      <c r="S81">
        <f t="shared" si="73"/>
        <v>2766.07</v>
      </c>
      <c r="T81">
        <f t="shared" si="74"/>
        <v>0</v>
      </c>
      <c r="U81">
        <f t="shared" si="75"/>
        <v>45.449999999999996</v>
      </c>
      <c r="V81">
        <f t="shared" si="76"/>
        <v>1.17E-2</v>
      </c>
      <c r="W81">
        <f t="shared" si="77"/>
        <v>0</v>
      </c>
      <c r="X81">
        <f t="shared" si="78"/>
        <v>2268.92</v>
      </c>
      <c r="Y81">
        <f t="shared" si="79"/>
        <v>1715.53</v>
      </c>
      <c r="AA81">
        <v>39096431</v>
      </c>
      <c r="AB81">
        <f t="shared" si="80"/>
        <v>6411.01</v>
      </c>
      <c r="AC81">
        <f t="shared" si="61"/>
        <v>1822.12</v>
      </c>
      <c r="AD81">
        <f>ROUND((((ET81)-(EU81))+AE81),2)</f>
        <v>8.5399999999999991</v>
      </c>
      <c r="AE81">
        <f t="shared" ref="AE81:AF83" si="106">ROUND((EU81),2)</f>
        <v>1.51</v>
      </c>
      <c r="AF81">
        <f t="shared" si="106"/>
        <v>4580.3500000000004</v>
      </c>
      <c r="AG81">
        <f t="shared" si="81"/>
        <v>0</v>
      </c>
      <c r="AH81">
        <f t="shared" ref="AH81:AI83" si="107">(EW81)</f>
        <v>505</v>
      </c>
      <c r="AI81">
        <f t="shared" si="107"/>
        <v>0.13</v>
      </c>
      <c r="AJ81">
        <f t="shared" si="82"/>
        <v>0</v>
      </c>
      <c r="AK81">
        <v>6411.01</v>
      </c>
      <c r="AL81">
        <v>1822.12</v>
      </c>
      <c r="AM81">
        <v>8.5399999999999991</v>
      </c>
      <c r="AN81">
        <v>1.51</v>
      </c>
      <c r="AO81">
        <v>4580.3500000000004</v>
      </c>
      <c r="AP81">
        <v>0</v>
      </c>
      <c r="AQ81">
        <v>505</v>
      </c>
      <c r="AR81">
        <v>0.13</v>
      </c>
      <c r="AS81">
        <v>0</v>
      </c>
      <c r="AT81">
        <v>82</v>
      </c>
      <c r="AU81">
        <v>62</v>
      </c>
      <c r="AV81">
        <v>1</v>
      </c>
      <c r="AW81">
        <v>1</v>
      </c>
      <c r="AZ81">
        <v>6.71</v>
      </c>
      <c r="BA81">
        <v>6.71</v>
      </c>
      <c r="BB81">
        <v>6.71</v>
      </c>
      <c r="BC81">
        <v>6.71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253</v>
      </c>
      <c r="BM81">
        <v>56001</v>
      </c>
      <c r="BN81">
        <v>0</v>
      </c>
      <c r="BO81" t="s">
        <v>3</v>
      </c>
      <c r="BP81">
        <v>0</v>
      </c>
      <c r="BQ81">
        <v>6</v>
      </c>
      <c r="BR81">
        <v>0</v>
      </c>
      <c r="BS81">
        <v>6.71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82</v>
      </c>
      <c r="CA81">
        <v>62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3"/>
        <v>3871.6100000000006</v>
      </c>
      <c r="CQ81">
        <f t="shared" si="84"/>
        <v>12226.4252</v>
      </c>
      <c r="CR81">
        <f t="shared" si="85"/>
        <v>57.303399999999996</v>
      </c>
      <c r="CS81">
        <f t="shared" si="86"/>
        <v>10.132099999999999</v>
      </c>
      <c r="CT81">
        <f t="shared" si="87"/>
        <v>30734.148500000003</v>
      </c>
      <c r="CU81">
        <f t="shared" si="88"/>
        <v>0</v>
      </c>
      <c r="CV81">
        <f t="shared" si="89"/>
        <v>505</v>
      </c>
      <c r="CW81">
        <f t="shared" si="90"/>
        <v>0.13</v>
      </c>
      <c r="CX81">
        <f t="shared" si="91"/>
        <v>0</v>
      </c>
      <c r="CY81">
        <f t="shared" si="92"/>
        <v>2268.9236000000001</v>
      </c>
      <c r="CZ81">
        <f t="shared" si="93"/>
        <v>1715.5276000000001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39</v>
      </c>
      <c r="DW81" t="s">
        <v>39</v>
      </c>
      <c r="DX81">
        <v>1</v>
      </c>
      <c r="EE81">
        <v>39174581</v>
      </c>
      <c r="EF81">
        <v>6</v>
      </c>
      <c r="EG81" t="s">
        <v>29</v>
      </c>
      <c r="EH81">
        <v>0</v>
      </c>
      <c r="EI81" t="s">
        <v>3</v>
      </c>
      <c r="EJ81">
        <v>1</v>
      </c>
      <c r="EK81">
        <v>56001</v>
      </c>
      <c r="EL81" t="s">
        <v>254</v>
      </c>
      <c r="EM81" t="s">
        <v>255</v>
      </c>
      <c r="EO81" t="s">
        <v>3</v>
      </c>
      <c r="EQ81">
        <v>0</v>
      </c>
      <c r="ER81">
        <v>6411.01</v>
      </c>
      <c r="ES81">
        <v>1822.12</v>
      </c>
      <c r="ET81">
        <v>8.5399999999999991</v>
      </c>
      <c r="EU81">
        <v>1.51</v>
      </c>
      <c r="EV81">
        <v>4580.3500000000004</v>
      </c>
      <c r="EW81">
        <v>505</v>
      </c>
      <c r="EX81">
        <v>0.13</v>
      </c>
      <c r="EY81">
        <v>0</v>
      </c>
      <c r="FQ81">
        <v>0</v>
      </c>
      <c r="FR81">
        <f t="shared" si="94"/>
        <v>0</v>
      </c>
      <c r="FS81">
        <v>0</v>
      </c>
      <c r="FX81">
        <v>82</v>
      </c>
      <c r="FY81">
        <v>62</v>
      </c>
      <c r="GA81" t="s">
        <v>3</v>
      </c>
      <c r="GD81">
        <v>0</v>
      </c>
      <c r="GF81">
        <v>-473116159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5"/>
        <v>0</v>
      </c>
      <c r="GM81">
        <f t="shared" si="96"/>
        <v>7856.06</v>
      </c>
      <c r="GN81">
        <f t="shared" si="97"/>
        <v>7856.06</v>
      </c>
      <c r="GO81">
        <f t="shared" si="98"/>
        <v>0</v>
      </c>
      <c r="GP81">
        <f t="shared" si="99"/>
        <v>0</v>
      </c>
      <c r="GR81">
        <v>0</v>
      </c>
      <c r="GS81">
        <v>3</v>
      </c>
      <c r="GT81">
        <v>0</v>
      </c>
      <c r="GU81" t="s">
        <v>3</v>
      </c>
      <c r="GV81">
        <f t="shared" si="100"/>
        <v>0</v>
      </c>
      <c r="GW81">
        <v>1</v>
      </c>
      <c r="GX81">
        <f t="shared" si="101"/>
        <v>0</v>
      </c>
      <c r="HA81">
        <v>0</v>
      </c>
      <c r="HB81">
        <v>0</v>
      </c>
      <c r="IK81">
        <v>0</v>
      </c>
    </row>
    <row r="82" spans="1:245" x14ac:dyDescent="0.2">
      <c r="A82">
        <v>18</v>
      </c>
      <c r="B82">
        <v>1</v>
      </c>
      <c r="C82">
        <v>143</v>
      </c>
      <c r="E82" t="s">
        <v>256</v>
      </c>
      <c r="F82" t="s">
        <v>257</v>
      </c>
      <c r="G82" t="s">
        <v>258</v>
      </c>
      <c r="H82" t="s">
        <v>110</v>
      </c>
      <c r="I82">
        <f>I81*J82</f>
        <v>5.3100000000000008E-2</v>
      </c>
      <c r="J82">
        <v>0.59000000000000008</v>
      </c>
      <c r="O82">
        <f t="shared" si="69"/>
        <v>0</v>
      </c>
      <c r="P82">
        <f t="shared" si="70"/>
        <v>0</v>
      </c>
      <c r="Q82">
        <f t="shared" si="71"/>
        <v>0</v>
      </c>
      <c r="R82">
        <f t="shared" si="72"/>
        <v>0</v>
      </c>
      <c r="S82">
        <f t="shared" si="73"/>
        <v>0</v>
      </c>
      <c r="T82">
        <f t="shared" si="74"/>
        <v>0</v>
      </c>
      <c r="U82">
        <f t="shared" si="75"/>
        <v>0</v>
      </c>
      <c r="V82">
        <f t="shared" si="76"/>
        <v>0</v>
      </c>
      <c r="W82">
        <f t="shared" si="77"/>
        <v>0</v>
      </c>
      <c r="X82">
        <f t="shared" si="78"/>
        <v>0</v>
      </c>
      <c r="Y82">
        <f t="shared" si="79"/>
        <v>0</v>
      </c>
      <c r="AA82">
        <v>39096431</v>
      </c>
      <c r="AB82">
        <f t="shared" si="80"/>
        <v>0</v>
      </c>
      <c r="AC82">
        <f t="shared" si="61"/>
        <v>0</v>
      </c>
      <c r="AD82">
        <f>ROUND((((ET82)-(EU82))+AE82),2)</f>
        <v>0</v>
      </c>
      <c r="AE82">
        <f t="shared" si="106"/>
        <v>0</v>
      </c>
      <c r="AF82">
        <f t="shared" si="106"/>
        <v>0</v>
      </c>
      <c r="AG82">
        <f t="shared" si="81"/>
        <v>0</v>
      </c>
      <c r="AH82">
        <f t="shared" si="107"/>
        <v>0</v>
      </c>
      <c r="AI82">
        <f t="shared" si="107"/>
        <v>0</v>
      </c>
      <c r="AJ82">
        <f t="shared" si="82"/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82</v>
      </c>
      <c r="AU82">
        <v>62</v>
      </c>
      <c r="AV82">
        <v>1</v>
      </c>
      <c r="AW82">
        <v>1</v>
      </c>
      <c r="AZ82">
        <v>6.71</v>
      </c>
      <c r="BA82">
        <v>1</v>
      </c>
      <c r="BB82">
        <v>1</v>
      </c>
      <c r="BC82">
        <v>6.71</v>
      </c>
      <c r="BD82" t="s">
        <v>3</v>
      </c>
      <c r="BE82" t="s">
        <v>3</v>
      </c>
      <c r="BF82" t="s">
        <v>3</v>
      </c>
      <c r="BG82" t="s">
        <v>3</v>
      </c>
      <c r="BH82">
        <v>3</v>
      </c>
      <c r="BI82">
        <v>1</v>
      </c>
      <c r="BJ82" t="s">
        <v>3</v>
      </c>
      <c r="BM82">
        <v>56001</v>
      </c>
      <c r="BN82">
        <v>0</v>
      </c>
      <c r="BO82" t="s">
        <v>3</v>
      </c>
      <c r="BP82">
        <v>0</v>
      </c>
      <c r="BQ82">
        <v>6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82</v>
      </c>
      <c r="CA82">
        <v>62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83"/>
        <v>0</v>
      </c>
      <c r="CQ82">
        <f t="shared" si="84"/>
        <v>0</v>
      </c>
      <c r="CR82">
        <f t="shared" si="85"/>
        <v>0</v>
      </c>
      <c r="CS82">
        <f t="shared" si="86"/>
        <v>0</v>
      </c>
      <c r="CT82">
        <f t="shared" si="87"/>
        <v>0</v>
      </c>
      <c r="CU82">
        <f t="shared" si="88"/>
        <v>0</v>
      </c>
      <c r="CV82">
        <f t="shared" si="89"/>
        <v>0</v>
      </c>
      <c r="CW82">
        <f t="shared" si="90"/>
        <v>0</v>
      </c>
      <c r="CX82">
        <f t="shared" si="91"/>
        <v>0</v>
      </c>
      <c r="CY82">
        <f t="shared" si="92"/>
        <v>0</v>
      </c>
      <c r="CZ82">
        <f t="shared" si="93"/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1009</v>
      </c>
      <c r="DV82" t="s">
        <v>110</v>
      </c>
      <c r="DW82" t="s">
        <v>110</v>
      </c>
      <c r="DX82">
        <v>1000</v>
      </c>
      <c r="EE82">
        <v>39174581</v>
      </c>
      <c r="EF82">
        <v>6</v>
      </c>
      <c r="EG82" t="s">
        <v>29</v>
      </c>
      <c r="EH82">
        <v>0</v>
      </c>
      <c r="EI82" t="s">
        <v>3</v>
      </c>
      <c r="EJ82">
        <v>1</v>
      </c>
      <c r="EK82">
        <v>56001</v>
      </c>
      <c r="EL82" t="s">
        <v>254</v>
      </c>
      <c r="EM82" t="s">
        <v>255</v>
      </c>
      <c r="EO82" t="s">
        <v>3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4"/>
        <v>0</v>
      </c>
      <c r="FS82">
        <v>0</v>
      </c>
      <c r="FX82">
        <v>82</v>
      </c>
      <c r="FY82">
        <v>62</v>
      </c>
      <c r="GA82" t="s">
        <v>3</v>
      </c>
      <c r="GD82">
        <v>0</v>
      </c>
      <c r="GF82">
        <v>-179832266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5"/>
        <v>0</v>
      </c>
      <c r="GM82">
        <f t="shared" si="96"/>
        <v>0</v>
      </c>
      <c r="GN82">
        <f t="shared" si="97"/>
        <v>0</v>
      </c>
      <c r="GO82">
        <f t="shared" si="98"/>
        <v>0</v>
      </c>
      <c r="GP82">
        <f t="shared" si="99"/>
        <v>0</v>
      </c>
      <c r="GR82">
        <v>0</v>
      </c>
      <c r="GS82">
        <v>3</v>
      </c>
      <c r="GT82">
        <v>0</v>
      </c>
      <c r="GU82" t="s">
        <v>3</v>
      </c>
      <c r="GV82">
        <f t="shared" si="100"/>
        <v>0</v>
      </c>
      <c r="GW82">
        <v>1</v>
      </c>
      <c r="GX82">
        <f t="shared" si="101"/>
        <v>0</v>
      </c>
      <c r="HA82">
        <v>0</v>
      </c>
      <c r="HB82">
        <v>0</v>
      </c>
      <c r="IK82">
        <v>0</v>
      </c>
    </row>
    <row r="83" spans="1:245" x14ac:dyDescent="0.2">
      <c r="A83">
        <v>17</v>
      </c>
      <c r="B83">
        <v>1</v>
      </c>
      <c r="C83">
        <f>ROW(SmtRes!A152)</f>
        <v>152</v>
      </c>
      <c r="D83">
        <f>ROW(EtalonRes!A150)</f>
        <v>150</v>
      </c>
      <c r="E83" t="s">
        <v>259</v>
      </c>
      <c r="F83" t="s">
        <v>260</v>
      </c>
      <c r="G83" t="s">
        <v>261</v>
      </c>
      <c r="H83" t="s">
        <v>110</v>
      </c>
      <c r="I83">
        <v>38</v>
      </c>
      <c r="J83">
        <v>0</v>
      </c>
      <c r="O83">
        <f t="shared" si="69"/>
        <v>6071.07</v>
      </c>
      <c r="P83">
        <f t="shared" si="70"/>
        <v>4181.67</v>
      </c>
      <c r="Q83">
        <f t="shared" si="71"/>
        <v>0</v>
      </c>
      <c r="R83">
        <f t="shared" si="72"/>
        <v>0</v>
      </c>
      <c r="S83">
        <f t="shared" si="73"/>
        <v>1889.4</v>
      </c>
      <c r="T83">
        <f t="shared" si="74"/>
        <v>0</v>
      </c>
      <c r="U83">
        <f t="shared" si="75"/>
        <v>39.14</v>
      </c>
      <c r="V83">
        <f t="shared" si="76"/>
        <v>0</v>
      </c>
      <c r="W83">
        <f t="shared" si="77"/>
        <v>0</v>
      </c>
      <c r="X83">
        <f t="shared" si="78"/>
        <v>1473.73</v>
      </c>
      <c r="Y83">
        <f t="shared" si="79"/>
        <v>944.7</v>
      </c>
      <c r="AA83">
        <v>39096431</v>
      </c>
      <c r="AB83">
        <f t="shared" si="80"/>
        <v>23.81</v>
      </c>
      <c r="AC83">
        <f t="shared" si="61"/>
        <v>16.399999999999999</v>
      </c>
      <c r="AD83">
        <f>ROUND((((ET83)-(EU83))+AE83),2)</f>
        <v>0</v>
      </c>
      <c r="AE83">
        <f t="shared" si="106"/>
        <v>0</v>
      </c>
      <c r="AF83">
        <f t="shared" si="106"/>
        <v>7.41</v>
      </c>
      <c r="AG83">
        <f t="shared" si="81"/>
        <v>0</v>
      </c>
      <c r="AH83">
        <f t="shared" si="107"/>
        <v>1.03</v>
      </c>
      <c r="AI83">
        <f t="shared" si="107"/>
        <v>0</v>
      </c>
      <c r="AJ83">
        <f t="shared" si="82"/>
        <v>0</v>
      </c>
      <c r="AK83">
        <v>23.81</v>
      </c>
      <c r="AL83">
        <v>16.399999999999999</v>
      </c>
      <c r="AM83">
        <v>0</v>
      </c>
      <c r="AN83">
        <v>0</v>
      </c>
      <c r="AO83">
        <v>7.41</v>
      </c>
      <c r="AP83">
        <v>0</v>
      </c>
      <c r="AQ83">
        <v>1.03</v>
      </c>
      <c r="AR83">
        <v>0</v>
      </c>
      <c r="AS83">
        <v>0</v>
      </c>
      <c r="AT83">
        <v>78</v>
      </c>
      <c r="AU83">
        <v>50</v>
      </c>
      <c r="AV83">
        <v>1</v>
      </c>
      <c r="AW83">
        <v>1</v>
      </c>
      <c r="AZ83">
        <v>6.71</v>
      </c>
      <c r="BA83">
        <v>6.71</v>
      </c>
      <c r="BB83">
        <v>6.71</v>
      </c>
      <c r="BC83">
        <v>6.71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262</v>
      </c>
      <c r="BM83">
        <v>69001</v>
      </c>
      <c r="BN83">
        <v>0</v>
      </c>
      <c r="BO83" t="s">
        <v>3</v>
      </c>
      <c r="BP83">
        <v>0</v>
      </c>
      <c r="BQ83">
        <v>6</v>
      </c>
      <c r="BR83">
        <v>0</v>
      </c>
      <c r="BS83">
        <v>6.71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78</v>
      </c>
      <c r="CA83">
        <v>50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83"/>
        <v>6071.07</v>
      </c>
      <c r="CQ83">
        <f t="shared" si="84"/>
        <v>110.044</v>
      </c>
      <c r="CR83">
        <f t="shared" si="85"/>
        <v>0</v>
      </c>
      <c r="CS83">
        <f t="shared" si="86"/>
        <v>0</v>
      </c>
      <c r="CT83">
        <f t="shared" si="87"/>
        <v>49.7211</v>
      </c>
      <c r="CU83">
        <f t="shared" si="88"/>
        <v>0</v>
      </c>
      <c r="CV83">
        <f t="shared" si="89"/>
        <v>1.03</v>
      </c>
      <c r="CW83">
        <f t="shared" si="90"/>
        <v>0</v>
      </c>
      <c r="CX83">
        <f t="shared" si="91"/>
        <v>0</v>
      </c>
      <c r="CY83">
        <f t="shared" si="92"/>
        <v>1473.7320000000002</v>
      </c>
      <c r="CZ83">
        <f t="shared" si="93"/>
        <v>944.7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110</v>
      </c>
      <c r="DW83" t="s">
        <v>110</v>
      </c>
      <c r="DX83">
        <v>1000</v>
      </c>
      <c r="EE83">
        <v>39174630</v>
      </c>
      <c r="EF83">
        <v>6</v>
      </c>
      <c r="EG83" t="s">
        <v>29</v>
      </c>
      <c r="EH83">
        <v>0</v>
      </c>
      <c r="EI83" t="s">
        <v>3</v>
      </c>
      <c r="EJ83">
        <v>1</v>
      </c>
      <c r="EK83">
        <v>69001</v>
      </c>
      <c r="EL83" t="s">
        <v>263</v>
      </c>
      <c r="EM83" t="s">
        <v>264</v>
      </c>
      <c r="EO83" t="s">
        <v>3</v>
      </c>
      <c r="EQ83">
        <v>0</v>
      </c>
      <c r="ER83">
        <v>23.81</v>
      </c>
      <c r="ES83">
        <v>16.399999999999999</v>
      </c>
      <c r="ET83">
        <v>0</v>
      </c>
      <c r="EU83">
        <v>0</v>
      </c>
      <c r="EV83">
        <v>7.41</v>
      </c>
      <c r="EW83">
        <v>1.03</v>
      </c>
      <c r="EX83">
        <v>0</v>
      </c>
      <c r="EY83">
        <v>0</v>
      </c>
      <c r="FQ83">
        <v>0</v>
      </c>
      <c r="FR83">
        <f t="shared" si="94"/>
        <v>0</v>
      </c>
      <c r="FS83">
        <v>0</v>
      </c>
      <c r="FX83">
        <v>78</v>
      </c>
      <c r="FY83">
        <v>50</v>
      </c>
      <c r="GA83" t="s">
        <v>3</v>
      </c>
      <c r="GD83">
        <v>0</v>
      </c>
      <c r="GF83">
        <v>-1073482640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5"/>
        <v>0</v>
      </c>
      <c r="GM83">
        <f t="shared" si="96"/>
        <v>8489.5</v>
      </c>
      <c r="GN83">
        <f t="shared" si="97"/>
        <v>8489.5</v>
      </c>
      <c r="GO83">
        <f t="shared" si="98"/>
        <v>0</v>
      </c>
      <c r="GP83">
        <f t="shared" si="99"/>
        <v>0</v>
      </c>
      <c r="GR83">
        <v>0</v>
      </c>
      <c r="GS83">
        <v>3</v>
      </c>
      <c r="GT83">
        <v>0</v>
      </c>
      <c r="GU83" t="s">
        <v>3</v>
      </c>
      <c r="GV83">
        <f t="shared" si="100"/>
        <v>0</v>
      </c>
      <c r="GW83">
        <v>1</v>
      </c>
      <c r="GX83">
        <f t="shared" si="101"/>
        <v>0</v>
      </c>
      <c r="HA83">
        <v>0</v>
      </c>
      <c r="HB83">
        <v>0</v>
      </c>
      <c r="IK83">
        <v>0</v>
      </c>
    </row>
    <row r="84" spans="1:245" x14ac:dyDescent="0.2">
      <c r="A84">
        <v>17</v>
      </c>
      <c r="B84">
        <v>1</v>
      </c>
      <c r="E84" t="s">
        <v>265</v>
      </c>
      <c r="F84" t="s">
        <v>266</v>
      </c>
      <c r="G84" t="s">
        <v>267</v>
      </c>
      <c r="H84" t="s">
        <v>268</v>
      </c>
      <c r="I84">
        <v>38</v>
      </c>
      <c r="J84">
        <v>0</v>
      </c>
      <c r="O84">
        <f>0</f>
        <v>0</v>
      </c>
      <c r="P84">
        <f>0</f>
        <v>0</v>
      </c>
      <c r="Q84">
        <f>0</f>
        <v>0</v>
      </c>
      <c r="R84">
        <f>0</f>
        <v>0</v>
      </c>
      <c r="S84">
        <f>0</f>
        <v>0</v>
      </c>
      <c r="T84">
        <f>0</f>
        <v>0</v>
      </c>
      <c r="U84">
        <f>0</f>
        <v>0</v>
      </c>
      <c r="V84">
        <f>0</f>
        <v>0</v>
      </c>
      <c r="W84">
        <f>0</f>
        <v>0</v>
      </c>
      <c r="X84">
        <f>0</f>
        <v>0</v>
      </c>
      <c r="Y84">
        <f>0</f>
        <v>0</v>
      </c>
      <c r="AA84">
        <v>39096431</v>
      </c>
      <c r="AB84">
        <f>ROUND((AK84),2)</f>
        <v>42.98</v>
      </c>
      <c r="AC84">
        <f>0</f>
        <v>0</v>
      </c>
      <c r="AD84">
        <f>0</f>
        <v>0</v>
      </c>
      <c r="AE84">
        <f>0</f>
        <v>0</v>
      </c>
      <c r="AF84">
        <f>0</f>
        <v>0</v>
      </c>
      <c r="AG84">
        <f>0</f>
        <v>0</v>
      </c>
      <c r="AH84">
        <f>0</f>
        <v>0</v>
      </c>
      <c r="AI84">
        <f>0</f>
        <v>0</v>
      </c>
      <c r="AJ84">
        <f>0</f>
        <v>0</v>
      </c>
      <c r="AK84">
        <v>42.98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6.71</v>
      </c>
      <c r="BA84">
        <v>1</v>
      </c>
      <c r="BB84">
        <v>1</v>
      </c>
      <c r="BC84">
        <v>1</v>
      </c>
      <c r="BD84" t="s">
        <v>3</v>
      </c>
      <c r="BE84" t="s">
        <v>3</v>
      </c>
      <c r="BF84" t="s">
        <v>3</v>
      </c>
      <c r="BG84" t="s">
        <v>3</v>
      </c>
      <c r="BH84">
        <v>0</v>
      </c>
      <c r="BI84">
        <v>1</v>
      </c>
      <c r="BJ84" t="s">
        <v>269</v>
      </c>
      <c r="BM84">
        <v>700004</v>
      </c>
      <c r="BN84">
        <v>0</v>
      </c>
      <c r="BO84" t="s">
        <v>3</v>
      </c>
      <c r="BP84">
        <v>0</v>
      </c>
      <c r="BQ84">
        <v>19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0</v>
      </c>
      <c r="CA84">
        <v>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>AB84*AZ84</f>
        <v>288.39579999999995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1013</v>
      </c>
      <c r="DV84" t="s">
        <v>268</v>
      </c>
      <c r="DW84" t="s">
        <v>268</v>
      </c>
      <c r="DX84">
        <v>1</v>
      </c>
      <c r="EE84">
        <v>39174691</v>
      </c>
      <c r="EF84">
        <v>19</v>
      </c>
      <c r="EG84" t="s">
        <v>270</v>
      </c>
      <c r="EH84">
        <v>0</v>
      </c>
      <c r="EI84" t="s">
        <v>3</v>
      </c>
      <c r="EJ84">
        <v>1</v>
      </c>
      <c r="EK84">
        <v>700004</v>
      </c>
      <c r="EL84" t="s">
        <v>271</v>
      </c>
      <c r="EM84" t="s">
        <v>272</v>
      </c>
      <c r="EO84" t="s">
        <v>3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FQ84">
        <v>0</v>
      </c>
      <c r="FR84">
        <f t="shared" si="94"/>
        <v>0</v>
      </c>
      <c r="FS84">
        <v>0</v>
      </c>
      <c r="FX84">
        <v>0</v>
      </c>
      <c r="FY84">
        <v>0</v>
      </c>
      <c r="GA84" t="s">
        <v>3</v>
      </c>
      <c r="GD84">
        <v>0</v>
      </c>
      <c r="GF84">
        <v>68385352</v>
      </c>
      <c r="GG84">
        <v>1</v>
      </c>
      <c r="GH84">
        <v>1</v>
      </c>
      <c r="GI84">
        <v>4</v>
      </c>
      <c r="GJ84">
        <v>2</v>
      </c>
      <c r="GK84">
        <f>ROUND(R84*(R12)/100,2)</f>
        <v>0</v>
      </c>
      <c r="GL84">
        <f t="shared" si="95"/>
        <v>0</v>
      </c>
      <c r="GM84">
        <f>ROUND(CP84*I84,2)</f>
        <v>10959.04</v>
      </c>
      <c r="GN84">
        <f>IF(OR(BI84=0,BI84=1),ROUND(CP84*I84,2),0)</f>
        <v>10959.04</v>
      </c>
      <c r="GO84">
        <f>IF(BI84=2,ROUND(CP84*I84,2),0)</f>
        <v>0</v>
      </c>
      <c r="GP84">
        <f>IF(BI84=4,ROUND(CP84*I84,2)+GX84,0)</f>
        <v>0</v>
      </c>
      <c r="GR84">
        <v>0</v>
      </c>
      <c r="GS84">
        <v>3</v>
      </c>
      <c r="GU84" t="s">
        <v>3</v>
      </c>
      <c r="GV84">
        <f>0</f>
        <v>0</v>
      </c>
      <c r="GW84">
        <v>1</v>
      </c>
      <c r="GX84">
        <f t="shared" si="101"/>
        <v>0</v>
      </c>
      <c r="GY84">
        <v>0</v>
      </c>
      <c r="GZ84">
        <v>0</v>
      </c>
      <c r="HA84">
        <v>0</v>
      </c>
      <c r="HB84">
        <v>0</v>
      </c>
      <c r="IK84">
        <v>0</v>
      </c>
    </row>
    <row r="85" spans="1:245" x14ac:dyDescent="0.2">
      <c r="A85">
        <v>17</v>
      </c>
      <c r="B85">
        <v>1</v>
      </c>
      <c r="E85" t="s">
        <v>273</v>
      </c>
      <c r="F85" t="s">
        <v>274</v>
      </c>
      <c r="G85" t="s">
        <v>275</v>
      </c>
      <c r="H85" t="s">
        <v>268</v>
      </c>
      <c r="I85">
        <v>38</v>
      </c>
      <c r="J85">
        <v>0</v>
      </c>
      <c r="O85">
        <f>0</f>
        <v>0</v>
      </c>
      <c r="P85">
        <f>0</f>
        <v>0</v>
      </c>
      <c r="Q85">
        <f>0</f>
        <v>0</v>
      </c>
      <c r="R85">
        <f>0</f>
        <v>0</v>
      </c>
      <c r="S85">
        <f>0</f>
        <v>0</v>
      </c>
      <c r="T85">
        <f>0</f>
        <v>0</v>
      </c>
      <c r="U85">
        <f>0</f>
        <v>0</v>
      </c>
      <c r="V85">
        <f>0</f>
        <v>0</v>
      </c>
      <c r="W85">
        <f>0</f>
        <v>0</v>
      </c>
      <c r="X85">
        <f>0</f>
        <v>0</v>
      </c>
      <c r="Y85">
        <f>0</f>
        <v>0</v>
      </c>
      <c r="AA85">
        <v>39096431</v>
      </c>
      <c r="AB85">
        <f>ROUND((AK85),2)</f>
        <v>19.54</v>
      </c>
      <c r="AC85">
        <f>0</f>
        <v>0</v>
      </c>
      <c r="AD85">
        <f>0</f>
        <v>0</v>
      </c>
      <c r="AE85">
        <f>0</f>
        <v>0</v>
      </c>
      <c r="AF85">
        <f>0</f>
        <v>0</v>
      </c>
      <c r="AG85">
        <f>0</f>
        <v>0</v>
      </c>
      <c r="AH85">
        <f>0</f>
        <v>0</v>
      </c>
      <c r="AI85">
        <f>0</f>
        <v>0</v>
      </c>
      <c r="AJ85">
        <f>0</f>
        <v>0</v>
      </c>
      <c r="AK85">
        <v>19.54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1</v>
      </c>
      <c r="AW85">
        <v>1</v>
      </c>
      <c r="AZ85">
        <v>6.71</v>
      </c>
      <c r="BA85">
        <v>1</v>
      </c>
      <c r="BB85">
        <v>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276</v>
      </c>
      <c r="BM85">
        <v>700005</v>
      </c>
      <c r="BN85">
        <v>0</v>
      </c>
      <c r="BO85" t="s">
        <v>3</v>
      </c>
      <c r="BP85">
        <v>0</v>
      </c>
      <c r="BQ85">
        <v>10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0</v>
      </c>
      <c r="CA85">
        <v>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>AB85*AZ85</f>
        <v>131.11339999999998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268</v>
      </c>
      <c r="DW85" t="s">
        <v>268</v>
      </c>
      <c r="DX85">
        <v>1</v>
      </c>
      <c r="EE85">
        <v>39174695</v>
      </c>
      <c r="EF85">
        <v>10</v>
      </c>
      <c r="EG85" t="s">
        <v>277</v>
      </c>
      <c r="EH85">
        <v>0</v>
      </c>
      <c r="EI85" t="s">
        <v>3</v>
      </c>
      <c r="EJ85">
        <v>1</v>
      </c>
      <c r="EK85">
        <v>700005</v>
      </c>
      <c r="EL85" t="s">
        <v>278</v>
      </c>
      <c r="EM85" t="s">
        <v>279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FQ85">
        <v>0</v>
      </c>
      <c r="FR85">
        <f t="shared" si="94"/>
        <v>0</v>
      </c>
      <c r="FS85">
        <v>0</v>
      </c>
      <c r="FX85">
        <v>0</v>
      </c>
      <c r="FY85">
        <v>0</v>
      </c>
      <c r="GA85" t="s">
        <v>3</v>
      </c>
      <c r="GD85">
        <v>0</v>
      </c>
      <c r="GF85">
        <v>-393582888</v>
      </c>
      <c r="GG85">
        <v>1</v>
      </c>
      <c r="GH85">
        <v>1</v>
      </c>
      <c r="GI85">
        <v>4</v>
      </c>
      <c r="GJ85">
        <v>2</v>
      </c>
      <c r="GK85">
        <f>ROUND(R85*(R12)/100,2)</f>
        <v>0</v>
      </c>
      <c r="GL85">
        <f t="shared" si="95"/>
        <v>0</v>
      </c>
      <c r="GM85">
        <f>ROUND(CP85*I85,2)</f>
        <v>4982.3100000000004</v>
      </c>
      <c r="GN85">
        <f>IF(OR(BI85=0,BI85=1),ROUND(CP85*I85,2),0)</f>
        <v>4982.3100000000004</v>
      </c>
      <c r="GO85">
        <f>IF(BI85=2,ROUND(CP85*I85,2),0)</f>
        <v>0</v>
      </c>
      <c r="GP85">
        <f>IF(BI85=4,ROUND(CP85*I85,2)+GX85,0)</f>
        <v>0</v>
      </c>
      <c r="GR85">
        <v>0</v>
      </c>
      <c r="GS85">
        <v>3</v>
      </c>
      <c r="GU85" t="s">
        <v>3</v>
      </c>
      <c r="GV85">
        <f>0</f>
        <v>0</v>
      </c>
      <c r="GW85">
        <v>1</v>
      </c>
      <c r="GX85">
        <f t="shared" si="101"/>
        <v>0</v>
      </c>
      <c r="GY85">
        <v>0</v>
      </c>
      <c r="GZ85">
        <v>0</v>
      </c>
      <c r="HA85">
        <v>0</v>
      </c>
      <c r="HB85">
        <v>0</v>
      </c>
      <c r="IK85">
        <v>0</v>
      </c>
    </row>
    <row r="87" spans="1:245" x14ac:dyDescent="0.2">
      <c r="A87" s="2">
        <v>51</v>
      </c>
      <c r="B87" s="2">
        <f>B24</f>
        <v>1</v>
      </c>
      <c r="C87" s="2">
        <f>A24</f>
        <v>4</v>
      </c>
      <c r="D87" s="2">
        <f>ROW(A24)</f>
        <v>24</v>
      </c>
      <c r="E87" s="2"/>
      <c r="F87" s="2" t="str">
        <f>IF(F24&lt;&gt;"",F24,"")</f>
        <v>Новый раздел</v>
      </c>
      <c r="G87" s="2" t="str">
        <f>IF(G24&lt;&gt;"",G24,"")</f>
        <v>1 Общестроительные работы</v>
      </c>
      <c r="H87" s="2">
        <v>0</v>
      </c>
      <c r="I87" s="2"/>
      <c r="J87" s="2"/>
      <c r="K87" s="2"/>
      <c r="L87" s="2"/>
      <c r="M87" s="2"/>
      <c r="N87" s="2"/>
      <c r="O87" s="2">
        <f t="shared" ref="O87:T87" si="108">ROUND(AB87,2)</f>
        <v>1426498.22</v>
      </c>
      <c r="P87" s="2">
        <f t="shared" si="108"/>
        <v>1297161.3</v>
      </c>
      <c r="Q87" s="2">
        <f t="shared" si="108"/>
        <v>16760.07</v>
      </c>
      <c r="R87" s="2">
        <f t="shared" si="108"/>
        <v>4048.65</v>
      </c>
      <c r="S87" s="2">
        <f t="shared" si="108"/>
        <v>112576.85</v>
      </c>
      <c r="T87" s="2">
        <f t="shared" si="108"/>
        <v>0</v>
      </c>
      <c r="U87" s="2">
        <f>AH87</f>
        <v>1886.8039583999998</v>
      </c>
      <c r="V87" s="2">
        <f>AI87</f>
        <v>52.636809749999991</v>
      </c>
      <c r="W87" s="2">
        <f>ROUND(AJ87,2)</f>
        <v>0</v>
      </c>
      <c r="X87" s="2">
        <f>ROUND(AK87,2)</f>
        <v>110372.33</v>
      </c>
      <c r="Y87" s="2">
        <f>ROUND(AL87,2)</f>
        <v>61955.29</v>
      </c>
      <c r="Z87" s="2"/>
      <c r="AA87" s="2"/>
      <c r="AB87" s="2">
        <f>ROUND(SUMIF(AA28:AA85,"=39096431",O28:O85),2)</f>
        <v>1426498.22</v>
      </c>
      <c r="AC87" s="2">
        <f>ROUND(SUMIF(AA28:AA85,"=39096431",P28:P85),2)</f>
        <v>1297161.3</v>
      </c>
      <c r="AD87" s="2">
        <f>ROUND(SUMIF(AA28:AA85,"=39096431",Q28:Q85),2)</f>
        <v>16760.07</v>
      </c>
      <c r="AE87" s="2">
        <f>ROUND(SUMIF(AA28:AA85,"=39096431",R28:R85),2)</f>
        <v>4048.65</v>
      </c>
      <c r="AF87" s="2">
        <f>ROUND(SUMIF(AA28:AA85,"=39096431",S28:S85),2)</f>
        <v>112576.85</v>
      </c>
      <c r="AG87" s="2">
        <f>ROUND(SUMIF(AA28:AA85,"=39096431",T28:T85),2)</f>
        <v>0</v>
      </c>
      <c r="AH87" s="2">
        <f>SUMIF(AA28:AA85,"=39096431",U28:U85)</f>
        <v>1886.8039583999998</v>
      </c>
      <c r="AI87" s="2">
        <f>SUMIF(AA28:AA85,"=39096431",V28:V85)</f>
        <v>52.636809749999991</v>
      </c>
      <c r="AJ87" s="2">
        <f>ROUND(SUMIF(AA28:AA85,"=39096431",W28:W85),2)</f>
        <v>0</v>
      </c>
      <c r="AK87" s="2">
        <f>ROUND(SUMIF(AA28:AA85,"=39096431",X28:X85),2)</f>
        <v>110372.33</v>
      </c>
      <c r="AL87" s="2">
        <f>ROUND(SUMIF(AA28:AA85,"=39096431",Y28:Y85),2)</f>
        <v>61955.29</v>
      </c>
      <c r="AM87" s="2"/>
      <c r="AN87" s="2"/>
      <c r="AO87" s="2">
        <f t="shared" ref="AO87:BC87" si="109">ROUND(BX87,2)</f>
        <v>0</v>
      </c>
      <c r="AP87" s="2">
        <f t="shared" si="109"/>
        <v>0</v>
      </c>
      <c r="AQ87" s="2">
        <f t="shared" si="109"/>
        <v>0</v>
      </c>
      <c r="AR87" s="2">
        <f t="shared" si="109"/>
        <v>1614767.19</v>
      </c>
      <c r="AS87" s="2">
        <f t="shared" si="109"/>
        <v>1614767.19</v>
      </c>
      <c r="AT87" s="2">
        <f t="shared" si="109"/>
        <v>0</v>
      </c>
      <c r="AU87" s="2">
        <f t="shared" si="109"/>
        <v>0</v>
      </c>
      <c r="AV87" s="2">
        <f t="shared" si="109"/>
        <v>1297161.3</v>
      </c>
      <c r="AW87" s="2">
        <f t="shared" si="109"/>
        <v>1297161.3</v>
      </c>
      <c r="AX87" s="2">
        <f t="shared" si="109"/>
        <v>0</v>
      </c>
      <c r="AY87" s="2">
        <f t="shared" si="109"/>
        <v>1297161.3</v>
      </c>
      <c r="AZ87" s="2">
        <f t="shared" si="109"/>
        <v>0</v>
      </c>
      <c r="BA87" s="2">
        <f t="shared" si="109"/>
        <v>0</v>
      </c>
      <c r="BB87" s="2">
        <f t="shared" si="109"/>
        <v>0</v>
      </c>
      <c r="BC87" s="2">
        <f t="shared" si="109"/>
        <v>0</v>
      </c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>
        <f>ROUND(SUMIF(AA28:AA85,"=39096431",FQ28:FQ85),2)</f>
        <v>0</v>
      </c>
      <c r="BY87" s="2">
        <f>ROUND(SUMIF(AA28:AA85,"=39096431",FR28:FR85),2)</f>
        <v>0</v>
      </c>
      <c r="BZ87" s="2">
        <f>ROUND(SUMIF(AA28:AA85,"=39096431",GL28:GL85),2)</f>
        <v>0</v>
      </c>
      <c r="CA87" s="2">
        <f>ROUND(SUMIF(AA28:AA85,"=39096431",GM28:GM85),2)</f>
        <v>1614767.19</v>
      </c>
      <c r="CB87" s="2">
        <f>ROUND(SUMIF(AA28:AA85,"=39096431",GN28:GN85),2)</f>
        <v>1614767.19</v>
      </c>
      <c r="CC87" s="2">
        <f>ROUND(SUMIF(AA28:AA85,"=39096431",GO28:GO85),2)</f>
        <v>0</v>
      </c>
      <c r="CD87" s="2">
        <f>ROUND(SUMIF(AA28:AA85,"=39096431",GP28:GP85),2)</f>
        <v>0</v>
      </c>
      <c r="CE87" s="2">
        <f>AC87-BX87</f>
        <v>1297161.3</v>
      </c>
      <c r="CF87" s="2">
        <f>AC87-BY87</f>
        <v>1297161.3</v>
      </c>
      <c r="CG87" s="2">
        <f>BX87-BZ87</f>
        <v>0</v>
      </c>
      <c r="CH87" s="2">
        <f>AC87-BX87-BY87+BZ87</f>
        <v>1297161.3</v>
      </c>
      <c r="CI87" s="2">
        <f>BY87-BZ87</f>
        <v>0</v>
      </c>
      <c r="CJ87" s="2">
        <f>ROUND(SUMIF(AA28:AA85,"=39096431",GX28:GX85),2)</f>
        <v>0</v>
      </c>
      <c r="CK87" s="2">
        <f>ROUND(SUMIF(AA28:AA85,"=39096431",GY28:GY85),2)</f>
        <v>0</v>
      </c>
      <c r="CL87" s="2">
        <f>ROUND(SUMIF(AA28:AA85,"=39096431",GZ28:GZ85),2)</f>
        <v>0</v>
      </c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>
        <v>0</v>
      </c>
    </row>
    <row r="89" spans="1:245" x14ac:dyDescent="0.2">
      <c r="A89" s="4">
        <v>50</v>
      </c>
      <c r="B89" s="4">
        <v>0</v>
      </c>
      <c r="C89" s="4">
        <v>0</v>
      </c>
      <c r="D89" s="4">
        <v>1</v>
      </c>
      <c r="E89" s="4">
        <v>201</v>
      </c>
      <c r="F89" s="4">
        <f>ROUND(Source!O87,O89)</f>
        <v>1426498.22</v>
      </c>
      <c r="G89" s="4" t="s">
        <v>280</v>
      </c>
      <c r="H89" s="4" t="s">
        <v>281</v>
      </c>
      <c r="I89" s="4"/>
      <c r="J89" s="4"/>
      <c r="K89" s="4">
        <v>201</v>
      </c>
      <c r="L89" s="4">
        <v>1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45" x14ac:dyDescent="0.2">
      <c r="A90" s="4">
        <v>50</v>
      </c>
      <c r="B90" s="4">
        <v>0</v>
      </c>
      <c r="C90" s="4">
        <v>0</v>
      </c>
      <c r="D90" s="4">
        <v>1</v>
      </c>
      <c r="E90" s="4">
        <v>202</v>
      </c>
      <c r="F90" s="4">
        <f>ROUND(Source!P87,O90)</f>
        <v>1297161.3</v>
      </c>
      <c r="G90" s="4" t="s">
        <v>282</v>
      </c>
      <c r="H90" s="4" t="s">
        <v>283</v>
      </c>
      <c r="I90" s="4"/>
      <c r="J90" s="4"/>
      <c r="K90" s="4">
        <v>202</v>
      </c>
      <c r="L90" s="4">
        <v>2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45" x14ac:dyDescent="0.2">
      <c r="A91" s="4">
        <v>50</v>
      </c>
      <c r="B91" s="4">
        <v>0</v>
      </c>
      <c r="C91" s="4">
        <v>0</v>
      </c>
      <c r="D91" s="4">
        <v>1</v>
      </c>
      <c r="E91" s="4">
        <v>222</v>
      </c>
      <c r="F91" s="4">
        <f>ROUND(Source!AO87,O91)</f>
        <v>0</v>
      </c>
      <c r="G91" s="4" t="s">
        <v>284</v>
      </c>
      <c r="H91" s="4" t="s">
        <v>285</v>
      </c>
      <c r="I91" s="4"/>
      <c r="J91" s="4"/>
      <c r="K91" s="4">
        <v>222</v>
      </c>
      <c r="L91" s="4">
        <v>3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45" x14ac:dyDescent="0.2">
      <c r="A92" s="4">
        <v>50</v>
      </c>
      <c r="B92" s="4">
        <v>0</v>
      </c>
      <c r="C92" s="4">
        <v>0</v>
      </c>
      <c r="D92" s="4">
        <v>1</v>
      </c>
      <c r="E92" s="4">
        <v>225</v>
      </c>
      <c r="F92" s="4">
        <f>ROUND(Source!AV87,O92)</f>
        <v>1297161.3</v>
      </c>
      <c r="G92" s="4" t="s">
        <v>286</v>
      </c>
      <c r="H92" s="4" t="s">
        <v>287</v>
      </c>
      <c r="I92" s="4"/>
      <c r="J92" s="4"/>
      <c r="K92" s="4">
        <v>225</v>
      </c>
      <c r="L92" s="4">
        <v>4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45" x14ac:dyDescent="0.2">
      <c r="A93" s="4">
        <v>50</v>
      </c>
      <c r="B93" s="4">
        <v>0</v>
      </c>
      <c r="C93" s="4">
        <v>0</v>
      </c>
      <c r="D93" s="4">
        <v>1</v>
      </c>
      <c r="E93" s="4">
        <v>226</v>
      </c>
      <c r="F93" s="4">
        <f>ROUND(Source!AW87,O93)</f>
        <v>1297161.3</v>
      </c>
      <c r="G93" s="4" t="s">
        <v>288</v>
      </c>
      <c r="H93" s="4" t="s">
        <v>289</v>
      </c>
      <c r="I93" s="4"/>
      <c r="J93" s="4"/>
      <c r="K93" s="4">
        <v>226</v>
      </c>
      <c r="L93" s="4">
        <v>5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45" x14ac:dyDescent="0.2">
      <c r="A94" s="4">
        <v>50</v>
      </c>
      <c r="B94" s="4">
        <v>0</v>
      </c>
      <c r="C94" s="4">
        <v>0</v>
      </c>
      <c r="D94" s="4">
        <v>1</v>
      </c>
      <c r="E94" s="4">
        <v>227</v>
      </c>
      <c r="F94" s="4">
        <f>ROUND(Source!AX87,O94)</f>
        <v>0</v>
      </c>
      <c r="G94" s="4" t="s">
        <v>290</v>
      </c>
      <c r="H94" s="4" t="s">
        <v>291</v>
      </c>
      <c r="I94" s="4"/>
      <c r="J94" s="4"/>
      <c r="K94" s="4">
        <v>227</v>
      </c>
      <c r="L94" s="4">
        <v>6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45" x14ac:dyDescent="0.2">
      <c r="A95" s="4">
        <v>50</v>
      </c>
      <c r="B95" s="4">
        <v>0</v>
      </c>
      <c r="C95" s="4">
        <v>0</v>
      </c>
      <c r="D95" s="4">
        <v>1</v>
      </c>
      <c r="E95" s="4">
        <v>228</v>
      </c>
      <c r="F95" s="4">
        <f>ROUND(Source!AY87,O95)</f>
        <v>1297161.3</v>
      </c>
      <c r="G95" s="4" t="s">
        <v>292</v>
      </c>
      <c r="H95" s="4" t="s">
        <v>293</v>
      </c>
      <c r="I95" s="4"/>
      <c r="J95" s="4"/>
      <c r="K95" s="4">
        <v>228</v>
      </c>
      <c r="L95" s="4">
        <v>7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45" x14ac:dyDescent="0.2">
      <c r="A96" s="4">
        <v>50</v>
      </c>
      <c r="B96" s="4">
        <v>0</v>
      </c>
      <c r="C96" s="4">
        <v>0</v>
      </c>
      <c r="D96" s="4">
        <v>1</v>
      </c>
      <c r="E96" s="4">
        <v>216</v>
      </c>
      <c r="F96" s="4">
        <f>ROUND(Source!AP87,O96)</f>
        <v>0</v>
      </c>
      <c r="G96" s="4" t="s">
        <v>294</v>
      </c>
      <c r="H96" s="4" t="s">
        <v>295</v>
      </c>
      <c r="I96" s="4"/>
      <c r="J96" s="4"/>
      <c r="K96" s="4">
        <v>216</v>
      </c>
      <c r="L96" s="4">
        <v>8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223</v>
      </c>
      <c r="F97" s="4">
        <f>ROUND(Source!AQ87,O97)</f>
        <v>0</v>
      </c>
      <c r="G97" s="4" t="s">
        <v>296</v>
      </c>
      <c r="H97" s="4" t="s">
        <v>297</v>
      </c>
      <c r="I97" s="4"/>
      <c r="J97" s="4"/>
      <c r="K97" s="4">
        <v>223</v>
      </c>
      <c r="L97" s="4">
        <v>9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229</v>
      </c>
      <c r="F98" s="4">
        <f>ROUND(Source!AZ87,O98)</f>
        <v>0</v>
      </c>
      <c r="G98" s="4" t="s">
        <v>298</v>
      </c>
      <c r="H98" s="4" t="s">
        <v>299</v>
      </c>
      <c r="I98" s="4"/>
      <c r="J98" s="4"/>
      <c r="K98" s="4">
        <v>229</v>
      </c>
      <c r="L98" s="4">
        <v>10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203</v>
      </c>
      <c r="F99" s="4">
        <f>ROUND(Source!Q87,O99)</f>
        <v>16760.07</v>
      </c>
      <c r="G99" s="4" t="s">
        <v>300</v>
      </c>
      <c r="H99" s="4" t="s">
        <v>301</v>
      </c>
      <c r="I99" s="4"/>
      <c r="J99" s="4"/>
      <c r="K99" s="4">
        <v>203</v>
      </c>
      <c r="L99" s="4">
        <v>11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231</v>
      </c>
      <c r="F100" s="4">
        <f>ROUND(Source!BB87,O100)</f>
        <v>0</v>
      </c>
      <c r="G100" s="4" t="s">
        <v>302</v>
      </c>
      <c r="H100" s="4" t="s">
        <v>303</v>
      </c>
      <c r="I100" s="4"/>
      <c r="J100" s="4"/>
      <c r="K100" s="4">
        <v>231</v>
      </c>
      <c r="L100" s="4">
        <v>12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204</v>
      </c>
      <c r="F101" s="4">
        <f>ROUND(Source!R87,O101)</f>
        <v>4048.65</v>
      </c>
      <c r="G101" s="4" t="s">
        <v>304</v>
      </c>
      <c r="H101" s="4" t="s">
        <v>305</v>
      </c>
      <c r="I101" s="4"/>
      <c r="J101" s="4"/>
      <c r="K101" s="4">
        <v>204</v>
      </c>
      <c r="L101" s="4">
        <v>13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205</v>
      </c>
      <c r="F102" s="4">
        <f>ROUND(Source!S87,O102)</f>
        <v>112576.85</v>
      </c>
      <c r="G102" s="4" t="s">
        <v>306</v>
      </c>
      <c r="H102" s="4" t="s">
        <v>307</v>
      </c>
      <c r="I102" s="4"/>
      <c r="J102" s="4"/>
      <c r="K102" s="4">
        <v>205</v>
      </c>
      <c r="L102" s="4">
        <v>14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232</v>
      </c>
      <c r="F103" s="4">
        <f>ROUND(Source!BC87,O103)</f>
        <v>0</v>
      </c>
      <c r="G103" s="4" t="s">
        <v>308</v>
      </c>
      <c r="H103" s="4" t="s">
        <v>309</v>
      </c>
      <c r="I103" s="4"/>
      <c r="J103" s="4"/>
      <c r="K103" s="4">
        <v>232</v>
      </c>
      <c r="L103" s="4">
        <v>15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214</v>
      </c>
      <c r="F104" s="4">
        <f>ROUND(Source!AS87,O104)</f>
        <v>1614767.19</v>
      </c>
      <c r="G104" s="4" t="s">
        <v>310</v>
      </c>
      <c r="H104" s="4" t="s">
        <v>311</v>
      </c>
      <c r="I104" s="4"/>
      <c r="J104" s="4"/>
      <c r="K104" s="4">
        <v>214</v>
      </c>
      <c r="L104" s="4">
        <v>16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215</v>
      </c>
      <c r="F105" s="4">
        <f>ROUND(Source!AT87,O105)</f>
        <v>0</v>
      </c>
      <c r="G105" s="4" t="s">
        <v>312</v>
      </c>
      <c r="H105" s="4" t="s">
        <v>313</v>
      </c>
      <c r="I105" s="4"/>
      <c r="J105" s="4"/>
      <c r="K105" s="4">
        <v>215</v>
      </c>
      <c r="L105" s="4">
        <v>17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217</v>
      </c>
      <c r="F106" s="4">
        <f>ROUND(Source!AU87,O106)</f>
        <v>0</v>
      </c>
      <c r="G106" s="4" t="s">
        <v>314</v>
      </c>
      <c r="H106" s="4" t="s">
        <v>315</v>
      </c>
      <c r="I106" s="4"/>
      <c r="J106" s="4"/>
      <c r="K106" s="4">
        <v>217</v>
      </c>
      <c r="L106" s="4">
        <v>18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230</v>
      </c>
      <c r="F107" s="4">
        <f>ROUND(Source!BA87,O107)</f>
        <v>0</v>
      </c>
      <c r="G107" s="4" t="s">
        <v>316</v>
      </c>
      <c r="H107" s="4" t="s">
        <v>317</v>
      </c>
      <c r="I107" s="4"/>
      <c r="J107" s="4"/>
      <c r="K107" s="4">
        <v>230</v>
      </c>
      <c r="L107" s="4">
        <v>19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206</v>
      </c>
      <c r="F108" s="4">
        <f>ROUND(Source!T87,O108)</f>
        <v>0</v>
      </c>
      <c r="G108" s="4" t="s">
        <v>318</v>
      </c>
      <c r="H108" s="4" t="s">
        <v>319</v>
      </c>
      <c r="I108" s="4"/>
      <c r="J108" s="4"/>
      <c r="K108" s="4">
        <v>206</v>
      </c>
      <c r="L108" s="4">
        <v>20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207</v>
      </c>
      <c r="F109" s="4">
        <f>Source!U87</f>
        <v>1886.8039583999998</v>
      </c>
      <c r="G109" s="4" t="s">
        <v>320</v>
      </c>
      <c r="H109" s="4" t="s">
        <v>321</v>
      </c>
      <c r="I109" s="4"/>
      <c r="J109" s="4"/>
      <c r="K109" s="4">
        <v>207</v>
      </c>
      <c r="L109" s="4">
        <v>21</v>
      </c>
      <c r="M109" s="4">
        <v>3</v>
      </c>
      <c r="N109" s="4" t="s">
        <v>3</v>
      </c>
      <c r="O109" s="4">
        <v>-1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208</v>
      </c>
      <c r="F110" s="4">
        <f>Source!V87</f>
        <v>52.636809749999991</v>
      </c>
      <c r="G110" s="4" t="s">
        <v>322</v>
      </c>
      <c r="H110" s="4" t="s">
        <v>323</v>
      </c>
      <c r="I110" s="4"/>
      <c r="J110" s="4"/>
      <c r="K110" s="4">
        <v>208</v>
      </c>
      <c r="L110" s="4">
        <v>22</v>
      </c>
      <c r="M110" s="4">
        <v>3</v>
      </c>
      <c r="N110" s="4" t="s">
        <v>3</v>
      </c>
      <c r="O110" s="4">
        <v>-1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209</v>
      </c>
      <c r="F111" s="4">
        <f>ROUND(Source!W87,O111)</f>
        <v>0</v>
      </c>
      <c r="G111" s="4" t="s">
        <v>324</v>
      </c>
      <c r="H111" s="4" t="s">
        <v>325</v>
      </c>
      <c r="I111" s="4"/>
      <c r="J111" s="4"/>
      <c r="K111" s="4">
        <v>209</v>
      </c>
      <c r="L111" s="4">
        <v>23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210</v>
      </c>
      <c r="F112" s="4">
        <f>ROUND(Source!X87,O112)</f>
        <v>110372.33</v>
      </c>
      <c r="G112" s="4" t="s">
        <v>326</v>
      </c>
      <c r="H112" s="4" t="s">
        <v>327</v>
      </c>
      <c r="I112" s="4"/>
      <c r="J112" s="4"/>
      <c r="K112" s="4">
        <v>210</v>
      </c>
      <c r="L112" s="4">
        <v>24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45" x14ac:dyDescent="0.2">
      <c r="A113" s="4">
        <v>50</v>
      </c>
      <c r="B113" s="4">
        <v>0</v>
      </c>
      <c r="C113" s="4">
        <v>0</v>
      </c>
      <c r="D113" s="4">
        <v>1</v>
      </c>
      <c r="E113" s="4">
        <v>211</v>
      </c>
      <c r="F113" s="4">
        <f>ROUND(Source!Y87,O113)</f>
        <v>61955.29</v>
      </c>
      <c r="G113" s="4" t="s">
        <v>328</v>
      </c>
      <c r="H113" s="4" t="s">
        <v>329</v>
      </c>
      <c r="I113" s="4"/>
      <c r="J113" s="4"/>
      <c r="K113" s="4">
        <v>211</v>
      </c>
      <c r="L113" s="4">
        <v>25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45" x14ac:dyDescent="0.2">
      <c r="A114" s="4">
        <v>50</v>
      </c>
      <c r="B114" s="4">
        <v>0</v>
      </c>
      <c r="C114" s="4">
        <v>0</v>
      </c>
      <c r="D114" s="4">
        <v>1</v>
      </c>
      <c r="E114" s="4">
        <v>224</v>
      </c>
      <c r="F114" s="4">
        <f>ROUND(Source!AR87,O114)</f>
        <v>1614767.19</v>
      </c>
      <c r="G114" s="4" t="s">
        <v>330</v>
      </c>
      <c r="H114" s="4" t="s">
        <v>331</v>
      </c>
      <c r="I114" s="4"/>
      <c r="J114" s="4"/>
      <c r="K114" s="4">
        <v>224</v>
      </c>
      <c r="L114" s="4">
        <v>26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6" spans="1:245" x14ac:dyDescent="0.2">
      <c r="A116" s="1">
        <v>4</v>
      </c>
      <c r="B116" s="1">
        <v>1</v>
      </c>
      <c r="C116" s="1"/>
      <c r="D116" s="1">
        <f>ROW(A131)</f>
        <v>131</v>
      </c>
      <c r="E116" s="1"/>
      <c r="F116" s="1" t="s">
        <v>12</v>
      </c>
      <c r="G116" s="1" t="s">
        <v>332</v>
      </c>
      <c r="H116" s="1" t="s">
        <v>3</v>
      </c>
      <c r="I116" s="1">
        <v>0</v>
      </c>
      <c r="J116" s="1"/>
      <c r="K116" s="1">
        <v>0</v>
      </c>
      <c r="L116" s="1"/>
      <c r="M116" s="1"/>
      <c r="N116" s="1"/>
      <c r="O116" s="1"/>
      <c r="P116" s="1"/>
      <c r="Q116" s="1"/>
      <c r="R116" s="1"/>
      <c r="S116" s="1"/>
      <c r="T116" s="1"/>
      <c r="U116" s="1" t="s">
        <v>3</v>
      </c>
      <c r="V116" s="1">
        <v>0</v>
      </c>
      <c r="W116" s="1"/>
      <c r="X116" s="1"/>
      <c r="Y116" s="1"/>
      <c r="Z116" s="1"/>
      <c r="AA116" s="1"/>
      <c r="AB116" s="1" t="s">
        <v>3</v>
      </c>
      <c r="AC116" s="1" t="s">
        <v>3</v>
      </c>
      <c r="AD116" s="1" t="s">
        <v>3</v>
      </c>
      <c r="AE116" s="1" t="s">
        <v>3</v>
      </c>
      <c r="AF116" s="1" t="s">
        <v>3</v>
      </c>
      <c r="AG116" s="1" t="s">
        <v>3</v>
      </c>
      <c r="AH116" s="1"/>
      <c r="AI116" s="1"/>
      <c r="AJ116" s="1"/>
      <c r="AK116" s="1"/>
      <c r="AL116" s="1"/>
      <c r="AM116" s="1"/>
      <c r="AN116" s="1"/>
      <c r="AO116" s="1"/>
      <c r="AP116" s="1" t="s">
        <v>3</v>
      </c>
      <c r="AQ116" s="1" t="s">
        <v>3</v>
      </c>
      <c r="AR116" s="1" t="s">
        <v>3</v>
      </c>
      <c r="AS116" s="1"/>
      <c r="AT116" s="1"/>
      <c r="AU116" s="1"/>
      <c r="AV116" s="1"/>
      <c r="AW116" s="1"/>
      <c r="AX116" s="1"/>
      <c r="AY116" s="1"/>
      <c r="AZ116" s="1" t="s">
        <v>3</v>
      </c>
      <c r="BA116" s="1"/>
      <c r="BB116" s="1" t="s">
        <v>3</v>
      </c>
      <c r="BC116" s="1" t="s">
        <v>3</v>
      </c>
      <c r="BD116" s="1" t="s">
        <v>3</v>
      </c>
      <c r="BE116" s="1" t="s">
        <v>3</v>
      </c>
      <c r="BF116" s="1" t="s">
        <v>3</v>
      </c>
      <c r="BG116" s="1" t="s">
        <v>3</v>
      </c>
      <c r="BH116" s="1" t="s">
        <v>3</v>
      </c>
      <c r="BI116" s="1" t="s">
        <v>3</v>
      </c>
      <c r="BJ116" s="1" t="s">
        <v>3</v>
      </c>
      <c r="BK116" s="1" t="s">
        <v>3</v>
      </c>
      <c r="BL116" s="1" t="s">
        <v>3</v>
      </c>
      <c r="BM116" s="1" t="s">
        <v>3</v>
      </c>
      <c r="BN116" s="1" t="s">
        <v>3</v>
      </c>
      <c r="BO116" s="1" t="s">
        <v>3</v>
      </c>
      <c r="BP116" s="1" t="s">
        <v>3</v>
      </c>
      <c r="BQ116" s="1"/>
      <c r="BR116" s="1"/>
      <c r="BS116" s="1"/>
      <c r="BT116" s="1"/>
      <c r="BU116" s="1"/>
      <c r="BV116" s="1"/>
      <c r="BW116" s="1"/>
      <c r="BX116" s="1">
        <v>0</v>
      </c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>
        <v>0</v>
      </c>
    </row>
    <row r="118" spans="1:245" x14ac:dyDescent="0.2">
      <c r="A118" s="2">
        <v>52</v>
      </c>
      <c r="B118" s="2">
        <f t="shared" ref="B118:G118" si="110">B131</f>
        <v>1</v>
      </c>
      <c r="C118" s="2">
        <f t="shared" si="110"/>
        <v>4</v>
      </c>
      <c r="D118" s="2">
        <f t="shared" si="110"/>
        <v>116</v>
      </c>
      <c r="E118" s="2">
        <f t="shared" si="110"/>
        <v>0</v>
      </c>
      <c r="F118" s="2" t="str">
        <f t="shared" si="110"/>
        <v>Новый раздел</v>
      </c>
      <c r="G118" s="2" t="str">
        <f t="shared" si="110"/>
        <v>2 Отопление</v>
      </c>
      <c r="H118" s="2"/>
      <c r="I118" s="2"/>
      <c r="J118" s="2"/>
      <c r="K118" s="2"/>
      <c r="L118" s="2"/>
      <c r="M118" s="2"/>
      <c r="N118" s="2"/>
      <c r="O118" s="2">
        <f t="shared" ref="O118:AT118" si="111">O131</f>
        <v>271390.37</v>
      </c>
      <c r="P118" s="2">
        <f t="shared" si="111"/>
        <v>261445.56</v>
      </c>
      <c r="Q118" s="2">
        <f t="shared" si="111"/>
        <v>1874.3</v>
      </c>
      <c r="R118" s="2">
        <f t="shared" si="111"/>
        <v>221.75</v>
      </c>
      <c r="S118" s="2">
        <f t="shared" si="111"/>
        <v>8070.51</v>
      </c>
      <c r="T118" s="2">
        <f t="shared" si="111"/>
        <v>0</v>
      </c>
      <c r="U118" s="2">
        <f t="shared" si="111"/>
        <v>136.69410599999998</v>
      </c>
      <c r="V118" s="2">
        <f t="shared" si="111"/>
        <v>2.6368855999999994</v>
      </c>
      <c r="W118" s="2">
        <f t="shared" si="111"/>
        <v>0</v>
      </c>
      <c r="X118" s="2">
        <f t="shared" si="111"/>
        <v>8820.1200000000008</v>
      </c>
      <c r="Y118" s="2">
        <f t="shared" si="111"/>
        <v>5476.64</v>
      </c>
      <c r="Z118" s="2">
        <f t="shared" si="111"/>
        <v>0</v>
      </c>
      <c r="AA118" s="2">
        <f t="shared" si="111"/>
        <v>0</v>
      </c>
      <c r="AB118" s="2">
        <f t="shared" si="111"/>
        <v>271390.37</v>
      </c>
      <c r="AC118" s="2">
        <f t="shared" si="111"/>
        <v>261445.56</v>
      </c>
      <c r="AD118" s="2">
        <f t="shared" si="111"/>
        <v>1874.3</v>
      </c>
      <c r="AE118" s="2">
        <f t="shared" si="111"/>
        <v>221.75</v>
      </c>
      <c r="AF118" s="2">
        <f t="shared" si="111"/>
        <v>8070.51</v>
      </c>
      <c r="AG118" s="2">
        <f t="shared" si="111"/>
        <v>0</v>
      </c>
      <c r="AH118" s="2">
        <f t="shared" si="111"/>
        <v>136.69410599999998</v>
      </c>
      <c r="AI118" s="2">
        <f t="shared" si="111"/>
        <v>2.6368855999999994</v>
      </c>
      <c r="AJ118" s="2">
        <f t="shared" si="111"/>
        <v>0</v>
      </c>
      <c r="AK118" s="2">
        <f t="shared" si="111"/>
        <v>8820.1200000000008</v>
      </c>
      <c r="AL118" s="2">
        <f t="shared" si="111"/>
        <v>5476.64</v>
      </c>
      <c r="AM118" s="2">
        <f t="shared" si="111"/>
        <v>0</v>
      </c>
      <c r="AN118" s="2">
        <f t="shared" si="111"/>
        <v>0</v>
      </c>
      <c r="AO118" s="2">
        <f t="shared" si="111"/>
        <v>0</v>
      </c>
      <c r="AP118" s="2">
        <f t="shared" si="111"/>
        <v>0</v>
      </c>
      <c r="AQ118" s="2">
        <f t="shared" si="111"/>
        <v>0</v>
      </c>
      <c r="AR118" s="2">
        <f t="shared" si="111"/>
        <v>285687.13</v>
      </c>
      <c r="AS118" s="2">
        <f t="shared" si="111"/>
        <v>285687.13</v>
      </c>
      <c r="AT118" s="2">
        <f t="shared" si="111"/>
        <v>0</v>
      </c>
      <c r="AU118" s="2">
        <f t="shared" ref="AU118:BZ118" si="112">AU131</f>
        <v>0</v>
      </c>
      <c r="AV118" s="2">
        <f t="shared" si="112"/>
        <v>261445.56</v>
      </c>
      <c r="AW118" s="2">
        <f t="shared" si="112"/>
        <v>261445.56</v>
      </c>
      <c r="AX118" s="2">
        <f t="shared" si="112"/>
        <v>0</v>
      </c>
      <c r="AY118" s="2">
        <f t="shared" si="112"/>
        <v>261445.56</v>
      </c>
      <c r="AZ118" s="2">
        <f t="shared" si="112"/>
        <v>0</v>
      </c>
      <c r="BA118" s="2">
        <f t="shared" si="112"/>
        <v>0</v>
      </c>
      <c r="BB118" s="2">
        <f t="shared" si="112"/>
        <v>0</v>
      </c>
      <c r="BC118" s="2">
        <f t="shared" si="112"/>
        <v>0</v>
      </c>
      <c r="BD118" s="2">
        <f t="shared" si="112"/>
        <v>0</v>
      </c>
      <c r="BE118" s="2">
        <f t="shared" si="112"/>
        <v>0</v>
      </c>
      <c r="BF118" s="2">
        <f t="shared" si="112"/>
        <v>0</v>
      </c>
      <c r="BG118" s="2">
        <f t="shared" si="112"/>
        <v>0</v>
      </c>
      <c r="BH118" s="2">
        <f t="shared" si="112"/>
        <v>0</v>
      </c>
      <c r="BI118" s="2">
        <f t="shared" si="112"/>
        <v>0</v>
      </c>
      <c r="BJ118" s="2">
        <f t="shared" si="112"/>
        <v>0</v>
      </c>
      <c r="BK118" s="2">
        <f t="shared" si="112"/>
        <v>0</v>
      </c>
      <c r="BL118" s="2">
        <f t="shared" si="112"/>
        <v>0</v>
      </c>
      <c r="BM118" s="2">
        <f t="shared" si="112"/>
        <v>0</v>
      </c>
      <c r="BN118" s="2">
        <f t="shared" si="112"/>
        <v>0</v>
      </c>
      <c r="BO118" s="2">
        <f t="shared" si="112"/>
        <v>0</v>
      </c>
      <c r="BP118" s="2">
        <f t="shared" si="112"/>
        <v>0</v>
      </c>
      <c r="BQ118" s="2">
        <f t="shared" si="112"/>
        <v>0</v>
      </c>
      <c r="BR118" s="2">
        <f t="shared" si="112"/>
        <v>0</v>
      </c>
      <c r="BS118" s="2">
        <f t="shared" si="112"/>
        <v>0</v>
      </c>
      <c r="BT118" s="2">
        <f t="shared" si="112"/>
        <v>0</v>
      </c>
      <c r="BU118" s="2">
        <f t="shared" si="112"/>
        <v>0</v>
      </c>
      <c r="BV118" s="2">
        <f t="shared" si="112"/>
        <v>0</v>
      </c>
      <c r="BW118" s="2">
        <f t="shared" si="112"/>
        <v>0</v>
      </c>
      <c r="BX118" s="2">
        <f t="shared" si="112"/>
        <v>0</v>
      </c>
      <c r="BY118" s="2">
        <f t="shared" si="112"/>
        <v>0</v>
      </c>
      <c r="BZ118" s="2">
        <f t="shared" si="112"/>
        <v>0</v>
      </c>
      <c r="CA118" s="2">
        <f t="shared" ref="CA118:DF118" si="113">CA131</f>
        <v>285687.13</v>
      </c>
      <c r="CB118" s="2">
        <f t="shared" si="113"/>
        <v>285687.13</v>
      </c>
      <c r="CC118" s="2">
        <f t="shared" si="113"/>
        <v>0</v>
      </c>
      <c r="CD118" s="2">
        <f t="shared" si="113"/>
        <v>0</v>
      </c>
      <c r="CE118" s="2">
        <f t="shared" si="113"/>
        <v>261445.56</v>
      </c>
      <c r="CF118" s="2">
        <f t="shared" si="113"/>
        <v>261445.56</v>
      </c>
      <c r="CG118" s="2">
        <f t="shared" si="113"/>
        <v>0</v>
      </c>
      <c r="CH118" s="2">
        <f t="shared" si="113"/>
        <v>261445.56</v>
      </c>
      <c r="CI118" s="2">
        <f t="shared" si="113"/>
        <v>0</v>
      </c>
      <c r="CJ118" s="2">
        <f t="shared" si="113"/>
        <v>0</v>
      </c>
      <c r="CK118" s="2">
        <f t="shared" si="113"/>
        <v>0</v>
      </c>
      <c r="CL118" s="2">
        <f t="shared" si="113"/>
        <v>0</v>
      </c>
      <c r="CM118" s="2">
        <f t="shared" si="113"/>
        <v>0</v>
      </c>
      <c r="CN118" s="2">
        <f t="shared" si="113"/>
        <v>0</v>
      </c>
      <c r="CO118" s="2">
        <f t="shared" si="113"/>
        <v>0</v>
      </c>
      <c r="CP118" s="2">
        <f t="shared" si="113"/>
        <v>0</v>
      </c>
      <c r="CQ118" s="2">
        <f t="shared" si="113"/>
        <v>0</v>
      </c>
      <c r="CR118" s="2">
        <f t="shared" si="113"/>
        <v>0</v>
      </c>
      <c r="CS118" s="2">
        <f t="shared" si="113"/>
        <v>0</v>
      </c>
      <c r="CT118" s="2">
        <f t="shared" si="113"/>
        <v>0</v>
      </c>
      <c r="CU118" s="2">
        <f t="shared" si="113"/>
        <v>0</v>
      </c>
      <c r="CV118" s="2">
        <f t="shared" si="113"/>
        <v>0</v>
      </c>
      <c r="CW118" s="2">
        <f t="shared" si="113"/>
        <v>0</v>
      </c>
      <c r="CX118" s="2">
        <f t="shared" si="113"/>
        <v>0</v>
      </c>
      <c r="CY118" s="2">
        <f t="shared" si="113"/>
        <v>0</v>
      </c>
      <c r="CZ118" s="2">
        <f t="shared" si="113"/>
        <v>0</v>
      </c>
      <c r="DA118" s="2">
        <f t="shared" si="113"/>
        <v>0</v>
      </c>
      <c r="DB118" s="2">
        <f t="shared" si="113"/>
        <v>0</v>
      </c>
      <c r="DC118" s="2">
        <f t="shared" si="113"/>
        <v>0</v>
      </c>
      <c r="DD118" s="2">
        <f t="shared" si="113"/>
        <v>0</v>
      </c>
      <c r="DE118" s="2">
        <f t="shared" si="113"/>
        <v>0</v>
      </c>
      <c r="DF118" s="2">
        <f t="shared" si="113"/>
        <v>0</v>
      </c>
      <c r="DG118" s="3">
        <f t="shared" ref="DG118:EL118" si="114">DG131</f>
        <v>0</v>
      </c>
      <c r="DH118" s="3">
        <f t="shared" si="114"/>
        <v>0</v>
      </c>
      <c r="DI118" s="3">
        <f t="shared" si="114"/>
        <v>0</v>
      </c>
      <c r="DJ118" s="3">
        <f t="shared" si="114"/>
        <v>0</v>
      </c>
      <c r="DK118" s="3">
        <f t="shared" si="114"/>
        <v>0</v>
      </c>
      <c r="DL118" s="3">
        <f t="shared" si="114"/>
        <v>0</v>
      </c>
      <c r="DM118" s="3">
        <f t="shared" si="114"/>
        <v>0</v>
      </c>
      <c r="DN118" s="3">
        <f t="shared" si="114"/>
        <v>0</v>
      </c>
      <c r="DO118" s="3">
        <f t="shared" si="114"/>
        <v>0</v>
      </c>
      <c r="DP118" s="3">
        <f t="shared" si="114"/>
        <v>0</v>
      </c>
      <c r="DQ118" s="3">
        <f t="shared" si="114"/>
        <v>0</v>
      </c>
      <c r="DR118" s="3">
        <f t="shared" si="114"/>
        <v>0</v>
      </c>
      <c r="DS118" s="3">
        <f t="shared" si="114"/>
        <v>0</v>
      </c>
      <c r="DT118" s="3">
        <f t="shared" si="114"/>
        <v>0</v>
      </c>
      <c r="DU118" s="3">
        <f t="shared" si="114"/>
        <v>0</v>
      </c>
      <c r="DV118" s="3">
        <f t="shared" si="114"/>
        <v>0</v>
      </c>
      <c r="DW118" s="3">
        <f t="shared" si="114"/>
        <v>0</v>
      </c>
      <c r="DX118" s="3">
        <f t="shared" si="114"/>
        <v>0</v>
      </c>
      <c r="DY118" s="3">
        <f t="shared" si="114"/>
        <v>0</v>
      </c>
      <c r="DZ118" s="3">
        <f t="shared" si="114"/>
        <v>0</v>
      </c>
      <c r="EA118" s="3">
        <f t="shared" si="114"/>
        <v>0</v>
      </c>
      <c r="EB118" s="3">
        <f t="shared" si="114"/>
        <v>0</v>
      </c>
      <c r="EC118" s="3">
        <f t="shared" si="114"/>
        <v>0</v>
      </c>
      <c r="ED118" s="3">
        <f t="shared" si="114"/>
        <v>0</v>
      </c>
      <c r="EE118" s="3">
        <f t="shared" si="114"/>
        <v>0</v>
      </c>
      <c r="EF118" s="3">
        <f t="shared" si="114"/>
        <v>0</v>
      </c>
      <c r="EG118" s="3">
        <f t="shared" si="114"/>
        <v>0</v>
      </c>
      <c r="EH118" s="3">
        <f t="shared" si="114"/>
        <v>0</v>
      </c>
      <c r="EI118" s="3">
        <f t="shared" si="114"/>
        <v>0</v>
      </c>
      <c r="EJ118" s="3">
        <f t="shared" si="114"/>
        <v>0</v>
      </c>
      <c r="EK118" s="3">
        <f t="shared" si="114"/>
        <v>0</v>
      </c>
      <c r="EL118" s="3">
        <f t="shared" si="114"/>
        <v>0</v>
      </c>
      <c r="EM118" s="3">
        <f t="shared" ref="EM118:FR118" si="115">EM131</f>
        <v>0</v>
      </c>
      <c r="EN118" s="3">
        <f t="shared" si="115"/>
        <v>0</v>
      </c>
      <c r="EO118" s="3">
        <f t="shared" si="115"/>
        <v>0</v>
      </c>
      <c r="EP118" s="3">
        <f t="shared" si="115"/>
        <v>0</v>
      </c>
      <c r="EQ118" s="3">
        <f t="shared" si="115"/>
        <v>0</v>
      </c>
      <c r="ER118" s="3">
        <f t="shared" si="115"/>
        <v>0</v>
      </c>
      <c r="ES118" s="3">
        <f t="shared" si="115"/>
        <v>0</v>
      </c>
      <c r="ET118" s="3">
        <f t="shared" si="115"/>
        <v>0</v>
      </c>
      <c r="EU118" s="3">
        <f t="shared" si="115"/>
        <v>0</v>
      </c>
      <c r="EV118" s="3">
        <f t="shared" si="115"/>
        <v>0</v>
      </c>
      <c r="EW118" s="3">
        <f t="shared" si="115"/>
        <v>0</v>
      </c>
      <c r="EX118" s="3">
        <f t="shared" si="115"/>
        <v>0</v>
      </c>
      <c r="EY118" s="3">
        <f t="shared" si="115"/>
        <v>0</v>
      </c>
      <c r="EZ118" s="3">
        <f t="shared" si="115"/>
        <v>0</v>
      </c>
      <c r="FA118" s="3">
        <f t="shared" si="115"/>
        <v>0</v>
      </c>
      <c r="FB118" s="3">
        <f t="shared" si="115"/>
        <v>0</v>
      </c>
      <c r="FC118" s="3">
        <f t="shared" si="115"/>
        <v>0</v>
      </c>
      <c r="FD118" s="3">
        <f t="shared" si="115"/>
        <v>0</v>
      </c>
      <c r="FE118" s="3">
        <f t="shared" si="115"/>
        <v>0</v>
      </c>
      <c r="FF118" s="3">
        <f t="shared" si="115"/>
        <v>0</v>
      </c>
      <c r="FG118" s="3">
        <f t="shared" si="115"/>
        <v>0</v>
      </c>
      <c r="FH118" s="3">
        <f t="shared" si="115"/>
        <v>0</v>
      </c>
      <c r="FI118" s="3">
        <f t="shared" si="115"/>
        <v>0</v>
      </c>
      <c r="FJ118" s="3">
        <f t="shared" si="115"/>
        <v>0</v>
      </c>
      <c r="FK118" s="3">
        <f t="shared" si="115"/>
        <v>0</v>
      </c>
      <c r="FL118" s="3">
        <f t="shared" si="115"/>
        <v>0</v>
      </c>
      <c r="FM118" s="3">
        <f t="shared" si="115"/>
        <v>0</v>
      </c>
      <c r="FN118" s="3">
        <f t="shared" si="115"/>
        <v>0</v>
      </c>
      <c r="FO118" s="3">
        <f t="shared" si="115"/>
        <v>0</v>
      </c>
      <c r="FP118" s="3">
        <f t="shared" si="115"/>
        <v>0</v>
      </c>
      <c r="FQ118" s="3">
        <f t="shared" si="115"/>
        <v>0</v>
      </c>
      <c r="FR118" s="3">
        <f t="shared" si="115"/>
        <v>0</v>
      </c>
      <c r="FS118" s="3">
        <f t="shared" ref="FS118:GX118" si="116">FS131</f>
        <v>0</v>
      </c>
      <c r="FT118" s="3">
        <f t="shared" si="116"/>
        <v>0</v>
      </c>
      <c r="FU118" s="3">
        <f t="shared" si="116"/>
        <v>0</v>
      </c>
      <c r="FV118" s="3">
        <f t="shared" si="116"/>
        <v>0</v>
      </c>
      <c r="FW118" s="3">
        <f t="shared" si="116"/>
        <v>0</v>
      </c>
      <c r="FX118" s="3">
        <f t="shared" si="116"/>
        <v>0</v>
      </c>
      <c r="FY118" s="3">
        <f t="shared" si="116"/>
        <v>0</v>
      </c>
      <c r="FZ118" s="3">
        <f t="shared" si="116"/>
        <v>0</v>
      </c>
      <c r="GA118" s="3">
        <f t="shared" si="116"/>
        <v>0</v>
      </c>
      <c r="GB118" s="3">
        <f t="shared" si="116"/>
        <v>0</v>
      </c>
      <c r="GC118" s="3">
        <f t="shared" si="116"/>
        <v>0</v>
      </c>
      <c r="GD118" s="3">
        <f t="shared" si="116"/>
        <v>0</v>
      </c>
      <c r="GE118" s="3">
        <f t="shared" si="116"/>
        <v>0</v>
      </c>
      <c r="GF118" s="3">
        <f t="shared" si="116"/>
        <v>0</v>
      </c>
      <c r="GG118" s="3">
        <f t="shared" si="116"/>
        <v>0</v>
      </c>
      <c r="GH118" s="3">
        <f t="shared" si="116"/>
        <v>0</v>
      </c>
      <c r="GI118" s="3">
        <f t="shared" si="116"/>
        <v>0</v>
      </c>
      <c r="GJ118" s="3">
        <f t="shared" si="116"/>
        <v>0</v>
      </c>
      <c r="GK118" s="3">
        <f t="shared" si="116"/>
        <v>0</v>
      </c>
      <c r="GL118" s="3">
        <f t="shared" si="116"/>
        <v>0</v>
      </c>
      <c r="GM118" s="3">
        <f t="shared" si="116"/>
        <v>0</v>
      </c>
      <c r="GN118" s="3">
        <f t="shared" si="116"/>
        <v>0</v>
      </c>
      <c r="GO118" s="3">
        <f t="shared" si="116"/>
        <v>0</v>
      </c>
      <c r="GP118" s="3">
        <f t="shared" si="116"/>
        <v>0</v>
      </c>
      <c r="GQ118" s="3">
        <f t="shared" si="116"/>
        <v>0</v>
      </c>
      <c r="GR118" s="3">
        <f t="shared" si="116"/>
        <v>0</v>
      </c>
      <c r="GS118" s="3">
        <f t="shared" si="116"/>
        <v>0</v>
      </c>
      <c r="GT118" s="3">
        <f t="shared" si="116"/>
        <v>0</v>
      </c>
      <c r="GU118" s="3">
        <f t="shared" si="116"/>
        <v>0</v>
      </c>
      <c r="GV118" s="3">
        <f t="shared" si="116"/>
        <v>0</v>
      </c>
      <c r="GW118" s="3">
        <f t="shared" si="116"/>
        <v>0</v>
      </c>
      <c r="GX118" s="3">
        <f t="shared" si="116"/>
        <v>0</v>
      </c>
    </row>
    <row r="120" spans="1:245" x14ac:dyDescent="0.2">
      <c r="A120">
        <v>17</v>
      </c>
      <c r="B120">
        <v>1</v>
      </c>
      <c r="C120">
        <f>ROW(SmtRes!A155)</f>
        <v>155</v>
      </c>
      <c r="D120">
        <f>ROW(EtalonRes!A153)</f>
        <v>153</v>
      </c>
      <c r="E120" t="s">
        <v>333</v>
      </c>
      <c r="F120" t="s">
        <v>334</v>
      </c>
      <c r="G120" t="s">
        <v>335</v>
      </c>
      <c r="H120" t="s">
        <v>39</v>
      </c>
      <c r="I120">
        <v>0.23</v>
      </c>
      <c r="J120">
        <v>0</v>
      </c>
      <c r="O120">
        <f t="shared" ref="O120:O129" si="117">ROUND(CP120,2)</f>
        <v>1444.09</v>
      </c>
      <c r="P120">
        <f t="shared" ref="P120:P129" si="118">ROUND(CQ120*I120,2)</f>
        <v>0</v>
      </c>
      <c r="Q120">
        <f t="shared" ref="Q120:Q129" si="119">ROUND(CR120*I120,2)</f>
        <v>108.06</v>
      </c>
      <c r="R120">
        <f t="shared" ref="R120:R129" si="120">ROUND(CS120*I120,2)</f>
        <v>46.67</v>
      </c>
      <c r="S120">
        <f t="shared" ref="S120:S129" si="121">ROUND(CT120*I120,2)</f>
        <v>1336.03</v>
      </c>
      <c r="T120">
        <f t="shared" ref="T120:T129" si="122">ROUND(CU120*I120,2)</f>
        <v>0</v>
      </c>
      <c r="U120">
        <f t="shared" ref="U120:U129" si="123">CV120*I120</f>
        <v>25.3</v>
      </c>
      <c r="V120">
        <f t="shared" ref="V120:V129" si="124">CW120*I120</f>
        <v>0.5152000000000001</v>
      </c>
      <c r="W120">
        <f t="shared" ref="W120:W129" si="125">ROUND(CX120*I120,2)</f>
        <v>0</v>
      </c>
      <c r="X120">
        <f t="shared" ref="X120:X129" si="126">ROUND(CY120,2)</f>
        <v>1023.2</v>
      </c>
      <c r="Y120">
        <f t="shared" ref="Y120:Y129" si="127">ROUND(CZ120,2)</f>
        <v>691.35</v>
      </c>
      <c r="AA120">
        <v>39096431</v>
      </c>
      <c r="AB120">
        <f t="shared" ref="AB120:AB129" si="128">ROUND((AC120+AD120+AF120),2)</f>
        <v>935.72</v>
      </c>
      <c r="AC120">
        <f t="shared" ref="AC120:AC129" si="129">ROUND((ES120),2)</f>
        <v>0</v>
      </c>
      <c r="AD120">
        <f t="shared" ref="AD120:AD129" si="130">ROUND((((ET120)-(EU120))+AE120),2)</f>
        <v>70.02</v>
      </c>
      <c r="AE120">
        <f t="shared" ref="AE120:AE129" si="131">ROUND((EU120),2)</f>
        <v>30.24</v>
      </c>
      <c r="AF120">
        <f t="shared" ref="AF120:AF129" si="132">ROUND((EV120),2)</f>
        <v>865.7</v>
      </c>
      <c r="AG120">
        <f t="shared" ref="AG120:AG129" si="133">ROUND((AP120),2)</f>
        <v>0</v>
      </c>
      <c r="AH120">
        <f t="shared" ref="AH120:AH129" si="134">(EW120)</f>
        <v>110</v>
      </c>
      <c r="AI120">
        <f t="shared" ref="AI120:AI129" si="135">(EX120)</f>
        <v>2.2400000000000002</v>
      </c>
      <c r="AJ120">
        <f t="shared" ref="AJ120:AJ129" si="136">ROUND((AS120),2)</f>
        <v>0</v>
      </c>
      <c r="AK120">
        <v>935.72</v>
      </c>
      <c r="AL120">
        <v>0</v>
      </c>
      <c r="AM120">
        <v>70.02</v>
      </c>
      <c r="AN120">
        <v>30.24</v>
      </c>
      <c r="AO120">
        <v>865.7</v>
      </c>
      <c r="AP120">
        <v>0</v>
      </c>
      <c r="AQ120">
        <v>110</v>
      </c>
      <c r="AR120">
        <v>2.2400000000000002</v>
      </c>
      <c r="AS120">
        <v>0</v>
      </c>
      <c r="AT120">
        <v>74</v>
      </c>
      <c r="AU120">
        <v>50</v>
      </c>
      <c r="AV120">
        <v>1</v>
      </c>
      <c r="AW120">
        <v>1</v>
      </c>
      <c r="AZ120">
        <v>6.71</v>
      </c>
      <c r="BA120">
        <v>6.71</v>
      </c>
      <c r="BB120">
        <v>6.71</v>
      </c>
      <c r="BC120">
        <v>6.71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1</v>
      </c>
      <c r="BJ120" t="s">
        <v>336</v>
      </c>
      <c r="BM120">
        <v>65003</v>
      </c>
      <c r="BN120">
        <v>0</v>
      </c>
      <c r="BO120" t="s">
        <v>3</v>
      </c>
      <c r="BP120">
        <v>0</v>
      </c>
      <c r="BQ120">
        <v>6</v>
      </c>
      <c r="BR120">
        <v>0</v>
      </c>
      <c r="BS120">
        <v>6.71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74</v>
      </c>
      <c r="CA120">
        <v>50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ref="CP120:CP129" si="137">(P120+Q120+S120)</f>
        <v>1444.09</v>
      </c>
      <c r="CQ120">
        <f t="shared" ref="CQ120:CQ129" si="138">AC120*BC120</f>
        <v>0</v>
      </c>
      <c r="CR120">
        <f t="shared" ref="CR120:CR129" si="139">AD120*BB120</f>
        <v>469.83419999999995</v>
      </c>
      <c r="CS120">
        <f t="shared" ref="CS120:CS129" si="140">AE120*BS120</f>
        <v>202.91039999999998</v>
      </c>
      <c r="CT120">
        <f t="shared" ref="CT120:CT129" si="141">AF120*BA120</f>
        <v>5808.8470000000007</v>
      </c>
      <c r="CU120">
        <f t="shared" ref="CU120:CU129" si="142">AG120</f>
        <v>0</v>
      </c>
      <c r="CV120">
        <f t="shared" ref="CV120:CV129" si="143">AH120</f>
        <v>110</v>
      </c>
      <c r="CW120">
        <f t="shared" ref="CW120:CW129" si="144">AI120</f>
        <v>2.2400000000000002</v>
      </c>
      <c r="CX120">
        <f t="shared" ref="CX120:CX129" si="145">AJ120</f>
        <v>0</v>
      </c>
      <c r="CY120">
        <f t="shared" ref="CY120:CY129" si="146">(((S120+R120)*AT120)/100)</f>
        <v>1023.198</v>
      </c>
      <c r="CZ120">
        <f t="shared" ref="CZ120:CZ129" si="147">(((S120+R120)*AU120)/100)</f>
        <v>691.35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39</v>
      </c>
      <c r="DW120" t="s">
        <v>39</v>
      </c>
      <c r="DX120">
        <v>1</v>
      </c>
      <c r="EE120">
        <v>39174594</v>
      </c>
      <c r="EF120">
        <v>6</v>
      </c>
      <c r="EG120" t="s">
        <v>29</v>
      </c>
      <c r="EH120">
        <v>0</v>
      </c>
      <c r="EI120" t="s">
        <v>3</v>
      </c>
      <c r="EJ120">
        <v>1</v>
      </c>
      <c r="EK120">
        <v>65003</v>
      </c>
      <c r="EL120" t="s">
        <v>337</v>
      </c>
      <c r="EM120" t="s">
        <v>42</v>
      </c>
      <c r="EO120" t="s">
        <v>3</v>
      </c>
      <c r="EQ120">
        <v>0</v>
      </c>
      <c r="ER120">
        <v>935.72</v>
      </c>
      <c r="ES120">
        <v>0</v>
      </c>
      <c r="ET120">
        <v>70.02</v>
      </c>
      <c r="EU120">
        <v>30.24</v>
      </c>
      <c r="EV120">
        <v>865.7</v>
      </c>
      <c r="EW120">
        <v>110</v>
      </c>
      <c r="EX120">
        <v>2.2400000000000002</v>
      </c>
      <c r="EY120">
        <v>0</v>
      </c>
      <c r="FQ120">
        <v>0</v>
      </c>
      <c r="FR120">
        <f t="shared" ref="FR120:FR129" si="148">ROUND(IF(AND(BH120=3,BI120=3),P120,0),2)</f>
        <v>0</v>
      </c>
      <c r="FS120">
        <v>0</v>
      </c>
      <c r="FX120">
        <v>74</v>
      </c>
      <c r="FY120">
        <v>50</v>
      </c>
      <c r="GA120" t="s">
        <v>3</v>
      </c>
      <c r="GD120">
        <v>0</v>
      </c>
      <c r="GF120">
        <v>-741186539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ref="GL120:GL129" si="149">ROUND(IF(AND(BH120=3,BI120=3,FS120&lt;&gt;0),P120,0),2)</f>
        <v>0</v>
      </c>
      <c r="GM120">
        <f t="shared" ref="GM120:GM129" si="150">ROUND(O120+X120+Y120+GK120,2)+GX120</f>
        <v>3158.64</v>
      </c>
      <c r="GN120">
        <f t="shared" ref="GN120:GN129" si="151">IF(OR(BI120=0,BI120=1),ROUND(O120+X120+Y120+GK120,2),0)</f>
        <v>3158.64</v>
      </c>
      <c r="GO120">
        <f t="shared" ref="GO120:GO129" si="152">IF(BI120=2,ROUND(O120+X120+Y120+GK120,2),0)</f>
        <v>0</v>
      </c>
      <c r="GP120">
        <f t="shared" ref="GP120:GP129" si="153">IF(BI120=4,ROUND(O120+X120+Y120+GK120,2)+GX120,0)</f>
        <v>0</v>
      </c>
      <c r="GR120">
        <v>0</v>
      </c>
      <c r="GS120">
        <v>0</v>
      </c>
      <c r="GT120">
        <v>0</v>
      </c>
      <c r="GU120" t="s">
        <v>3</v>
      </c>
      <c r="GV120">
        <f t="shared" ref="GV120:GV129" si="154">ROUND(GT120,2)</f>
        <v>0</v>
      </c>
      <c r="GW120">
        <v>1</v>
      </c>
      <c r="GX120">
        <f t="shared" ref="GX120:GX129" si="155">ROUND(GV120*GW120*I120,2)</f>
        <v>0</v>
      </c>
      <c r="HA120">
        <v>0</v>
      </c>
      <c r="HB120">
        <v>0</v>
      </c>
      <c r="IK120">
        <v>0</v>
      </c>
    </row>
    <row r="121" spans="1:245" x14ac:dyDescent="0.2">
      <c r="A121">
        <v>17</v>
      </c>
      <c r="B121">
        <v>1</v>
      </c>
      <c r="C121">
        <f>ROW(SmtRes!A166)</f>
        <v>166</v>
      </c>
      <c r="D121">
        <f>ROW(EtalonRes!A165)</f>
        <v>165</v>
      </c>
      <c r="E121" t="s">
        <v>338</v>
      </c>
      <c r="F121" t="s">
        <v>339</v>
      </c>
      <c r="G121" t="s">
        <v>340</v>
      </c>
      <c r="H121" t="s">
        <v>341</v>
      </c>
      <c r="I121">
        <v>0.52991999999999995</v>
      </c>
      <c r="J121">
        <v>0</v>
      </c>
      <c r="O121">
        <f t="shared" si="117"/>
        <v>6906.26</v>
      </c>
      <c r="P121">
        <f t="shared" si="118"/>
        <v>4129.17</v>
      </c>
      <c r="Q121">
        <f t="shared" si="119"/>
        <v>684.77</v>
      </c>
      <c r="R121">
        <f t="shared" si="120"/>
        <v>137.79</v>
      </c>
      <c r="S121">
        <f t="shared" si="121"/>
        <v>2092.3200000000002</v>
      </c>
      <c r="T121">
        <f t="shared" si="122"/>
        <v>0</v>
      </c>
      <c r="U121">
        <f t="shared" si="123"/>
        <v>34.762751999999992</v>
      </c>
      <c r="V121">
        <f t="shared" si="124"/>
        <v>1.6586495999999997</v>
      </c>
      <c r="W121">
        <f t="shared" si="125"/>
        <v>0</v>
      </c>
      <c r="X121">
        <f t="shared" si="126"/>
        <v>2564.63</v>
      </c>
      <c r="Y121">
        <f t="shared" si="127"/>
        <v>1583.38</v>
      </c>
      <c r="AA121">
        <v>39096431</v>
      </c>
      <c r="AB121">
        <f t="shared" si="128"/>
        <v>1942.27</v>
      </c>
      <c r="AC121">
        <f t="shared" si="129"/>
        <v>1161.26</v>
      </c>
      <c r="AD121">
        <f t="shared" si="130"/>
        <v>192.58</v>
      </c>
      <c r="AE121">
        <f t="shared" si="131"/>
        <v>38.75</v>
      </c>
      <c r="AF121">
        <f t="shared" si="132"/>
        <v>588.42999999999995</v>
      </c>
      <c r="AG121">
        <f t="shared" si="133"/>
        <v>0</v>
      </c>
      <c r="AH121">
        <f t="shared" si="134"/>
        <v>65.599999999999994</v>
      </c>
      <c r="AI121">
        <f t="shared" si="135"/>
        <v>3.13</v>
      </c>
      <c r="AJ121">
        <f t="shared" si="136"/>
        <v>0</v>
      </c>
      <c r="AK121">
        <v>1942.27</v>
      </c>
      <c r="AL121">
        <v>1161.26</v>
      </c>
      <c r="AM121">
        <v>192.58</v>
      </c>
      <c r="AN121">
        <v>38.75</v>
      </c>
      <c r="AO121">
        <v>588.42999999999995</v>
      </c>
      <c r="AP121">
        <v>0</v>
      </c>
      <c r="AQ121">
        <v>65.599999999999994</v>
      </c>
      <c r="AR121">
        <v>3.13</v>
      </c>
      <c r="AS121">
        <v>0</v>
      </c>
      <c r="AT121">
        <v>115</v>
      </c>
      <c r="AU121">
        <v>71</v>
      </c>
      <c r="AV121">
        <v>1</v>
      </c>
      <c r="AW121">
        <v>1</v>
      </c>
      <c r="AZ121">
        <v>6.71</v>
      </c>
      <c r="BA121">
        <v>6.71</v>
      </c>
      <c r="BB121">
        <v>6.71</v>
      </c>
      <c r="BC121">
        <v>6.71</v>
      </c>
      <c r="BD121" t="s">
        <v>3</v>
      </c>
      <c r="BE121" t="s">
        <v>3</v>
      </c>
      <c r="BF121" t="s">
        <v>3</v>
      </c>
      <c r="BG121" t="s">
        <v>3</v>
      </c>
      <c r="BH121">
        <v>0</v>
      </c>
      <c r="BI121">
        <v>1</v>
      </c>
      <c r="BJ121" t="s">
        <v>342</v>
      </c>
      <c r="BM121">
        <v>18001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6.71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128</v>
      </c>
      <c r="CA121">
        <v>83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37"/>
        <v>6906.26</v>
      </c>
      <c r="CQ121">
        <f t="shared" si="138"/>
        <v>7792.0545999999995</v>
      </c>
      <c r="CR121">
        <f t="shared" si="139"/>
        <v>1292.2118</v>
      </c>
      <c r="CS121">
        <f t="shared" si="140"/>
        <v>260.01249999999999</v>
      </c>
      <c r="CT121">
        <f t="shared" si="141"/>
        <v>3948.3652999999995</v>
      </c>
      <c r="CU121">
        <f t="shared" si="142"/>
        <v>0</v>
      </c>
      <c r="CV121">
        <f t="shared" si="143"/>
        <v>65.599999999999994</v>
      </c>
      <c r="CW121">
        <f t="shared" si="144"/>
        <v>3.13</v>
      </c>
      <c r="CX121">
        <f t="shared" si="145"/>
        <v>0</v>
      </c>
      <c r="CY121">
        <f t="shared" si="146"/>
        <v>2564.6265000000003</v>
      </c>
      <c r="CZ121">
        <f t="shared" si="147"/>
        <v>1583.3780999999999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341</v>
      </c>
      <c r="DW121" t="s">
        <v>341</v>
      </c>
      <c r="DX121">
        <v>1</v>
      </c>
      <c r="EE121">
        <v>39174532</v>
      </c>
      <c r="EF121">
        <v>2</v>
      </c>
      <c r="EG121" t="s">
        <v>19</v>
      </c>
      <c r="EH121">
        <v>0</v>
      </c>
      <c r="EI121" t="s">
        <v>3</v>
      </c>
      <c r="EJ121">
        <v>1</v>
      </c>
      <c r="EK121">
        <v>18001</v>
      </c>
      <c r="EL121" t="s">
        <v>343</v>
      </c>
      <c r="EM121" t="s">
        <v>344</v>
      </c>
      <c r="EO121" t="s">
        <v>3</v>
      </c>
      <c r="EQ121">
        <v>0</v>
      </c>
      <c r="ER121">
        <v>1942.27</v>
      </c>
      <c r="ES121">
        <v>1161.26</v>
      </c>
      <c r="ET121">
        <v>192.58</v>
      </c>
      <c r="EU121">
        <v>38.75</v>
      </c>
      <c r="EV121">
        <v>588.42999999999995</v>
      </c>
      <c r="EW121">
        <v>65.599999999999994</v>
      </c>
      <c r="EX121">
        <v>3.13</v>
      </c>
      <c r="EY121">
        <v>0</v>
      </c>
      <c r="FQ121">
        <v>0</v>
      </c>
      <c r="FR121">
        <f t="shared" si="148"/>
        <v>0</v>
      </c>
      <c r="FS121">
        <v>0</v>
      </c>
      <c r="FT121" t="s">
        <v>22</v>
      </c>
      <c r="FU121" t="s">
        <v>23</v>
      </c>
      <c r="FX121">
        <v>115.2</v>
      </c>
      <c r="FY121">
        <v>70.55</v>
      </c>
      <c r="GA121" t="s">
        <v>3</v>
      </c>
      <c r="GD121">
        <v>0</v>
      </c>
      <c r="GF121">
        <v>-243626587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49"/>
        <v>0</v>
      </c>
      <c r="GM121">
        <f t="shared" si="150"/>
        <v>11054.27</v>
      </c>
      <c r="GN121">
        <f t="shared" si="151"/>
        <v>11054.27</v>
      </c>
      <c r="GO121">
        <f t="shared" si="152"/>
        <v>0</v>
      </c>
      <c r="GP121">
        <f t="shared" si="153"/>
        <v>0</v>
      </c>
      <c r="GR121">
        <v>0</v>
      </c>
      <c r="GS121">
        <v>0</v>
      </c>
      <c r="GT121">
        <v>0</v>
      </c>
      <c r="GU121" t="s">
        <v>3</v>
      </c>
      <c r="GV121">
        <f t="shared" si="154"/>
        <v>0</v>
      </c>
      <c r="GW121">
        <v>1</v>
      </c>
      <c r="GX121">
        <f t="shared" si="155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165</v>
      </c>
      <c r="E122" t="s">
        <v>345</v>
      </c>
      <c r="F122" t="s">
        <v>346</v>
      </c>
      <c r="G122" t="s">
        <v>347</v>
      </c>
      <c r="H122" t="s">
        <v>46</v>
      </c>
      <c r="I122">
        <f>I121*J122</f>
        <v>23.000000000000004</v>
      </c>
      <c r="J122">
        <v>43.402777777777786</v>
      </c>
      <c r="O122">
        <f t="shared" si="117"/>
        <v>232064.48</v>
      </c>
      <c r="P122">
        <f t="shared" si="118"/>
        <v>232064.48</v>
      </c>
      <c r="Q122">
        <f t="shared" si="119"/>
        <v>0</v>
      </c>
      <c r="R122">
        <f t="shared" si="120"/>
        <v>0</v>
      </c>
      <c r="S122">
        <f t="shared" si="121"/>
        <v>0</v>
      </c>
      <c r="T122">
        <f t="shared" si="122"/>
        <v>0</v>
      </c>
      <c r="U122">
        <f t="shared" si="123"/>
        <v>0</v>
      </c>
      <c r="V122">
        <f t="shared" si="124"/>
        <v>0</v>
      </c>
      <c r="W122">
        <f t="shared" si="125"/>
        <v>0</v>
      </c>
      <c r="X122">
        <f t="shared" si="126"/>
        <v>0</v>
      </c>
      <c r="Y122">
        <f t="shared" si="127"/>
        <v>0</v>
      </c>
      <c r="AA122">
        <v>39096431</v>
      </c>
      <c r="AB122">
        <f t="shared" si="128"/>
        <v>1503.69</v>
      </c>
      <c r="AC122">
        <f t="shared" si="129"/>
        <v>1503.69</v>
      </c>
      <c r="AD122">
        <f t="shared" si="130"/>
        <v>0</v>
      </c>
      <c r="AE122">
        <f t="shared" si="131"/>
        <v>0</v>
      </c>
      <c r="AF122">
        <f t="shared" si="132"/>
        <v>0</v>
      </c>
      <c r="AG122">
        <f t="shared" si="133"/>
        <v>0</v>
      </c>
      <c r="AH122">
        <f t="shared" si="134"/>
        <v>0</v>
      </c>
      <c r="AI122">
        <f t="shared" si="135"/>
        <v>0</v>
      </c>
      <c r="AJ122">
        <f t="shared" si="136"/>
        <v>0</v>
      </c>
      <c r="AK122">
        <v>1503.69</v>
      </c>
      <c r="AL122">
        <v>1503.69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115</v>
      </c>
      <c r="AU122">
        <v>71</v>
      </c>
      <c r="AV122">
        <v>1</v>
      </c>
      <c r="AW122">
        <v>1</v>
      </c>
      <c r="AZ122">
        <v>6.71</v>
      </c>
      <c r="BA122">
        <v>1</v>
      </c>
      <c r="BB122">
        <v>1</v>
      </c>
      <c r="BC122">
        <v>6.71</v>
      </c>
      <c r="BD122" t="s">
        <v>3</v>
      </c>
      <c r="BE122" t="s">
        <v>3</v>
      </c>
      <c r="BF122" t="s">
        <v>3</v>
      </c>
      <c r="BG122" t="s">
        <v>3</v>
      </c>
      <c r="BH122">
        <v>3</v>
      </c>
      <c r="BI122">
        <v>1</v>
      </c>
      <c r="BJ122" t="s">
        <v>348</v>
      </c>
      <c r="BM122">
        <v>18001</v>
      </c>
      <c r="BN122">
        <v>0</v>
      </c>
      <c r="BO122" t="s">
        <v>3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128</v>
      </c>
      <c r="CA122">
        <v>83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37"/>
        <v>232064.48</v>
      </c>
      <c r="CQ122">
        <f t="shared" si="138"/>
        <v>10089.759900000001</v>
      </c>
      <c r="CR122">
        <f t="shared" si="139"/>
        <v>0</v>
      </c>
      <c r="CS122">
        <f t="shared" si="140"/>
        <v>0</v>
      </c>
      <c r="CT122">
        <f t="shared" si="141"/>
        <v>0</v>
      </c>
      <c r="CU122">
        <f t="shared" si="142"/>
        <v>0</v>
      </c>
      <c r="CV122">
        <f t="shared" si="143"/>
        <v>0</v>
      </c>
      <c r="CW122">
        <f t="shared" si="144"/>
        <v>0</v>
      </c>
      <c r="CX122">
        <f t="shared" si="145"/>
        <v>0</v>
      </c>
      <c r="CY122">
        <f t="shared" si="146"/>
        <v>0</v>
      </c>
      <c r="CZ122">
        <f t="shared" si="147"/>
        <v>0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1010</v>
      </c>
      <c r="DV122" t="s">
        <v>46</v>
      </c>
      <c r="DW122" t="s">
        <v>46</v>
      </c>
      <c r="DX122">
        <v>1</v>
      </c>
      <c r="EE122">
        <v>39174532</v>
      </c>
      <c r="EF122">
        <v>2</v>
      </c>
      <c r="EG122" t="s">
        <v>19</v>
      </c>
      <c r="EH122">
        <v>0</v>
      </c>
      <c r="EI122" t="s">
        <v>3</v>
      </c>
      <c r="EJ122">
        <v>1</v>
      </c>
      <c r="EK122">
        <v>18001</v>
      </c>
      <c r="EL122" t="s">
        <v>343</v>
      </c>
      <c r="EM122" t="s">
        <v>344</v>
      </c>
      <c r="EO122" t="s">
        <v>3</v>
      </c>
      <c r="EQ122">
        <v>0</v>
      </c>
      <c r="ER122">
        <v>1503.69</v>
      </c>
      <c r="ES122">
        <v>1503.69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48"/>
        <v>0</v>
      </c>
      <c r="FS122">
        <v>0</v>
      </c>
      <c r="FT122" t="s">
        <v>22</v>
      </c>
      <c r="FU122" t="s">
        <v>23</v>
      </c>
      <c r="FX122">
        <v>115.2</v>
      </c>
      <c r="FY122">
        <v>70.55</v>
      </c>
      <c r="GA122" t="s">
        <v>3</v>
      </c>
      <c r="GD122">
        <v>0</v>
      </c>
      <c r="GF122">
        <v>-2076158712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49"/>
        <v>0</v>
      </c>
      <c r="GM122">
        <f t="shared" si="150"/>
        <v>232064.48</v>
      </c>
      <c r="GN122">
        <f t="shared" si="151"/>
        <v>232064.48</v>
      </c>
      <c r="GO122">
        <f t="shared" si="152"/>
        <v>0</v>
      </c>
      <c r="GP122">
        <f t="shared" si="153"/>
        <v>0</v>
      </c>
      <c r="GR122">
        <v>0</v>
      </c>
      <c r="GS122">
        <v>0</v>
      </c>
      <c r="GT122">
        <v>0</v>
      </c>
      <c r="GU122" t="s">
        <v>3</v>
      </c>
      <c r="GV122">
        <f t="shared" si="154"/>
        <v>0</v>
      </c>
      <c r="GW122">
        <v>1</v>
      </c>
      <c r="GX122">
        <f t="shared" si="155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166</v>
      </c>
      <c r="E123" t="s">
        <v>349</v>
      </c>
      <c r="F123" t="s">
        <v>350</v>
      </c>
      <c r="G123" t="s">
        <v>351</v>
      </c>
      <c r="H123" t="s">
        <v>352</v>
      </c>
      <c r="I123">
        <f>I121*J123</f>
        <v>52.991999999999997</v>
      </c>
      <c r="J123">
        <v>100</v>
      </c>
      <c r="O123">
        <f t="shared" si="117"/>
        <v>0</v>
      </c>
      <c r="P123">
        <f t="shared" si="118"/>
        <v>0</v>
      </c>
      <c r="Q123">
        <f t="shared" si="119"/>
        <v>0</v>
      </c>
      <c r="R123">
        <f t="shared" si="120"/>
        <v>0</v>
      </c>
      <c r="S123">
        <f t="shared" si="121"/>
        <v>0</v>
      </c>
      <c r="T123">
        <f t="shared" si="122"/>
        <v>0</v>
      </c>
      <c r="U123">
        <f t="shared" si="123"/>
        <v>0</v>
      </c>
      <c r="V123">
        <f t="shared" si="124"/>
        <v>0</v>
      </c>
      <c r="W123">
        <f t="shared" si="125"/>
        <v>0</v>
      </c>
      <c r="X123">
        <f t="shared" si="126"/>
        <v>0</v>
      </c>
      <c r="Y123">
        <f t="shared" si="127"/>
        <v>0</v>
      </c>
      <c r="AA123">
        <v>39096431</v>
      </c>
      <c r="AB123">
        <f t="shared" si="128"/>
        <v>0</v>
      </c>
      <c r="AC123">
        <f t="shared" si="129"/>
        <v>0</v>
      </c>
      <c r="AD123">
        <f t="shared" si="130"/>
        <v>0</v>
      </c>
      <c r="AE123">
        <f t="shared" si="131"/>
        <v>0</v>
      </c>
      <c r="AF123">
        <f t="shared" si="132"/>
        <v>0</v>
      </c>
      <c r="AG123">
        <f t="shared" si="133"/>
        <v>0</v>
      </c>
      <c r="AH123">
        <f t="shared" si="134"/>
        <v>0</v>
      </c>
      <c r="AI123">
        <f t="shared" si="135"/>
        <v>0</v>
      </c>
      <c r="AJ123">
        <f t="shared" si="136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115</v>
      </c>
      <c r="AU123">
        <v>71</v>
      </c>
      <c r="AV123">
        <v>1</v>
      </c>
      <c r="AW123">
        <v>1</v>
      </c>
      <c r="AZ123">
        <v>6.71</v>
      </c>
      <c r="BA123">
        <v>1</v>
      </c>
      <c r="BB123">
        <v>1</v>
      </c>
      <c r="BC123">
        <v>6.71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</v>
      </c>
      <c r="BM123">
        <v>18001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128</v>
      </c>
      <c r="CA123">
        <v>83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37"/>
        <v>0</v>
      </c>
      <c r="CQ123">
        <f t="shared" si="138"/>
        <v>0</v>
      </c>
      <c r="CR123">
        <f t="shared" si="139"/>
        <v>0</v>
      </c>
      <c r="CS123">
        <f t="shared" si="140"/>
        <v>0</v>
      </c>
      <c r="CT123">
        <f t="shared" si="141"/>
        <v>0</v>
      </c>
      <c r="CU123">
        <f t="shared" si="142"/>
        <v>0</v>
      </c>
      <c r="CV123">
        <f t="shared" si="143"/>
        <v>0</v>
      </c>
      <c r="CW123">
        <f t="shared" si="144"/>
        <v>0</v>
      </c>
      <c r="CX123">
        <f t="shared" si="145"/>
        <v>0</v>
      </c>
      <c r="CY123">
        <f t="shared" si="146"/>
        <v>0</v>
      </c>
      <c r="CZ123">
        <f t="shared" si="147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352</v>
      </c>
      <c r="DW123" t="s">
        <v>352</v>
      </c>
      <c r="DX123">
        <v>1</v>
      </c>
      <c r="EE123">
        <v>39174532</v>
      </c>
      <c r="EF123">
        <v>2</v>
      </c>
      <c r="EG123" t="s">
        <v>19</v>
      </c>
      <c r="EH123">
        <v>0</v>
      </c>
      <c r="EI123" t="s">
        <v>3</v>
      </c>
      <c r="EJ123">
        <v>1</v>
      </c>
      <c r="EK123">
        <v>18001</v>
      </c>
      <c r="EL123" t="s">
        <v>343</v>
      </c>
      <c r="EM123" t="s">
        <v>344</v>
      </c>
      <c r="EO123" t="s">
        <v>3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48"/>
        <v>0</v>
      </c>
      <c r="FS123">
        <v>0</v>
      </c>
      <c r="FT123" t="s">
        <v>22</v>
      </c>
      <c r="FU123" t="s">
        <v>23</v>
      </c>
      <c r="FX123">
        <v>115.2</v>
      </c>
      <c r="FY123">
        <v>70.55</v>
      </c>
      <c r="GA123" t="s">
        <v>3</v>
      </c>
      <c r="GD123">
        <v>0</v>
      </c>
      <c r="GF123">
        <v>704408924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49"/>
        <v>0</v>
      </c>
      <c r="GM123">
        <f t="shared" si="150"/>
        <v>0</v>
      </c>
      <c r="GN123">
        <f t="shared" si="151"/>
        <v>0</v>
      </c>
      <c r="GO123">
        <f t="shared" si="152"/>
        <v>0</v>
      </c>
      <c r="GP123">
        <f t="shared" si="153"/>
        <v>0</v>
      </c>
      <c r="GR123">
        <v>0</v>
      </c>
      <c r="GS123">
        <v>3</v>
      </c>
      <c r="GT123">
        <v>0</v>
      </c>
      <c r="GU123" t="s">
        <v>3</v>
      </c>
      <c r="GV123">
        <f t="shared" si="154"/>
        <v>0</v>
      </c>
      <c r="GW123">
        <v>1</v>
      </c>
      <c r="GX123">
        <f t="shared" si="155"/>
        <v>0</v>
      </c>
      <c r="HA123">
        <v>0</v>
      </c>
      <c r="HB123"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ROW(SmtRes!A174)</f>
        <v>174</v>
      </c>
      <c r="D124">
        <f>ROW(EtalonRes!A174)</f>
        <v>174</v>
      </c>
      <c r="E124" t="s">
        <v>353</v>
      </c>
      <c r="F124" t="s">
        <v>354</v>
      </c>
      <c r="G124" t="s">
        <v>355</v>
      </c>
      <c r="H124" t="s">
        <v>356</v>
      </c>
      <c r="I124">
        <v>46</v>
      </c>
      <c r="J124">
        <v>0</v>
      </c>
      <c r="O124">
        <f t="shared" si="117"/>
        <v>12976.07</v>
      </c>
      <c r="P124">
        <f t="shared" si="118"/>
        <v>7781.32</v>
      </c>
      <c r="Q124">
        <f t="shared" si="119"/>
        <v>1080.31</v>
      </c>
      <c r="R124">
        <f t="shared" si="120"/>
        <v>37.04</v>
      </c>
      <c r="S124">
        <f t="shared" si="121"/>
        <v>4114.4399999999996</v>
      </c>
      <c r="T124">
        <f t="shared" si="122"/>
        <v>0</v>
      </c>
      <c r="U124">
        <f t="shared" si="123"/>
        <v>67.62</v>
      </c>
      <c r="V124">
        <f t="shared" si="124"/>
        <v>0.46</v>
      </c>
      <c r="W124">
        <f t="shared" si="125"/>
        <v>0</v>
      </c>
      <c r="X124">
        <f t="shared" si="126"/>
        <v>4774.2</v>
      </c>
      <c r="Y124">
        <f t="shared" si="127"/>
        <v>2947.55</v>
      </c>
      <c r="AA124">
        <v>39096431</v>
      </c>
      <c r="AB124">
        <f t="shared" si="128"/>
        <v>42.04</v>
      </c>
      <c r="AC124">
        <f t="shared" si="129"/>
        <v>25.21</v>
      </c>
      <c r="AD124">
        <f t="shared" si="130"/>
        <v>3.5</v>
      </c>
      <c r="AE124">
        <f t="shared" si="131"/>
        <v>0.12</v>
      </c>
      <c r="AF124">
        <f t="shared" si="132"/>
        <v>13.33</v>
      </c>
      <c r="AG124">
        <f t="shared" si="133"/>
        <v>0</v>
      </c>
      <c r="AH124">
        <f t="shared" si="134"/>
        <v>1.47</v>
      </c>
      <c r="AI124">
        <f t="shared" si="135"/>
        <v>0.01</v>
      </c>
      <c r="AJ124">
        <f t="shared" si="136"/>
        <v>0</v>
      </c>
      <c r="AK124">
        <v>42.04</v>
      </c>
      <c r="AL124">
        <v>25.21</v>
      </c>
      <c r="AM124">
        <v>3.5</v>
      </c>
      <c r="AN124">
        <v>0.12</v>
      </c>
      <c r="AO124">
        <v>13.33</v>
      </c>
      <c r="AP124">
        <v>0</v>
      </c>
      <c r="AQ124">
        <v>1.47</v>
      </c>
      <c r="AR124">
        <v>0.01</v>
      </c>
      <c r="AS124">
        <v>0</v>
      </c>
      <c r="AT124">
        <v>115</v>
      </c>
      <c r="AU124">
        <v>71</v>
      </c>
      <c r="AV124">
        <v>1</v>
      </c>
      <c r="AW124">
        <v>1</v>
      </c>
      <c r="AZ124">
        <v>6.71</v>
      </c>
      <c r="BA124">
        <v>6.71</v>
      </c>
      <c r="BB124">
        <v>6.71</v>
      </c>
      <c r="BC124">
        <v>6.71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1</v>
      </c>
      <c r="BJ124" t="s">
        <v>357</v>
      </c>
      <c r="BM124">
        <v>16001</v>
      </c>
      <c r="BN124">
        <v>0</v>
      </c>
      <c r="BO124" t="s">
        <v>3</v>
      </c>
      <c r="BP124">
        <v>0</v>
      </c>
      <c r="BQ124">
        <v>2</v>
      </c>
      <c r="BR124">
        <v>0</v>
      </c>
      <c r="BS124">
        <v>6.71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128</v>
      </c>
      <c r="CA124">
        <v>83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si="137"/>
        <v>12976.07</v>
      </c>
      <c r="CQ124">
        <f t="shared" si="138"/>
        <v>169.1591</v>
      </c>
      <c r="CR124">
        <f t="shared" si="139"/>
        <v>23.484999999999999</v>
      </c>
      <c r="CS124">
        <f t="shared" si="140"/>
        <v>0.80519999999999992</v>
      </c>
      <c r="CT124">
        <f t="shared" si="141"/>
        <v>89.444299999999998</v>
      </c>
      <c r="CU124">
        <f t="shared" si="142"/>
        <v>0</v>
      </c>
      <c r="CV124">
        <f t="shared" si="143"/>
        <v>1.47</v>
      </c>
      <c r="CW124">
        <f t="shared" si="144"/>
        <v>0.01</v>
      </c>
      <c r="CX124">
        <f t="shared" si="145"/>
        <v>0</v>
      </c>
      <c r="CY124">
        <f t="shared" si="146"/>
        <v>4774.2019999999993</v>
      </c>
      <c r="CZ124">
        <f t="shared" si="147"/>
        <v>2947.5507999999995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356</v>
      </c>
      <c r="DW124" t="s">
        <v>356</v>
      </c>
      <c r="DX124">
        <v>1</v>
      </c>
      <c r="EE124">
        <v>39174530</v>
      </c>
      <c r="EF124">
        <v>2</v>
      </c>
      <c r="EG124" t="s">
        <v>19</v>
      </c>
      <c r="EH124">
        <v>0</v>
      </c>
      <c r="EI124" t="s">
        <v>3</v>
      </c>
      <c r="EJ124">
        <v>1</v>
      </c>
      <c r="EK124">
        <v>16001</v>
      </c>
      <c r="EL124" t="s">
        <v>358</v>
      </c>
      <c r="EM124" t="s">
        <v>359</v>
      </c>
      <c r="EO124" t="s">
        <v>3</v>
      </c>
      <c r="EQ124">
        <v>0</v>
      </c>
      <c r="ER124">
        <v>42.04</v>
      </c>
      <c r="ES124">
        <v>25.21</v>
      </c>
      <c r="ET124">
        <v>3.5</v>
      </c>
      <c r="EU124">
        <v>0.12</v>
      </c>
      <c r="EV124">
        <v>13.33</v>
      </c>
      <c r="EW124">
        <v>1.47</v>
      </c>
      <c r="EX124">
        <v>0.01</v>
      </c>
      <c r="EY124">
        <v>0</v>
      </c>
      <c r="FQ124">
        <v>0</v>
      </c>
      <c r="FR124">
        <f t="shared" si="148"/>
        <v>0</v>
      </c>
      <c r="FS124">
        <v>0</v>
      </c>
      <c r="FT124" t="s">
        <v>22</v>
      </c>
      <c r="FU124" t="s">
        <v>23</v>
      </c>
      <c r="FX124">
        <v>115.2</v>
      </c>
      <c r="FY124">
        <v>70.55</v>
      </c>
      <c r="GA124" t="s">
        <v>3</v>
      </c>
      <c r="GD124">
        <v>0</v>
      </c>
      <c r="GF124">
        <v>1420229388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49"/>
        <v>0</v>
      </c>
      <c r="GM124">
        <f t="shared" si="150"/>
        <v>20697.82</v>
      </c>
      <c r="GN124">
        <f t="shared" si="151"/>
        <v>20697.82</v>
      </c>
      <c r="GO124">
        <f t="shared" si="152"/>
        <v>0</v>
      </c>
      <c r="GP124">
        <f t="shared" si="153"/>
        <v>0</v>
      </c>
      <c r="GR124">
        <v>0</v>
      </c>
      <c r="GS124">
        <v>0</v>
      </c>
      <c r="GT124">
        <v>0</v>
      </c>
      <c r="GU124" t="s">
        <v>3</v>
      </c>
      <c r="GV124">
        <f t="shared" si="154"/>
        <v>0</v>
      </c>
      <c r="GW124">
        <v>1</v>
      </c>
      <c r="GX124">
        <f t="shared" si="155"/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174</v>
      </c>
      <c r="E125" t="s">
        <v>360</v>
      </c>
      <c r="F125" t="s">
        <v>361</v>
      </c>
      <c r="G125" t="s">
        <v>362</v>
      </c>
      <c r="H125" t="s">
        <v>46</v>
      </c>
      <c r="I125">
        <f>I124*J125</f>
        <v>46</v>
      </c>
      <c r="J125">
        <v>1</v>
      </c>
      <c r="O125">
        <f t="shared" si="117"/>
        <v>16892.96</v>
      </c>
      <c r="P125">
        <f t="shared" si="118"/>
        <v>16892.96</v>
      </c>
      <c r="Q125">
        <f t="shared" si="119"/>
        <v>0</v>
      </c>
      <c r="R125">
        <f t="shared" si="120"/>
        <v>0</v>
      </c>
      <c r="S125">
        <f t="shared" si="121"/>
        <v>0</v>
      </c>
      <c r="T125">
        <f t="shared" si="122"/>
        <v>0</v>
      </c>
      <c r="U125">
        <f t="shared" si="123"/>
        <v>0</v>
      </c>
      <c r="V125">
        <f t="shared" si="124"/>
        <v>0</v>
      </c>
      <c r="W125">
        <f t="shared" si="125"/>
        <v>0</v>
      </c>
      <c r="X125">
        <f t="shared" si="126"/>
        <v>0</v>
      </c>
      <c r="Y125">
        <f t="shared" si="127"/>
        <v>0</v>
      </c>
      <c r="AA125">
        <v>39096431</v>
      </c>
      <c r="AB125">
        <f t="shared" si="128"/>
        <v>54.73</v>
      </c>
      <c r="AC125">
        <f t="shared" si="129"/>
        <v>54.73</v>
      </c>
      <c r="AD125">
        <f t="shared" si="130"/>
        <v>0</v>
      </c>
      <c r="AE125">
        <f t="shared" si="131"/>
        <v>0</v>
      </c>
      <c r="AF125">
        <f t="shared" si="132"/>
        <v>0</v>
      </c>
      <c r="AG125">
        <f t="shared" si="133"/>
        <v>0</v>
      </c>
      <c r="AH125">
        <f t="shared" si="134"/>
        <v>0</v>
      </c>
      <c r="AI125">
        <f t="shared" si="135"/>
        <v>0</v>
      </c>
      <c r="AJ125">
        <f t="shared" si="136"/>
        <v>0</v>
      </c>
      <c r="AK125">
        <v>54.73</v>
      </c>
      <c r="AL125">
        <v>54.73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115</v>
      </c>
      <c r="AU125">
        <v>71</v>
      </c>
      <c r="AV125">
        <v>1</v>
      </c>
      <c r="AW125">
        <v>1</v>
      </c>
      <c r="AZ125">
        <v>6.71</v>
      </c>
      <c r="BA125">
        <v>1</v>
      </c>
      <c r="BB125">
        <v>1</v>
      </c>
      <c r="BC125">
        <v>6.71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1</v>
      </c>
      <c r="BJ125" t="s">
        <v>363</v>
      </c>
      <c r="BM125">
        <v>16001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128</v>
      </c>
      <c r="CA125">
        <v>83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37"/>
        <v>16892.96</v>
      </c>
      <c r="CQ125">
        <f t="shared" si="138"/>
        <v>367.23829999999998</v>
      </c>
      <c r="CR125">
        <f t="shared" si="139"/>
        <v>0</v>
      </c>
      <c r="CS125">
        <f t="shared" si="140"/>
        <v>0</v>
      </c>
      <c r="CT125">
        <f t="shared" si="141"/>
        <v>0</v>
      </c>
      <c r="CU125">
        <f t="shared" si="142"/>
        <v>0</v>
      </c>
      <c r="CV125">
        <f t="shared" si="143"/>
        <v>0</v>
      </c>
      <c r="CW125">
        <f t="shared" si="144"/>
        <v>0</v>
      </c>
      <c r="CX125">
        <f t="shared" si="145"/>
        <v>0</v>
      </c>
      <c r="CY125">
        <f t="shared" si="146"/>
        <v>0</v>
      </c>
      <c r="CZ125">
        <f t="shared" si="147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46</v>
      </c>
      <c r="DW125" t="s">
        <v>46</v>
      </c>
      <c r="DX125">
        <v>1</v>
      </c>
      <c r="EE125">
        <v>39174530</v>
      </c>
      <c r="EF125">
        <v>2</v>
      </c>
      <c r="EG125" t="s">
        <v>19</v>
      </c>
      <c r="EH125">
        <v>0</v>
      </c>
      <c r="EI125" t="s">
        <v>3</v>
      </c>
      <c r="EJ125">
        <v>1</v>
      </c>
      <c r="EK125">
        <v>16001</v>
      </c>
      <c r="EL125" t="s">
        <v>358</v>
      </c>
      <c r="EM125" t="s">
        <v>359</v>
      </c>
      <c r="EO125" t="s">
        <v>3</v>
      </c>
      <c r="EQ125">
        <v>0</v>
      </c>
      <c r="ER125">
        <v>54.73</v>
      </c>
      <c r="ES125">
        <v>54.73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48"/>
        <v>0</v>
      </c>
      <c r="FS125">
        <v>0</v>
      </c>
      <c r="FT125" t="s">
        <v>22</v>
      </c>
      <c r="FU125" t="s">
        <v>23</v>
      </c>
      <c r="FX125">
        <v>115.2</v>
      </c>
      <c r="FY125">
        <v>70.55</v>
      </c>
      <c r="GA125" t="s">
        <v>3</v>
      </c>
      <c r="GD125">
        <v>0</v>
      </c>
      <c r="GF125">
        <v>898688576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49"/>
        <v>0</v>
      </c>
      <c r="GM125">
        <f t="shared" si="150"/>
        <v>16892.96</v>
      </c>
      <c r="GN125">
        <f t="shared" si="151"/>
        <v>16892.96</v>
      </c>
      <c r="GO125">
        <f t="shared" si="152"/>
        <v>0</v>
      </c>
      <c r="GP125">
        <f t="shared" si="153"/>
        <v>0</v>
      </c>
      <c r="GR125">
        <v>0</v>
      </c>
      <c r="GS125">
        <v>3</v>
      </c>
      <c r="GT125">
        <v>0</v>
      </c>
      <c r="GU125" t="s">
        <v>3</v>
      </c>
      <c r="GV125">
        <f t="shared" si="154"/>
        <v>0</v>
      </c>
      <c r="GW125">
        <v>1</v>
      </c>
      <c r="GX125">
        <f t="shared" si="155"/>
        <v>0</v>
      </c>
      <c r="HA125">
        <v>0</v>
      </c>
      <c r="HB125"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ROW(SmtRes!A182)</f>
        <v>182</v>
      </c>
      <c r="D126">
        <f>ROW(EtalonRes!A181)</f>
        <v>181</v>
      </c>
      <c r="E126" t="s">
        <v>364</v>
      </c>
      <c r="F126" t="s">
        <v>365</v>
      </c>
      <c r="G126" t="s">
        <v>366</v>
      </c>
      <c r="H126" t="s">
        <v>17</v>
      </c>
      <c r="I126">
        <v>7.5899999999999995E-2</v>
      </c>
      <c r="J126">
        <v>0</v>
      </c>
      <c r="O126">
        <f t="shared" si="117"/>
        <v>366.91</v>
      </c>
      <c r="P126">
        <f t="shared" si="118"/>
        <v>45.11</v>
      </c>
      <c r="Q126">
        <f t="shared" si="119"/>
        <v>1.1599999999999999</v>
      </c>
      <c r="R126">
        <f t="shared" si="120"/>
        <v>0.25</v>
      </c>
      <c r="S126">
        <f t="shared" si="121"/>
        <v>320.64</v>
      </c>
      <c r="T126">
        <f t="shared" si="122"/>
        <v>0</v>
      </c>
      <c r="U126">
        <f t="shared" si="123"/>
        <v>5.3934540000000002</v>
      </c>
      <c r="V126">
        <f t="shared" si="124"/>
        <v>3.0360000000000001E-3</v>
      </c>
      <c r="W126">
        <f t="shared" si="125"/>
        <v>0</v>
      </c>
      <c r="X126">
        <f t="shared" si="126"/>
        <v>304.85000000000002</v>
      </c>
      <c r="Y126">
        <f t="shared" si="127"/>
        <v>150.82</v>
      </c>
      <c r="AA126">
        <v>39096431</v>
      </c>
      <c r="AB126">
        <f t="shared" si="128"/>
        <v>720.44</v>
      </c>
      <c r="AC126">
        <f t="shared" si="129"/>
        <v>88.57</v>
      </c>
      <c r="AD126">
        <f t="shared" si="130"/>
        <v>2.2799999999999998</v>
      </c>
      <c r="AE126">
        <f t="shared" si="131"/>
        <v>0.49</v>
      </c>
      <c r="AF126">
        <f t="shared" si="132"/>
        <v>629.59</v>
      </c>
      <c r="AG126">
        <f t="shared" si="133"/>
        <v>0</v>
      </c>
      <c r="AH126">
        <f t="shared" si="134"/>
        <v>71.06</v>
      </c>
      <c r="AI126">
        <f t="shared" si="135"/>
        <v>0.04</v>
      </c>
      <c r="AJ126">
        <f t="shared" si="136"/>
        <v>0</v>
      </c>
      <c r="AK126">
        <v>720.44</v>
      </c>
      <c r="AL126">
        <v>88.57</v>
      </c>
      <c r="AM126">
        <v>2.2799999999999998</v>
      </c>
      <c r="AN126">
        <v>0.49</v>
      </c>
      <c r="AO126">
        <v>629.59</v>
      </c>
      <c r="AP126">
        <v>0</v>
      </c>
      <c r="AQ126">
        <v>71.06</v>
      </c>
      <c r="AR126">
        <v>0.04</v>
      </c>
      <c r="AS126">
        <v>0</v>
      </c>
      <c r="AT126">
        <v>95</v>
      </c>
      <c r="AU126">
        <v>47</v>
      </c>
      <c r="AV126">
        <v>1</v>
      </c>
      <c r="AW126">
        <v>1</v>
      </c>
      <c r="AZ126">
        <v>6.71</v>
      </c>
      <c r="BA126">
        <v>6.71</v>
      </c>
      <c r="BB126">
        <v>6.71</v>
      </c>
      <c r="BC126">
        <v>6.71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367</v>
      </c>
      <c r="BM126">
        <v>15001</v>
      </c>
      <c r="BN126">
        <v>0</v>
      </c>
      <c r="BO126" t="s">
        <v>3</v>
      </c>
      <c r="BP126">
        <v>0</v>
      </c>
      <c r="BQ126">
        <v>2</v>
      </c>
      <c r="BR126">
        <v>0</v>
      </c>
      <c r="BS126">
        <v>6.71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105</v>
      </c>
      <c r="CA126">
        <v>55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137"/>
        <v>366.90999999999997</v>
      </c>
      <c r="CQ126">
        <f t="shared" si="138"/>
        <v>594.30469999999991</v>
      </c>
      <c r="CR126">
        <f t="shared" si="139"/>
        <v>15.298799999999998</v>
      </c>
      <c r="CS126">
        <f t="shared" si="140"/>
        <v>3.2879</v>
      </c>
      <c r="CT126">
        <f t="shared" si="141"/>
        <v>4224.5488999999998</v>
      </c>
      <c r="CU126">
        <f t="shared" si="142"/>
        <v>0</v>
      </c>
      <c r="CV126">
        <f t="shared" si="143"/>
        <v>71.06</v>
      </c>
      <c r="CW126">
        <f t="shared" si="144"/>
        <v>0.04</v>
      </c>
      <c r="CX126">
        <f t="shared" si="145"/>
        <v>0</v>
      </c>
      <c r="CY126">
        <f t="shared" si="146"/>
        <v>304.84550000000002</v>
      </c>
      <c r="CZ126">
        <f t="shared" si="147"/>
        <v>150.81829999999999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1005</v>
      </c>
      <c r="DV126" t="s">
        <v>17</v>
      </c>
      <c r="DW126" t="s">
        <v>17</v>
      </c>
      <c r="DX126">
        <v>100</v>
      </c>
      <c r="EE126">
        <v>39174529</v>
      </c>
      <c r="EF126">
        <v>2</v>
      </c>
      <c r="EG126" t="s">
        <v>19</v>
      </c>
      <c r="EH126">
        <v>0</v>
      </c>
      <c r="EI126" t="s">
        <v>3</v>
      </c>
      <c r="EJ126">
        <v>1</v>
      </c>
      <c r="EK126">
        <v>15001</v>
      </c>
      <c r="EL126" t="s">
        <v>59</v>
      </c>
      <c r="EM126" t="s">
        <v>60</v>
      </c>
      <c r="EO126" t="s">
        <v>3</v>
      </c>
      <c r="EQ126">
        <v>0</v>
      </c>
      <c r="ER126">
        <v>720.44</v>
      </c>
      <c r="ES126">
        <v>88.57</v>
      </c>
      <c r="ET126">
        <v>2.2799999999999998</v>
      </c>
      <c r="EU126">
        <v>0.49</v>
      </c>
      <c r="EV126">
        <v>629.59</v>
      </c>
      <c r="EW126">
        <v>71.06</v>
      </c>
      <c r="EX126">
        <v>0.04</v>
      </c>
      <c r="EY126">
        <v>0</v>
      </c>
      <c r="FQ126">
        <v>0</v>
      </c>
      <c r="FR126">
        <f t="shared" si="148"/>
        <v>0</v>
      </c>
      <c r="FS126">
        <v>0</v>
      </c>
      <c r="FT126" t="s">
        <v>22</v>
      </c>
      <c r="FU126" t="s">
        <v>23</v>
      </c>
      <c r="FX126">
        <v>94.5</v>
      </c>
      <c r="FY126">
        <v>46.75</v>
      </c>
      <c r="GA126" t="s">
        <v>3</v>
      </c>
      <c r="GD126">
        <v>0</v>
      </c>
      <c r="GF126">
        <v>-1311473070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49"/>
        <v>0</v>
      </c>
      <c r="GM126">
        <f t="shared" si="150"/>
        <v>822.58</v>
      </c>
      <c r="GN126">
        <f t="shared" si="151"/>
        <v>822.58</v>
      </c>
      <c r="GO126">
        <f t="shared" si="152"/>
        <v>0</v>
      </c>
      <c r="GP126">
        <f t="shared" si="153"/>
        <v>0</v>
      </c>
      <c r="GR126">
        <v>0</v>
      </c>
      <c r="GS126">
        <v>0</v>
      </c>
      <c r="GT126">
        <v>0</v>
      </c>
      <c r="GU126" t="s">
        <v>3</v>
      </c>
      <c r="GV126">
        <f t="shared" si="154"/>
        <v>0</v>
      </c>
      <c r="GW126">
        <v>1</v>
      </c>
      <c r="GX126">
        <f t="shared" si="155"/>
        <v>0</v>
      </c>
      <c r="HA126">
        <v>0</v>
      </c>
      <c r="HB126">
        <v>0</v>
      </c>
      <c r="IK126">
        <v>0</v>
      </c>
    </row>
    <row r="127" spans="1:245" x14ac:dyDescent="0.2">
      <c r="A127">
        <v>18</v>
      </c>
      <c r="B127">
        <v>1</v>
      </c>
      <c r="C127">
        <v>180</v>
      </c>
      <c r="E127" t="s">
        <v>368</v>
      </c>
      <c r="F127" t="s">
        <v>369</v>
      </c>
      <c r="G127" t="s">
        <v>370</v>
      </c>
      <c r="H127" t="s">
        <v>110</v>
      </c>
      <c r="I127">
        <f>I126*J127</f>
        <v>1.867E-3</v>
      </c>
      <c r="J127">
        <v>2.4598155467720685E-2</v>
      </c>
      <c r="O127">
        <f t="shared" si="117"/>
        <v>0</v>
      </c>
      <c r="P127">
        <f t="shared" si="118"/>
        <v>0</v>
      </c>
      <c r="Q127">
        <f t="shared" si="119"/>
        <v>0</v>
      </c>
      <c r="R127">
        <f t="shared" si="120"/>
        <v>0</v>
      </c>
      <c r="S127">
        <f t="shared" si="121"/>
        <v>0</v>
      </c>
      <c r="T127">
        <f t="shared" si="122"/>
        <v>0</v>
      </c>
      <c r="U127">
        <f t="shared" si="123"/>
        <v>0</v>
      </c>
      <c r="V127">
        <f t="shared" si="124"/>
        <v>0</v>
      </c>
      <c r="W127">
        <f t="shared" si="125"/>
        <v>0</v>
      </c>
      <c r="X127">
        <f t="shared" si="126"/>
        <v>0</v>
      </c>
      <c r="Y127">
        <f t="shared" si="127"/>
        <v>0</v>
      </c>
      <c r="AA127">
        <v>39096431</v>
      </c>
      <c r="AB127">
        <f t="shared" si="128"/>
        <v>0</v>
      </c>
      <c r="AC127">
        <f t="shared" si="129"/>
        <v>0</v>
      </c>
      <c r="AD127">
        <f t="shared" si="130"/>
        <v>0</v>
      </c>
      <c r="AE127">
        <f t="shared" si="131"/>
        <v>0</v>
      </c>
      <c r="AF127">
        <f t="shared" si="132"/>
        <v>0</v>
      </c>
      <c r="AG127">
        <f t="shared" si="133"/>
        <v>0</v>
      </c>
      <c r="AH127">
        <f t="shared" si="134"/>
        <v>0</v>
      </c>
      <c r="AI127">
        <f t="shared" si="135"/>
        <v>0</v>
      </c>
      <c r="AJ127">
        <f t="shared" si="136"/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6.71</v>
      </c>
      <c r="BA127">
        <v>1</v>
      </c>
      <c r="BB127">
        <v>1</v>
      </c>
      <c r="BC127">
        <v>6.71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3</v>
      </c>
      <c r="BM127">
        <v>15001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37"/>
        <v>0</v>
      </c>
      <c r="CQ127">
        <f t="shared" si="138"/>
        <v>0</v>
      </c>
      <c r="CR127">
        <f t="shared" si="139"/>
        <v>0</v>
      </c>
      <c r="CS127">
        <f t="shared" si="140"/>
        <v>0</v>
      </c>
      <c r="CT127">
        <f t="shared" si="141"/>
        <v>0</v>
      </c>
      <c r="CU127">
        <f t="shared" si="142"/>
        <v>0</v>
      </c>
      <c r="CV127">
        <f t="shared" si="143"/>
        <v>0</v>
      </c>
      <c r="CW127">
        <f t="shared" si="144"/>
        <v>0</v>
      </c>
      <c r="CX127">
        <f t="shared" si="145"/>
        <v>0</v>
      </c>
      <c r="CY127">
        <f t="shared" si="146"/>
        <v>0</v>
      </c>
      <c r="CZ127">
        <f t="shared" si="147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110</v>
      </c>
      <c r="DW127" t="s">
        <v>110</v>
      </c>
      <c r="DX127">
        <v>1000</v>
      </c>
      <c r="EE127">
        <v>39174529</v>
      </c>
      <c r="EF127">
        <v>2</v>
      </c>
      <c r="EG127" t="s">
        <v>19</v>
      </c>
      <c r="EH127">
        <v>0</v>
      </c>
      <c r="EI127" t="s">
        <v>3</v>
      </c>
      <c r="EJ127">
        <v>1</v>
      </c>
      <c r="EK127">
        <v>15001</v>
      </c>
      <c r="EL127" t="s">
        <v>59</v>
      </c>
      <c r="EM127" t="s">
        <v>60</v>
      </c>
      <c r="EO127" t="s">
        <v>3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48"/>
        <v>0</v>
      </c>
      <c r="FS127">
        <v>0</v>
      </c>
      <c r="FT127" t="s">
        <v>22</v>
      </c>
      <c r="FU127" t="s">
        <v>23</v>
      </c>
      <c r="FX127">
        <v>94.5</v>
      </c>
      <c r="FY127">
        <v>46.75</v>
      </c>
      <c r="GA127" t="s">
        <v>3</v>
      </c>
      <c r="GD127">
        <v>0</v>
      </c>
      <c r="GF127">
        <v>84301199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49"/>
        <v>0</v>
      </c>
      <c r="GM127">
        <f t="shared" si="150"/>
        <v>0</v>
      </c>
      <c r="GN127">
        <f t="shared" si="151"/>
        <v>0</v>
      </c>
      <c r="GO127">
        <f t="shared" si="152"/>
        <v>0</v>
      </c>
      <c r="GP127">
        <f t="shared" si="153"/>
        <v>0</v>
      </c>
      <c r="GR127">
        <v>0</v>
      </c>
      <c r="GS127">
        <v>3</v>
      </c>
      <c r="GT127">
        <v>0</v>
      </c>
      <c r="GU127" t="s">
        <v>3</v>
      </c>
      <c r="GV127">
        <f t="shared" si="154"/>
        <v>0</v>
      </c>
      <c r="GW127">
        <v>1</v>
      </c>
      <c r="GX127">
        <f t="shared" si="155"/>
        <v>0</v>
      </c>
      <c r="HA127">
        <v>0</v>
      </c>
      <c r="HB127">
        <v>0</v>
      </c>
      <c r="IK127">
        <v>0</v>
      </c>
    </row>
    <row r="128" spans="1:245" x14ac:dyDescent="0.2">
      <c r="A128">
        <v>18</v>
      </c>
      <c r="B128">
        <v>1</v>
      </c>
      <c r="C128">
        <v>181</v>
      </c>
      <c r="E128" t="s">
        <v>371</v>
      </c>
      <c r="F128" t="s">
        <v>372</v>
      </c>
      <c r="G128" t="s">
        <v>373</v>
      </c>
      <c r="H128" t="s">
        <v>110</v>
      </c>
      <c r="I128">
        <f>I126*J128</f>
        <v>1.867E-3</v>
      </c>
      <c r="J128">
        <v>2.4598155467720685E-2</v>
      </c>
      <c r="O128">
        <f t="shared" si="117"/>
        <v>532.52</v>
      </c>
      <c r="P128">
        <f t="shared" si="118"/>
        <v>532.52</v>
      </c>
      <c r="Q128">
        <f t="shared" si="119"/>
        <v>0</v>
      </c>
      <c r="R128">
        <f t="shared" si="120"/>
        <v>0</v>
      </c>
      <c r="S128">
        <f t="shared" si="121"/>
        <v>0</v>
      </c>
      <c r="T128">
        <f t="shared" si="122"/>
        <v>0</v>
      </c>
      <c r="U128">
        <f t="shared" si="123"/>
        <v>0</v>
      </c>
      <c r="V128">
        <f t="shared" si="124"/>
        <v>0</v>
      </c>
      <c r="W128">
        <f t="shared" si="125"/>
        <v>0</v>
      </c>
      <c r="X128">
        <f t="shared" si="126"/>
        <v>0</v>
      </c>
      <c r="Y128">
        <f t="shared" si="127"/>
        <v>0</v>
      </c>
      <c r="AA128">
        <v>39096431</v>
      </c>
      <c r="AB128">
        <f t="shared" si="128"/>
        <v>42508.19</v>
      </c>
      <c r="AC128">
        <f t="shared" si="129"/>
        <v>42508.19</v>
      </c>
      <c r="AD128">
        <f t="shared" si="130"/>
        <v>0</v>
      </c>
      <c r="AE128">
        <f t="shared" si="131"/>
        <v>0</v>
      </c>
      <c r="AF128">
        <f t="shared" si="132"/>
        <v>0</v>
      </c>
      <c r="AG128">
        <f t="shared" si="133"/>
        <v>0</v>
      </c>
      <c r="AH128">
        <f t="shared" si="134"/>
        <v>0</v>
      </c>
      <c r="AI128">
        <f t="shared" si="135"/>
        <v>0</v>
      </c>
      <c r="AJ128">
        <f t="shared" si="136"/>
        <v>0</v>
      </c>
      <c r="AK128">
        <v>42508.19</v>
      </c>
      <c r="AL128">
        <v>42508.19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95</v>
      </c>
      <c r="AU128">
        <v>47</v>
      </c>
      <c r="AV128">
        <v>1</v>
      </c>
      <c r="AW128">
        <v>1</v>
      </c>
      <c r="AZ128">
        <v>6.71</v>
      </c>
      <c r="BA128">
        <v>1</v>
      </c>
      <c r="BB128">
        <v>1</v>
      </c>
      <c r="BC128">
        <v>6.71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374</v>
      </c>
      <c r="BM128">
        <v>15001</v>
      </c>
      <c r="BN128">
        <v>0</v>
      </c>
      <c r="BO128" t="s">
        <v>3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105</v>
      </c>
      <c r="CA128">
        <v>55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137"/>
        <v>532.52</v>
      </c>
      <c r="CQ128">
        <f t="shared" si="138"/>
        <v>285229.95490000001</v>
      </c>
      <c r="CR128">
        <f t="shared" si="139"/>
        <v>0</v>
      </c>
      <c r="CS128">
        <f t="shared" si="140"/>
        <v>0</v>
      </c>
      <c r="CT128">
        <f t="shared" si="141"/>
        <v>0</v>
      </c>
      <c r="CU128">
        <f t="shared" si="142"/>
        <v>0</v>
      </c>
      <c r="CV128">
        <f t="shared" si="143"/>
        <v>0</v>
      </c>
      <c r="CW128">
        <f t="shared" si="144"/>
        <v>0</v>
      </c>
      <c r="CX128">
        <f t="shared" si="145"/>
        <v>0</v>
      </c>
      <c r="CY128">
        <f t="shared" si="146"/>
        <v>0</v>
      </c>
      <c r="CZ128">
        <f t="shared" si="147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1009</v>
      </c>
      <c r="DV128" t="s">
        <v>110</v>
      </c>
      <c r="DW128" t="s">
        <v>110</v>
      </c>
      <c r="DX128">
        <v>1000</v>
      </c>
      <c r="EE128">
        <v>39174529</v>
      </c>
      <c r="EF128">
        <v>2</v>
      </c>
      <c r="EG128" t="s">
        <v>19</v>
      </c>
      <c r="EH128">
        <v>0</v>
      </c>
      <c r="EI128" t="s">
        <v>3</v>
      </c>
      <c r="EJ128">
        <v>1</v>
      </c>
      <c r="EK128">
        <v>15001</v>
      </c>
      <c r="EL128" t="s">
        <v>59</v>
      </c>
      <c r="EM128" t="s">
        <v>60</v>
      </c>
      <c r="EO128" t="s">
        <v>3</v>
      </c>
      <c r="EQ128">
        <v>0</v>
      </c>
      <c r="ER128">
        <v>42508.19</v>
      </c>
      <c r="ES128">
        <v>42508.19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48"/>
        <v>0</v>
      </c>
      <c r="FS128">
        <v>0</v>
      </c>
      <c r="FT128" t="s">
        <v>22</v>
      </c>
      <c r="FU128" t="s">
        <v>23</v>
      </c>
      <c r="FX128">
        <v>94.5</v>
      </c>
      <c r="FY128">
        <v>46.75</v>
      </c>
      <c r="GA128" t="s">
        <v>3</v>
      </c>
      <c r="GD128">
        <v>0</v>
      </c>
      <c r="GF128">
        <v>-777870615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49"/>
        <v>0</v>
      </c>
      <c r="GM128">
        <f t="shared" si="150"/>
        <v>532.52</v>
      </c>
      <c r="GN128">
        <f t="shared" si="151"/>
        <v>532.52</v>
      </c>
      <c r="GO128">
        <f t="shared" si="152"/>
        <v>0</v>
      </c>
      <c r="GP128">
        <f t="shared" si="153"/>
        <v>0</v>
      </c>
      <c r="GR128">
        <v>0</v>
      </c>
      <c r="GS128">
        <v>0</v>
      </c>
      <c r="GT128">
        <v>0</v>
      </c>
      <c r="GU128" t="s">
        <v>3</v>
      </c>
      <c r="GV128">
        <f t="shared" si="154"/>
        <v>0</v>
      </c>
      <c r="GW128">
        <v>1</v>
      </c>
      <c r="GX128">
        <f t="shared" si="155"/>
        <v>0</v>
      </c>
      <c r="HA128">
        <v>0</v>
      </c>
      <c r="HB128">
        <v>0</v>
      </c>
      <c r="IK128">
        <v>0</v>
      </c>
    </row>
    <row r="129" spans="1:245" x14ac:dyDescent="0.2">
      <c r="A129">
        <v>17</v>
      </c>
      <c r="B129">
        <v>1</v>
      </c>
      <c r="C129">
        <f>ROW(SmtRes!A183)</f>
        <v>183</v>
      </c>
      <c r="D129">
        <f>ROW(EtalonRes!A182)</f>
        <v>182</v>
      </c>
      <c r="E129" t="s">
        <v>375</v>
      </c>
      <c r="F129" t="s">
        <v>376</v>
      </c>
      <c r="G129" t="s">
        <v>377</v>
      </c>
      <c r="H129" t="s">
        <v>39</v>
      </c>
      <c r="I129">
        <v>0.23</v>
      </c>
      <c r="J129">
        <v>0</v>
      </c>
      <c r="O129">
        <f t="shared" si="117"/>
        <v>207.08</v>
      </c>
      <c r="P129">
        <f t="shared" si="118"/>
        <v>0</v>
      </c>
      <c r="Q129">
        <f t="shared" si="119"/>
        <v>0</v>
      </c>
      <c r="R129">
        <f t="shared" si="120"/>
        <v>0</v>
      </c>
      <c r="S129">
        <f t="shared" si="121"/>
        <v>207.08</v>
      </c>
      <c r="T129">
        <f t="shared" si="122"/>
        <v>0</v>
      </c>
      <c r="U129">
        <f t="shared" si="123"/>
        <v>3.6179000000000001</v>
      </c>
      <c r="V129">
        <f t="shared" si="124"/>
        <v>0</v>
      </c>
      <c r="W129">
        <f t="shared" si="125"/>
        <v>0</v>
      </c>
      <c r="X129">
        <f t="shared" si="126"/>
        <v>153.24</v>
      </c>
      <c r="Y129">
        <f t="shared" si="127"/>
        <v>103.54</v>
      </c>
      <c r="AA129">
        <v>39096431</v>
      </c>
      <c r="AB129">
        <f t="shared" si="128"/>
        <v>134.18</v>
      </c>
      <c r="AC129">
        <f t="shared" si="129"/>
        <v>0</v>
      </c>
      <c r="AD129">
        <f t="shared" si="130"/>
        <v>0</v>
      </c>
      <c r="AE129">
        <f t="shared" si="131"/>
        <v>0</v>
      </c>
      <c r="AF129">
        <f t="shared" si="132"/>
        <v>134.18</v>
      </c>
      <c r="AG129">
        <f t="shared" si="133"/>
        <v>0</v>
      </c>
      <c r="AH129">
        <f t="shared" si="134"/>
        <v>15.73</v>
      </c>
      <c r="AI129">
        <f t="shared" si="135"/>
        <v>0</v>
      </c>
      <c r="AJ129">
        <f t="shared" si="136"/>
        <v>0</v>
      </c>
      <c r="AK129">
        <v>134.18</v>
      </c>
      <c r="AL129">
        <v>0</v>
      </c>
      <c r="AM129">
        <v>0</v>
      </c>
      <c r="AN129">
        <v>0</v>
      </c>
      <c r="AO129">
        <v>134.18</v>
      </c>
      <c r="AP129">
        <v>0</v>
      </c>
      <c r="AQ129">
        <v>15.73</v>
      </c>
      <c r="AR129">
        <v>0</v>
      </c>
      <c r="AS129">
        <v>0</v>
      </c>
      <c r="AT129">
        <v>74</v>
      </c>
      <c r="AU129">
        <v>50</v>
      </c>
      <c r="AV129">
        <v>1</v>
      </c>
      <c r="AW129">
        <v>1</v>
      </c>
      <c r="AZ129">
        <v>6.71</v>
      </c>
      <c r="BA129">
        <v>6.71</v>
      </c>
      <c r="BB129">
        <v>6.71</v>
      </c>
      <c r="BC129">
        <v>6.71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1</v>
      </c>
      <c r="BJ129" t="s">
        <v>378</v>
      </c>
      <c r="BM129">
        <v>65004</v>
      </c>
      <c r="BN129">
        <v>0</v>
      </c>
      <c r="BO129" t="s">
        <v>3</v>
      </c>
      <c r="BP129">
        <v>0</v>
      </c>
      <c r="BQ129">
        <v>6</v>
      </c>
      <c r="BR129">
        <v>0</v>
      </c>
      <c r="BS129">
        <v>6.71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74</v>
      </c>
      <c r="CA129">
        <v>50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37"/>
        <v>207.08</v>
      </c>
      <c r="CQ129">
        <f t="shared" si="138"/>
        <v>0</v>
      </c>
      <c r="CR129">
        <f t="shared" si="139"/>
        <v>0</v>
      </c>
      <c r="CS129">
        <f t="shared" si="140"/>
        <v>0</v>
      </c>
      <c r="CT129">
        <f t="shared" si="141"/>
        <v>900.34780000000001</v>
      </c>
      <c r="CU129">
        <f t="shared" si="142"/>
        <v>0</v>
      </c>
      <c r="CV129">
        <f t="shared" si="143"/>
        <v>15.73</v>
      </c>
      <c r="CW129">
        <f t="shared" si="144"/>
        <v>0</v>
      </c>
      <c r="CX129">
        <f t="shared" si="145"/>
        <v>0</v>
      </c>
      <c r="CY129">
        <f t="shared" si="146"/>
        <v>153.23920000000001</v>
      </c>
      <c r="CZ129">
        <f t="shared" si="147"/>
        <v>103.54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39</v>
      </c>
      <c r="DW129" t="s">
        <v>39</v>
      </c>
      <c r="DX129">
        <v>1</v>
      </c>
      <c r="EE129">
        <v>39174595</v>
      </c>
      <c r="EF129">
        <v>6</v>
      </c>
      <c r="EG129" t="s">
        <v>29</v>
      </c>
      <c r="EH129">
        <v>0</v>
      </c>
      <c r="EI129" t="s">
        <v>3</v>
      </c>
      <c r="EJ129">
        <v>1</v>
      </c>
      <c r="EK129">
        <v>65004</v>
      </c>
      <c r="EL129" t="s">
        <v>337</v>
      </c>
      <c r="EM129" t="s">
        <v>42</v>
      </c>
      <c r="EO129" t="s">
        <v>3</v>
      </c>
      <c r="EQ129">
        <v>0</v>
      </c>
      <c r="ER129">
        <v>134.18</v>
      </c>
      <c r="ES129">
        <v>0</v>
      </c>
      <c r="ET129">
        <v>0</v>
      </c>
      <c r="EU129">
        <v>0</v>
      </c>
      <c r="EV129">
        <v>134.18</v>
      </c>
      <c r="EW129">
        <v>15.73</v>
      </c>
      <c r="EX129">
        <v>0</v>
      </c>
      <c r="EY129">
        <v>0</v>
      </c>
      <c r="FQ129">
        <v>0</v>
      </c>
      <c r="FR129">
        <f t="shared" si="148"/>
        <v>0</v>
      </c>
      <c r="FS129">
        <v>0</v>
      </c>
      <c r="FX129">
        <v>74</v>
      </c>
      <c r="FY129">
        <v>50</v>
      </c>
      <c r="GA129" t="s">
        <v>3</v>
      </c>
      <c r="GD129">
        <v>0</v>
      </c>
      <c r="GF129">
        <v>-1983226121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49"/>
        <v>0</v>
      </c>
      <c r="GM129">
        <f t="shared" si="150"/>
        <v>463.86</v>
      </c>
      <c r="GN129">
        <f t="shared" si="151"/>
        <v>463.86</v>
      </c>
      <c r="GO129">
        <f t="shared" si="152"/>
        <v>0</v>
      </c>
      <c r="GP129">
        <f t="shared" si="153"/>
        <v>0</v>
      </c>
      <c r="GR129">
        <v>0</v>
      </c>
      <c r="GS129">
        <v>0</v>
      </c>
      <c r="GT129">
        <v>0</v>
      </c>
      <c r="GU129" t="s">
        <v>3</v>
      </c>
      <c r="GV129">
        <f t="shared" si="154"/>
        <v>0</v>
      </c>
      <c r="GW129">
        <v>1</v>
      </c>
      <c r="GX129">
        <f t="shared" si="155"/>
        <v>0</v>
      </c>
      <c r="HA129">
        <v>0</v>
      </c>
      <c r="HB129">
        <v>0</v>
      </c>
      <c r="IK129">
        <v>0</v>
      </c>
    </row>
    <row r="131" spans="1:245" x14ac:dyDescent="0.2">
      <c r="A131" s="2">
        <v>51</v>
      </c>
      <c r="B131" s="2">
        <f>B116</f>
        <v>1</v>
      </c>
      <c r="C131" s="2">
        <f>A116</f>
        <v>4</v>
      </c>
      <c r="D131" s="2">
        <f>ROW(A116)</f>
        <v>116</v>
      </c>
      <c r="E131" s="2"/>
      <c r="F131" s="2" t="str">
        <f>IF(F116&lt;&gt;"",F116,"")</f>
        <v>Новый раздел</v>
      </c>
      <c r="G131" s="2" t="str">
        <f>IF(G116&lt;&gt;"",G116,"")</f>
        <v>2 Отопление</v>
      </c>
      <c r="H131" s="2">
        <v>0</v>
      </c>
      <c r="I131" s="2"/>
      <c r="J131" s="2"/>
      <c r="K131" s="2"/>
      <c r="L131" s="2"/>
      <c r="M131" s="2"/>
      <c r="N131" s="2"/>
      <c r="O131" s="2">
        <f t="shared" ref="O131:T131" si="156">ROUND(AB131,2)</f>
        <v>271390.37</v>
      </c>
      <c r="P131" s="2">
        <f t="shared" si="156"/>
        <v>261445.56</v>
      </c>
      <c r="Q131" s="2">
        <f t="shared" si="156"/>
        <v>1874.3</v>
      </c>
      <c r="R131" s="2">
        <f t="shared" si="156"/>
        <v>221.75</v>
      </c>
      <c r="S131" s="2">
        <f t="shared" si="156"/>
        <v>8070.51</v>
      </c>
      <c r="T131" s="2">
        <f t="shared" si="156"/>
        <v>0</v>
      </c>
      <c r="U131" s="2">
        <f>AH131</f>
        <v>136.69410599999998</v>
      </c>
      <c r="V131" s="2">
        <f>AI131</f>
        <v>2.6368855999999994</v>
      </c>
      <c r="W131" s="2">
        <f>ROUND(AJ131,2)</f>
        <v>0</v>
      </c>
      <c r="X131" s="2">
        <f>ROUND(AK131,2)</f>
        <v>8820.1200000000008</v>
      </c>
      <c r="Y131" s="2">
        <f>ROUND(AL131,2)</f>
        <v>5476.64</v>
      </c>
      <c r="Z131" s="2"/>
      <c r="AA131" s="2"/>
      <c r="AB131" s="2">
        <f>ROUND(SUMIF(AA120:AA129,"=39096431",O120:O129),2)</f>
        <v>271390.37</v>
      </c>
      <c r="AC131" s="2">
        <f>ROUND(SUMIF(AA120:AA129,"=39096431",P120:P129),2)</f>
        <v>261445.56</v>
      </c>
      <c r="AD131" s="2">
        <f>ROUND(SUMIF(AA120:AA129,"=39096431",Q120:Q129),2)</f>
        <v>1874.3</v>
      </c>
      <c r="AE131" s="2">
        <f>ROUND(SUMIF(AA120:AA129,"=39096431",R120:R129),2)</f>
        <v>221.75</v>
      </c>
      <c r="AF131" s="2">
        <f>ROUND(SUMIF(AA120:AA129,"=39096431",S120:S129),2)</f>
        <v>8070.51</v>
      </c>
      <c r="AG131" s="2">
        <f>ROUND(SUMIF(AA120:AA129,"=39096431",T120:T129),2)</f>
        <v>0</v>
      </c>
      <c r="AH131" s="2">
        <f>SUMIF(AA120:AA129,"=39096431",U120:U129)</f>
        <v>136.69410599999998</v>
      </c>
      <c r="AI131" s="2">
        <f>SUMIF(AA120:AA129,"=39096431",V120:V129)</f>
        <v>2.6368855999999994</v>
      </c>
      <c r="AJ131" s="2">
        <f>ROUND(SUMIF(AA120:AA129,"=39096431",W120:W129),2)</f>
        <v>0</v>
      </c>
      <c r="AK131" s="2">
        <f>ROUND(SUMIF(AA120:AA129,"=39096431",X120:X129),2)</f>
        <v>8820.1200000000008</v>
      </c>
      <c r="AL131" s="2">
        <f>ROUND(SUMIF(AA120:AA129,"=39096431",Y120:Y129),2)</f>
        <v>5476.64</v>
      </c>
      <c r="AM131" s="2"/>
      <c r="AN131" s="2"/>
      <c r="AO131" s="2">
        <f t="shared" ref="AO131:BC131" si="157">ROUND(BX131,2)</f>
        <v>0</v>
      </c>
      <c r="AP131" s="2">
        <f t="shared" si="157"/>
        <v>0</v>
      </c>
      <c r="AQ131" s="2">
        <f t="shared" si="157"/>
        <v>0</v>
      </c>
      <c r="AR131" s="2">
        <f t="shared" si="157"/>
        <v>285687.13</v>
      </c>
      <c r="AS131" s="2">
        <f t="shared" si="157"/>
        <v>285687.13</v>
      </c>
      <c r="AT131" s="2">
        <f t="shared" si="157"/>
        <v>0</v>
      </c>
      <c r="AU131" s="2">
        <f t="shared" si="157"/>
        <v>0</v>
      </c>
      <c r="AV131" s="2">
        <f t="shared" si="157"/>
        <v>261445.56</v>
      </c>
      <c r="AW131" s="2">
        <f t="shared" si="157"/>
        <v>261445.56</v>
      </c>
      <c r="AX131" s="2">
        <f t="shared" si="157"/>
        <v>0</v>
      </c>
      <c r="AY131" s="2">
        <f t="shared" si="157"/>
        <v>261445.56</v>
      </c>
      <c r="AZ131" s="2">
        <f t="shared" si="157"/>
        <v>0</v>
      </c>
      <c r="BA131" s="2">
        <f t="shared" si="157"/>
        <v>0</v>
      </c>
      <c r="BB131" s="2">
        <f t="shared" si="157"/>
        <v>0</v>
      </c>
      <c r="BC131" s="2">
        <f t="shared" si="157"/>
        <v>0</v>
      </c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>
        <f>ROUND(SUMIF(AA120:AA129,"=39096431",FQ120:FQ129),2)</f>
        <v>0</v>
      </c>
      <c r="BY131" s="2">
        <f>ROUND(SUMIF(AA120:AA129,"=39096431",FR120:FR129),2)</f>
        <v>0</v>
      </c>
      <c r="BZ131" s="2">
        <f>ROUND(SUMIF(AA120:AA129,"=39096431",GL120:GL129),2)</f>
        <v>0</v>
      </c>
      <c r="CA131" s="2">
        <f>ROUND(SUMIF(AA120:AA129,"=39096431",GM120:GM129),2)</f>
        <v>285687.13</v>
      </c>
      <c r="CB131" s="2">
        <f>ROUND(SUMIF(AA120:AA129,"=39096431",GN120:GN129),2)</f>
        <v>285687.13</v>
      </c>
      <c r="CC131" s="2">
        <f>ROUND(SUMIF(AA120:AA129,"=39096431",GO120:GO129),2)</f>
        <v>0</v>
      </c>
      <c r="CD131" s="2">
        <f>ROUND(SUMIF(AA120:AA129,"=39096431",GP120:GP129),2)</f>
        <v>0</v>
      </c>
      <c r="CE131" s="2">
        <f>AC131-BX131</f>
        <v>261445.56</v>
      </c>
      <c r="CF131" s="2">
        <f>AC131-BY131</f>
        <v>261445.56</v>
      </c>
      <c r="CG131" s="2">
        <f>BX131-BZ131</f>
        <v>0</v>
      </c>
      <c r="CH131" s="2">
        <f>AC131-BX131-BY131+BZ131</f>
        <v>261445.56</v>
      </c>
      <c r="CI131" s="2">
        <f>BY131-BZ131</f>
        <v>0</v>
      </c>
      <c r="CJ131" s="2">
        <f>ROUND(SUMIF(AA120:AA129,"=39096431",GX120:GX129),2)</f>
        <v>0</v>
      </c>
      <c r="CK131" s="2">
        <f>ROUND(SUMIF(AA120:AA129,"=39096431",GY120:GY129),2)</f>
        <v>0</v>
      </c>
      <c r="CL131" s="2">
        <f>ROUND(SUMIF(AA120:AA129,"=39096431",GZ120:GZ129),2)</f>
        <v>0</v>
      </c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>
        <v>0</v>
      </c>
    </row>
    <row r="133" spans="1:245" x14ac:dyDescent="0.2">
      <c r="A133" s="4">
        <v>50</v>
      </c>
      <c r="B133" s="4">
        <v>0</v>
      </c>
      <c r="C133" s="4">
        <v>0</v>
      </c>
      <c r="D133" s="4">
        <v>1</v>
      </c>
      <c r="E133" s="4">
        <v>201</v>
      </c>
      <c r="F133" s="4">
        <f>ROUND(Source!O131,O133)</f>
        <v>271390.37</v>
      </c>
      <c r="G133" s="4" t="s">
        <v>280</v>
      </c>
      <c r="H133" s="4" t="s">
        <v>281</v>
      </c>
      <c r="I133" s="4"/>
      <c r="J133" s="4"/>
      <c r="K133" s="4">
        <v>201</v>
      </c>
      <c r="L133" s="4">
        <v>1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45" x14ac:dyDescent="0.2">
      <c r="A134" s="4">
        <v>50</v>
      </c>
      <c r="B134" s="4">
        <v>0</v>
      </c>
      <c r="C134" s="4">
        <v>0</v>
      </c>
      <c r="D134" s="4">
        <v>1</v>
      </c>
      <c r="E134" s="4">
        <v>202</v>
      </c>
      <c r="F134" s="4">
        <f>ROUND(Source!P131,O134)</f>
        <v>261445.56</v>
      </c>
      <c r="G134" s="4" t="s">
        <v>282</v>
      </c>
      <c r="H134" s="4" t="s">
        <v>283</v>
      </c>
      <c r="I134" s="4"/>
      <c r="J134" s="4"/>
      <c r="K134" s="4">
        <v>202</v>
      </c>
      <c r="L134" s="4">
        <v>2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45" x14ac:dyDescent="0.2">
      <c r="A135" s="4">
        <v>50</v>
      </c>
      <c r="B135" s="4">
        <v>0</v>
      </c>
      <c r="C135" s="4">
        <v>0</v>
      </c>
      <c r="D135" s="4">
        <v>1</v>
      </c>
      <c r="E135" s="4">
        <v>222</v>
      </c>
      <c r="F135" s="4">
        <f>ROUND(Source!AO131,O135)</f>
        <v>0</v>
      </c>
      <c r="G135" s="4" t="s">
        <v>284</v>
      </c>
      <c r="H135" s="4" t="s">
        <v>285</v>
      </c>
      <c r="I135" s="4"/>
      <c r="J135" s="4"/>
      <c r="K135" s="4">
        <v>222</v>
      </c>
      <c r="L135" s="4">
        <v>3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45" x14ac:dyDescent="0.2">
      <c r="A136" s="4">
        <v>50</v>
      </c>
      <c r="B136" s="4">
        <v>0</v>
      </c>
      <c r="C136" s="4">
        <v>0</v>
      </c>
      <c r="D136" s="4">
        <v>1</v>
      </c>
      <c r="E136" s="4">
        <v>225</v>
      </c>
      <c r="F136" s="4">
        <f>ROUND(Source!AV131,O136)</f>
        <v>261445.56</v>
      </c>
      <c r="G136" s="4" t="s">
        <v>286</v>
      </c>
      <c r="H136" s="4" t="s">
        <v>287</v>
      </c>
      <c r="I136" s="4"/>
      <c r="J136" s="4"/>
      <c r="K136" s="4">
        <v>225</v>
      </c>
      <c r="L136" s="4">
        <v>4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45" x14ac:dyDescent="0.2">
      <c r="A137" s="4">
        <v>50</v>
      </c>
      <c r="B137" s="4">
        <v>0</v>
      </c>
      <c r="C137" s="4">
        <v>0</v>
      </c>
      <c r="D137" s="4">
        <v>1</v>
      </c>
      <c r="E137" s="4">
        <v>226</v>
      </c>
      <c r="F137" s="4">
        <f>ROUND(Source!AW131,O137)</f>
        <v>261445.56</v>
      </c>
      <c r="G137" s="4" t="s">
        <v>288</v>
      </c>
      <c r="H137" s="4" t="s">
        <v>289</v>
      </c>
      <c r="I137" s="4"/>
      <c r="J137" s="4"/>
      <c r="K137" s="4">
        <v>226</v>
      </c>
      <c r="L137" s="4">
        <v>5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45" x14ac:dyDescent="0.2">
      <c r="A138" s="4">
        <v>50</v>
      </c>
      <c r="B138" s="4">
        <v>0</v>
      </c>
      <c r="C138" s="4">
        <v>0</v>
      </c>
      <c r="D138" s="4">
        <v>1</v>
      </c>
      <c r="E138" s="4">
        <v>227</v>
      </c>
      <c r="F138" s="4">
        <f>ROUND(Source!AX131,O138)</f>
        <v>0</v>
      </c>
      <c r="G138" s="4" t="s">
        <v>290</v>
      </c>
      <c r="H138" s="4" t="s">
        <v>291</v>
      </c>
      <c r="I138" s="4"/>
      <c r="J138" s="4"/>
      <c r="K138" s="4">
        <v>227</v>
      </c>
      <c r="L138" s="4">
        <v>6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45" x14ac:dyDescent="0.2">
      <c r="A139" s="4">
        <v>50</v>
      </c>
      <c r="B139" s="4">
        <v>0</v>
      </c>
      <c r="C139" s="4">
        <v>0</v>
      </c>
      <c r="D139" s="4">
        <v>1</v>
      </c>
      <c r="E139" s="4">
        <v>228</v>
      </c>
      <c r="F139" s="4">
        <f>ROUND(Source!AY131,O139)</f>
        <v>261445.56</v>
      </c>
      <c r="G139" s="4" t="s">
        <v>292</v>
      </c>
      <c r="H139" s="4" t="s">
        <v>293</v>
      </c>
      <c r="I139" s="4"/>
      <c r="J139" s="4"/>
      <c r="K139" s="4">
        <v>228</v>
      </c>
      <c r="L139" s="4">
        <v>7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45" x14ac:dyDescent="0.2">
      <c r="A140" s="4">
        <v>50</v>
      </c>
      <c r="B140" s="4">
        <v>0</v>
      </c>
      <c r="C140" s="4">
        <v>0</v>
      </c>
      <c r="D140" s="4">
        <v>1</v>
      </c>
      <c r="E140" s="4">
        <v>216</v>
      </c>
      <c r="F140" s="4">
        <f>ROUND(Source!AP131,O140)</f>
        <v>0</v>
      </c>
      <c r="G140" s="4" t="s">
        <v>294</v>
      </c>
      <c r="H140" s="4" t="s">
        <v>295</v>
      </c>
      <c r="I140" s="4"/>
      <c r="J140" s="4"/>
      <c r="K140" s="4">
        <v>216</v>
      </c>
      <c r="L140" s="4">
        <v>8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45" x14ac:dyDescent="0.2">
      <c r="A141" s="4">
        <v>50</v>
      </c>
      <c r="B141" s="4">
        <v>0</v>
      </c>
      <c r="C141" s="4">
        <v>0</v>
      </c>
      <c r="D141" s="4">
        <v>1</v>
      </c>
      <c r="E141" s="4">
        <v>223</v>
      </c>
      <c r="F141" s="4">
        <f>ROUND(Source!AQ131,O141)</f>
        <v>0</v>
      </c>
      <c r="G141" s="4" t="s">
        <v>296</v>
      </c>
      <c r="H141" s="4" t="s">
        <v>297</v>
      </c>
      <c r="I141" s="4"/>
      <c r="J141" s="4"/>
      <c r="K141" s="4">
        <v>223</v>
      </c>
      <c r="L141" s="4">
        <v>9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45" x14ac:dyDescent="0.2">
      <c r="A142" s="4">
        <v>50</v>
      </c>
      <c r="B142" s="4">
        <v>0</v>
      </c>
      <c r="C142" s="4">
        <v>0</v>
      </c>
      <c r="D142" s="4">
        <v>1</v>
      </c>
      <c r="E142" s="4">
        <v>229</v>
      </c>
      <c r="F142" s="4">
        <f>ROUND(Source!AZ131,O142)</f>
        <v>0</v>
      </c>
      <c r="G142" s="4" t="s">
        <v>298</v>
      </c>
      <c r="H142" s="4" t="s">
        <v>299</v>
      </c>
      <c r="I142" s="4"/>
      <c r="J142" s="4"/>
      <c r="K142" s="4">
        <v>229</v>
      </c>
      <c r="L142" s="4">
        <v>10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45" x14ac:dyDescent="0.2">
      <c r="A143" s="4">
        <v>50</v>
      </c>
      <c r="B143" s="4">
        <v>0</v>
      </c>
      <c r="C143" s="4">
        <v>0</v>
      </c>
      <c r="D143" s="4">
        <v>1</v>
      </c>
      <c r="E143" s="4">
        <v>203</v>
      </c>
      <c r="F143" s="4">
        <f>ROUND(Source!Q131,O143)</f>
        <v>1874.3</v>
      </c>
      <c r="G143" s="4" t="s">
        <v>300</v>
      </c>
      <c r="H143" s="4" t="s">
        <v>301</v>
      </c>
      <c r="I143" s="4"/>
      <c r="J143" s="4"/>
      <c r="K143" s="4">
        <v>203</v>
      </c>
      <c r="L143" s="4">
        <v>11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45" x14ac:dyDescent="0.2">
      <c r="A144" s="4">
        <v>50</v>
      </c>
      <c r="B144" s="4">
        <v>0</v>
      </c>
      <c r="C144" s="4">
        <v>0</v>
      </c>
      <c r="D144" s="4">
        <v>1</v>
      </c>
      <c r="E144" s="4">
        <v>231</v>
      </c>
      <c r="F144" s="4">
        <f>ROUND(Source!BB131,O144)</f>
        <v>0</v>
      </c>
      <c r="G144" s="4" t="s">
        <v>302</v>
      </c>
      <c r="H144" s="4" t="s">
        <v>303</v>
      </c>
      <c r="I144" s="4"/>
      <c r="J144" s="4"/>
      <c r="K144" s="4">
        <v>231</v>
      </c>
      <c r="L144" s="4">
        <v>12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88" x14ac:dyDescent="0.2">
      <c r="A145" s="4">
        <v>50</v>
      </c>
      <c r="B145" s="4">
        <v>0</v>
      </c>
      <c r="C145" s="4">
        <v>0</v>
      </c>
      <c r="D145" s="4">
        <v>1</v>
      </c>
      <c r="E145" s="4">
        <v>204</v>
      </c>
      <c r="F145" s="4">
        <f>ROUND(Source!R131,O145)</f>
        <v>221.75</v>
      </c>
      <c r="G145" s="4" t="s">
        <v>304</v>
      </c>
      <c r="H145" s="4" t="s">
        <v>305</v>
      </c>
      <c r="I145" s="4"/>
      <c r="J145" s="4"/>
      <c r="K145" s="4">
        <v>204</v>
      </c>
      <c r="L145" s="4">
        <v>13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88" x14ac:dyDescent="0.2">
      <c r="A146" s="4">
        <v>50</v>
      </c>
      <c r="B146" s="4">
        <v>0</v>
      </c>
      <c r="C146" s="4">
        <v>0</v>
      </c>
      <c r="D146" s="4">
        <v>1</v>
      </c>
      <c r="E146" s="4">
        <v>205</v>
      </c>
      <c r="F146" s="4">
        <f>ROUND(Source!S131,O146)</f>
        <v>8070.51</v>
      </c>
      <c r="G146" s="4" t="s">
        <v>306</v>
      </c>
      <c r="H146" s="4" t="s">
        <v>307</v>
      </c>
      <c r="I146" s="4"/>
      <c r="J146" s="4"/>
      <c r="K146" s="4">
        <v>205</v>
      </c>
      <c r="L146" s="4">
        <v>14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88" x14ac:dyDescent="0.2">
      <c r="A147" s="4">
        <v>50</v>
      </c>
      <c r="B147" s="4">
        <v>0</v>
      </c>
      <c r="C147" s="4">
        <v>0</v>
      </c>
      <c r="D147" s="4">
        <v>1</v>
      </c>
      <c r="E147" s="4">
        <v>232</v>
      </c>
      <c r="F147" s="4">
        <f>ROUND(Source!BC131,O147)</f>
        <v>0</v>
      </c>
      <c r="G147" s="4" t="s">
        <v>308</v>
      </c>
      <c r="H147" s="4" t="s">
        <v>309</v>
      </c>
      <c r="I147" s="4"/>
      <c r="J147" s="4"/>
      <c r="K147" s="4">
        <v>232</v>
      </c>
      <c r="L147" s="4">
        <v>15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88" x14ac:dyDescent="0.2">
      <c r="A148" s="4">
        <v>50</v>
      </c>
      <c r="B148" s="4">
        <v>0</v>
      </c>
      <c r="C148" s="4">
        <v>0</v>
      </c>
      <c r="D148" s="4">
        <v>1</v>
      </c>
      <c r="E148" s="4">
        <v>214</v>
      </c>
      <c r="F148" s="4">
        <f>ROUND(Source!AS131,O148)</f>
        <v>285687.13</v>
      </c>
      <c r="G148" s="4" t="s">
        <v>310</v>
      </c>
      <c r="H148" s="4" t="s">
        <v>311</v>
      </c>
      <c r="I148" s="4"/>
      <c r="J148" s="4"/>
      <c r="K148" s="4">
        <v>214</v>
      </c>
      <c r="L148" s="4">
        <v>16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88" x14ac:dyDescent="0.2">
      <c r="A149" s="4">
        <v>50</v>
      </c>
      <c r="B149" s="4">
        <v>0</v>
      </c>
      <c r="C149" s="4">
        <v>0</v>
      </c>
      <c r="D149" s="4">
        <v>1</v>
      </c>
      <c r="E149" s="4">
        <v>215</v>
      </c>
      <c r="F149" s="4">
        <f>ROUND(Source!AT131,O149)</f>
        <v>0</v>
      </c>
      <c r="G149" s="4" t="s">
        <v>312</v>
      </c>
      <c r="H149" s="4" t="s">
        <v>313</v>
      </c>
      <c r="I149" s="4"/>
      <c r="J149" s="4"/>
      <c r="K149" s="4">
        <v>215</v>
      </c>
      <c r="L149" s="4">
        <v>17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88" x14ac:dyDescent="0.2">
      <c r="A150" s="4">
        <v>50</v>
      </c>
      <c r="B150" s="4">
        <v>0</v>
      </c>
      <c r="C150" s="4">
        <v>0</v>
      </c>
      <c r="D150" s="4">
        <v>1</v>
      </c>
      <c r="E150" s="4">
        <v>217</v>
      </c>
      <c r="F150" s="4">
        <f>ROUND(Source!AU131,O150)</f>
        <v>0</v>
      </c>
      <c r="G150" s="4" t="s">
        <v>314</v>
      </c>
      <c r="H150" s="4" t="s">
        <v>315</v>
      </c>
      <c r="I150" s="4"/>
      <c r="J150" s="4"/>
      <c r="K150" s="4">
        <v>217</v>
      </c>
      <c r="L150" s="4">
        <v>18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88" x14ac:dyDescent="0.2">
      <c r="A151" s="4">
        <v>50</v>
      </c>
      <c r="B151" s="4">
        <v>0</v>
      </c>
      <c r="C151" s="4">
        <v>0</v>
      </c>
      <c r="D151" s="4">
        <v>1</v>
      </c>
      <c r="E151" s="4">
        <v>230</v>
      </c>
      <c r="F151" s="4">
        <f>ROUND(Source!BA131,O151)</f>
        <v>0</v>
      </c>
      <c r="G151" s="4" t="s">
        <v>316</v>
      </c>
      <c r="H151" s="4" t="s">
        <v>317</v>
      </c>
      <c r="I151" s="4"/>
      <c r="J151" s="4"/>
      <c r="K151" s="4">
        <v>230</v>
      </c>
      <c r="L151" s="4">
        <v>19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88" x14ac:dyDescent="0.2">
      <c r="A152" s="4">
        <v>50</v>
      </c>
      <c r="B152" s="4">
        <v>0</v>
      </c>
      <c r="C152" s="4">
        <v>0</v>
      </c>
      <c r="D152" s="4">
        <v>1</v>
      </c>
      <c r="E152" s="4">
        <v>206</v>
      </c>
      <c r="F152" s="4">
        <f>ROUND(Source!T131,O152)</f>
        <v>0</v>
      </c>
      <c r="G152" s="4" t="s">
        <v>318</v>
      </c>
      <c r="H152" s="4" t="s">
        <v>319</v>
      </c>
      <c r="I152" s="4"/>
      <c r="J152" s="4"/>
      <c r="K152" s="4">
        <v>206</v>
      </c>
      <c r="L152" s="4">
        <v>20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88" x14ac:dyDescent="0.2">
      <c r="A153" s="4">
        <v>50</v>
      </c>
      <c r="B153" s="4">
        <v>0</v>
      </c>
      <c r="C153" s="4">
        <v>0</v>
      </c>
      <c r="D153" s="4">
        <v>1</v>
      </c>
      <c r="E153" s="4">
        <v>207</v>
      </c>
      <c r="F153" s="4">
        <f>Source!U131</f>
        <v>136.69410599999998</v>
      </c>
      <c r="G153" s="4" t="s">
        <v>320</v>
      </c>
      <c r="H153" s="4" t="s">
        <v>321</v>
      </c>
      <c r="I153" s="4"/>
      <c r="J153" s="4"/>
      <c r="K153" s="4">
        <v>207</v>
      </c>
      <c r="L153" s="4">
        <v>21</v>
      </c>
      <c r="M153" s="4">
        <v>3</v>
      </c>
      <c r="N153" s="4" t="s">
        <v>3</v>
      </c>
      <c r="O153" s="4">
        <v>-1</v>
      </c>
      <c r="P153" s="4"/>
      <c r="Q153" s="4"/>
      <c r="R153" s="4"/>
      <c r="S153" s="4"/>
      <c r="T153" s="4"/>
      <c r="U153" s="4"/>
      <c r="V153" s="4"/>
      <c r="W153" s="4"/>
    </row>
    <row r="154" spans="1:88" x14ac:dyDescent="0.2">
      <c r="A154" s="4">
        <v>50</v>
      </c>
      <c r="B154" s="4">
        <v>0</v>
      </c>
      <c r="C154" s="4">
        <v>0</v>
      </c>
      <c r="D154" s="4">
        <v>1</v>
      </c>
      <c r="E154" s="4">
        <v>208</v>
      </c>
      <c r="F154" s="4">
        <f>Source!V131</f>
        <v>2.6368855999999994</v>
      </c>
      <c r="G154" s="4" t="s">
        <v>322</v>
      </c>
      <c r="H154" s="4" t="s">
        <v>323</v>
      </c>
      <c r="I154" s="4"/>
      <c r="J154" s="4"/>
      <c r="K154" s="4">
        <v>208</v>
      </c>
      <c r="L154" s="4">
        <v>22</v>
      </c>
      <c r="M154" s="4">
        <v>3</v>
      </c>
      <c r="N154" s="4" t="s">
        <v>3</v>
      </c>
      <c r="O154" s="4">
        <v>-1</v>
      </c>
      <c r="P154" s="4"/>
      <c r="Q154" s="4"/>
      <c r="R154" s="4"/>
      <c r="S154" s="4"/>
      <c r="T154" s="4"/>
      <c r="U154" s="4"/>
      <c r="V154" s="4"/>
      <c r="W154" s="4"/>
    </row>
    <row r="155" spans="1:88" x14ac:dyDescent="0.2">
      <c r="A155" s="4">
        <v>50</v>
      </c>
      <c r="B155" s="4">
        <v>0</v>
      </c>
      <c r="C155" s="4">
        <v>0</v>
      </c>
      <c r="D155" s="4">
        <v>1</v>
      </c>
      <c r="E155" s="4">
        <v>209</v>
      </c>
      <c r="F155" s="4">
        <f>ROUND(Source!W131,O155)</f>
        <v>0</v>
      </c>
      <c r="G155" s="4" t="s">
        <v>324</v>
      </c>
      <c r="H155" s="4" t="s">
        <v>325</v>
      </c>
      <c r="I155" s="4"/>
      <c r="J155" s="4"/>
      <c r="K155" s="4">
        <v>209</v>
      </c>
      <c r="L155" s="4">
        <v>23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88" x14ac:dyDescent="0.2">
      <c r="A156" s="4">
        <v>50</v>
      </c>
      <c r="B156" s="4">
        <v>0</v>
      </c>
      <c r="C156" s="4">
        <v>0</v>
      </c>
      <c r="D156" s="4">
        <v>1</v>
      </c>
      <c r="E156" s="4">
        <v>210</v>
      </c>
      <c r="F156" s="4">
        <f>ROUND(Source!X131,O156)</f>
        <v>8820.1200000000008</v>
      </c>
      <c r="G156" s="4" t="s">
        <v>326</v>
      </c>
      <c r="H156" s="4" t="s">
        <v>327</v>
      </c>
      <c r="I156" s="4"/>
      <c r="J156" s="4"/>
      <c r="K156" s="4">
        <v>210</v>
      </c>
      <c r="L156" s="4">
        <v>24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88" x14ac:dyDescent="0.2">
      <c r="A157" s="4">
        <v>50</v>
      </c>
      <c r="B157" s="4">
        <v>0</v>
      </c>
      <c r="C157" s="4">
        <v>0</v>
      </c>
      <c r="D157" s="4">
        <v>1</v>
      </c>
      <c r="E157" s="4">
        <v>211</v>
      </c>
      <c r="F157" s="4">
        <f>ROUND(Source!Y131,O157)</f>
        <v>5476.64</v>
      </c>
      <c r="G157" s="4" t="s">
        <v>328</v>
      </c>
      <c r="H157" s="4" t="s">
        <v>329</v>
      </c>
      <c r="I157" s="4"/>
      <c r="J157" s="4"/>
      <c r="K157" s="4">
        <v>211</v>
      </c>
      <c r="L157" s="4">
        <v>25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88" x14ac:dyDescent="0.2">
      <c r="A158" s="4">
        <v>50</v>
      </c>
      <c r="B158" s="4">
        <v>0</v>
      </c>
      <c r="C158" s="4">
        <v>0</v>
      </c>
      <c r="D158" s="4">
        <v>1</v>
      </c>
      <c r="E158" s="4">
        <v>224</v>
      </c>
      <c r="F158" s="4">
        <f>ROUND(Source!AR131,O158)</f>
        <v>285687.13</v>
      </c>
      <c r="G158" s="4" t="s">
        <v>330</v>
      </c>
      <c r="H158" s="4" t="s">
        <v>331</v>
      </c>
      <c r="I158" s="4"/>
      <c r="J158" s="4"/>
      <c r="K158" s="4">
        <v>224</v>
      </c>
      <c r="L158" s="4">
        <v>26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60" spans="1:88" x14ac:dyDescent="0.2">
      <c r="A160" s="1">
        <v>4</v>
      </c>
      <c r="B160" s="1">
        <v>1</v>
      </c>
      <c r="C160" s="1"/>
      <c r="D160" s="1">
        <f>ROW(A203)</f>
        <v>203</v>
      </c>
      <c r="E160" s="1"/>
      <c r="F160" s="1" t="s">
        <v>12</v>
      </c>
      <c r="G160" s="1" t="s">
        <v>379</v>
      </c>
      <c r="H160" s="1" t="s">
        <v>3</v>
      </c>
      <c r="I160" s="1">
        <v>0</v>
      </c>
      <c r="J160" s="1"/>
      <c r="K160" s="1">
        <v>-1</v>
      </c>
      <c r="L160" s="1"/>
      <c r="M160" s="1"/>
      <c r="N160" s="1"/>
      <c r="O160" s="1"/>
      <c r="P160" s="1"/>
      <c r="Q160" s="1"/>
      <c r="R160" s="1"/>
      <c r="S160" s="1"/>
      <c r="T160" s="1"/>
      <c r="U160" s="1" t="s">
        <v>3</v>
      </c>
      <c r="V160" s="1">
        <v>0</v>
      </c>
      <c r="W160" s="1"/>
      <c r="X160" s="1"/>
      <c r="Y160" s="1"/>
      <c r="Z160" s="1"/>
      <c r="AA160" s="1"/>
      <c r="AB160" s="1" t="s">
        <v>3</v>
      </c>
      <c r="AC160" s="1" t="s">
        <v>3</v>
      </c>
      <c r="AD160" s="1" t="s">
        <v>3</v>
      </c>
      <c r="AE160" s="1" t="s">
        <v>3</v>
      </c>
      <c r="AF160" s="1" t="s">
        <v>3</v>
      </c>
      <c r="AG160" s="1" t="s">
        <v>3</v>
      </c>
      <c r="AH160" s="1"/>
      <c r="AI160" s="1"/>
      <c r="AJ160" s="1"/>
      <c r="AK160" s="1"/>
      <c r="AL160" s="1"/>
      <c r="AM160" s="1"/>
      <c r="AN160" s="1"/>
      <c r="AO160" s="1"/>
      <c r="AP160" s="1" t="s">
        <v>3</v>
      </c>
      <c r="AQ160" s="1" t="s">
        <v>3</v>
      </c>
      <c r="AR160" s="1" t="s">
        <v>3</v>
      </c>
      <c r="AS160" s="1"/>
      <c r="AT160" s="1"/>
      <c r="AU160" s="1"/>
      <c r="AV160" s="1"/>
      <c r="AW160" s="1"/>
      <c r="AX160" s="1"/>
      <c r="AY160" s="1"/>
      <c r="AZ160" s="1" t="s">
        <v>3</v>
      </c>
      <c r="BA160" s="1"/>
      <c r="BB160" s="1" t="s">
        <v>3</v>
      </c>
      <c r="BC160" s="1" t="s">
        <v>3</v>
      </c>
      <c r="BD160" s="1" t="s">
        <v>3</v>
      </c>
      <c r="BE160" s="1" t="s">
        <v>3</v>
      </c>
      <c r="BF160" s="1" t="s">
        <v>3</v>
      </c>
      <c r="BG160" s="1" t="s">
        <v>3</v>
      </c>
      <c r="BH160" s="1" t="s">
        <v>3</v>
      </c>
      <c r="BI160" s="1" t="s">
        <v>3</v>
      </c>
      <c r="BJ160" s="1" t="s">
        <v>3</v>
      </c>
      <c r="BK160" s="1" t="s">
        <v>3</v>
      </c>
      <c r="BL160" s="1" t="s">
        <v>3</v>
      </c>
      <c r="BM160" s="1" t="s">
        <v>3</v>
      </c>
      <c r="BN160" s="1" t="s">
        <v>3</v>
      </c>
      <c r="BO160" s="1" t="s">
        <v>3</v>
      </c>
      <c r="BP160" s="1" t="s">
        <v>3</v>
      </c>
      <c r="BQ160" s="1"/>
      <c r="BR160" s="1"/>
      <c r="BS160" s="1"/>
      <c r="BT160" s="1"/>
      <c r="BU160" s="1"/>
      <c r="BV160" s="1"/>
      <c r="BW160" s="1"/>
      <c r="BX160" s="1">
        <v>0</v>
      </c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>
        <v>0</v>
      </c>
    </row>
    <row r="162" spans="1:245" x14ac:dyDescent="0.2">
      <c r="A162" s="2">
        <v>52</v>
      </c>
      <c r="B162" s="2">
        <f t="shared" ref="B162:G162" si="158">B203</f>
        <v>1</v>
      </c>
      <c r="C162" s="2">
        <f t="shared" si="158"/>
        <v>4</v>
      </c>
      <c r="D162" s="2">
        <f t="shared" si="158"/>
        <v>160</v>
      </c>
      <c r="E162" s="2">
        <f t="shared" si="158"/>
        <v>0</v>
      </c>
      <c r="F162" s="2" t="str">
        <f t="shared" si="158"/>
        <v>Новый раздел</v>
      </c>
      <c r="G162" s="2" t="str">
        <f t="shared" si="158"/>
        <v>3 Электромонтажные работы</v>
      </c>
      <c r="H162" s="2"/>
      <c r="I162" s="2"/>
      <c r="J162" s="2"/>
      <c r="K162" s="2"/>
      <c r="L162" s="2"/>
      <c r="M162" s="2"/>
      <c r="N162" s="2"/>
      <c r="O162" s="2">
        <f t="shared" ref="O162:AT162" si="159">O203</f>
        <v>858723.99</v>
      </c>
      <c r="P162" s="2">
        <f t="shared" si="159"/>
        <v>771590.43</v>
      </c>
      <c r="Q162" s="2">
        <f t="shared" si="159"/>
        <v>3210.18</v>
      </c>
      <c r="R162" s="2">
        <f t="shared" si="159"/>
        <v>396.72</v>
      </c>
      <c r="S162" s="2">
        <f t="shared" si="159"/>
        <v>83923.38</v>
      </c>
      <c r="T162" s="2">
        <f t="shared" si="159"/>
        <v>0</v>
      </c>
      <c r="U162" s="2">
        <f t="shared" si="159"/>
        <v>851.82992000000002</v>
      </c>
      <c r="V162" s="2">
        <f t="shared" si="159"/>
        <v>4.7045399999999997</v>
      </c>
      <c r="W162" s="2">
        <f t="shared" si="159"/>
        <v>0</v>
      </c>
      <c r="X162" s="2">
        <f t="shared" si="159"/>
        <v>67554.179999999993</v>
      </c>
      <c r="Y162" s="2">
        <f t="shared" si="159"/>
        <v>44708.54</v>
      </c>
      <c r="Z162" s="2">
        <f t="shared" si="159"/>
        <v>0</v>
      </c>
      <c r="AA162" s="2">
        <f t="shared" si="159"/>
        <v>0</v>
      </c>
      <c r="AB162" s="2">
        <f t="shared" si="159"/>
        <v>858723.99</v>
      </c>
      <c r="AC162" s="2">
        <f t="shared" si="159"/>
        <v>771590.43</v>
      </c>
      <c r="AD162" s="2">
        <f t="shared" si="159"/>
        <v>3210.18</v>
      </c>
      <c r="AE162" s="2">
        <f t="shared" si="159"/>
        <v>396.72</v>
      </c>
      <c r="AF162" s="2">
        <f t="shared" si="159"/>
        <v>83923.38</v>
      </c>
      <c r="AG162" s="2">
        <f t="shared" si="159"/>
        <v>0</v>
      </c>
      <c r="AH162" s="2">
        <f t="shared" si="159"/>
        <v>851.82992000000002</v>
      </c>
      <c r="AI162" s="2">
        <f t="shared" si="159"/>
        <v>4.7045399999999997</v>
      </c>
      <c r="AJ162" s="2">
        <f t="shared" si="159"/>
        <v>0</v>
      </c>
      <c r="AK162" s="2">
        <f t="shared" si="159"/>
        <v>67554.179999999993</v>
      </c>
      <c r="AL162" s="2">
        <f t="shared" si="159"/>
        <v>44708.54</v>
      </c>
      <c r="AM162" s="2">
        <f t="shared" si="159"/>
        <v>0</v>
      </c>
      <c r="AN162" s="2">
        <f t="shared" si="159"/>
        <v>0</v>
      </c>
      <c r="AO162" s="2">
        <f t="shared" si="159"/>
        <v>0</v>
      </c>
      <c r="AP162" s="2">
        <f t="shared" si="159"/>
        <v>0</v>
      </c>
      <c r="AQ162" s="2">
        <f t="shared" si="159"/>
        <v>0</v>
      </c>
      <c r="AR162" s="2">
        <f t="shared" si="159"/>
        <v>970986.71</v>
      </c>
      <c r="AS162" s="2">
        <f t="shared" si="159"/>
        <v>1885.28</v>
      </c>
      <c r="AT162" s="2">
        <f t="shared" si="159"/>
        <v>888962.33</v>
      </c>
      <c r="AU162" s="2">
        <f t="shared" ref="AU162:BZ162" si="160">AU203</f>
        <v>80139.100000000006</v>
      </c>
      <c r="AV162" s="2">
        <f t="shared" si="160"/>
        <v>771590.43</v>
      </c>
      <c r="AW162" s="2">
        <f t="shared" si="160"/>
        <v>771590.43</v>
      </c>
      <c r="AX162" s="2">
        <f t="shared" si="160"/>
        <v>0</v>
      </c>
      <c r="AY162" s="2">
        <f t="shared" si="160"/>
        <v>771590.43</v>
      </c>
      <c r="AZ162" s="2">
        <f t="shared" si="160"/>
        <v>0</v>
      </c>
      <c r="BA162" s="2">
        <f t="shared" si="160"/>
        <v>0</v>
      </c>
      <c r="BB162" s="2">
        <f t="shared" si="160"/>
        <v>0</v>
      </c>
      <c r="BC162" s="2">
        <f t="shared" si="160"/>
        <v>0</v>
      </c>
      <c r="BD162" s="2">
        <f t="shared" si="160"/>
        <v>0</v>
      </c>
      <c r="BE162" s="2">
        <f t="shared" si="160"/>
        <v>0</v>
      </c>
      <c r="BF162" s="2">
        <f t="shared" si="160"/>
        <v>0</v>
      </c>
      <c r="BG162" s="2">
        <f t="shared" si="160"/>
        <v>0</v>
      </c>
      <c r="BH162" s="2">
        <f t="shared" si="160"/>
        <v>0</v>
      </c>
      <c r="BI162" s="2">
        <f t="shared" si="160"/>
        <v>0</v>
      </c>
      <c r="BJ162" s="2">
        <f t="shared" si="160"/>
        <v>0</v>
      </c>
      <c r="BK162" s="2">
        <f t="shared" si="160"/>
        <v>0</v>
      </c>
      <c r="BL162" s="2">
        <f t="shared" si="160"/>
        <v>0</v>
      </c>
      <c r="BM162" s="2">
        <f t="shared" si="160"/>
        <v>0</v>
      </c>
      <c r="BN162" s="2">
        <f t="shared" si="160"/>
        <v>0</v>
      </c>
      <c r="BO162" s="2">
        <f t="shared" si="160"/>
        <v>0</v>
      </c>
      <c r="BP162" s="2">
        <f t="shared" si="160"/>
        <v>0</v>
      </c>
      <c r="BQ162" s="2">
        <f t="shared" si="160"/>
        <v>0</v>
      </c>
      <c r="BR162" s="2">
        <f t="shared" si="160"/>
        <v>0</v>
      </c>
      <c r="BS162" s="2">
        <f t="shared" si="160"/>
        <v>0</v>
      </c>
      <c r="BT162" s="2">
        <f t="shared" si="160"/>
        <v>0</v>
      </c>
      <c r="BU162" s="2">
        <f t="shared" si="160"/>
        <v>0</v>
      </c>
      <c r="BV162" s="2">
        <f t="shared" si="160"/>
        <v>0</v>
      </c>
      <c r="BW162" s="2">
        <f t="shared" si="160"/>
        <v>0</v>
      </c>
      <c r="BX162" s="2">
        <f t="shared" si="160"/>
        <v>0</v>
      </c>
      <c r="BY162" s="2">
        <f t="shared" si="160"/>
        <v>0</v>
      </c>
      <c r="BZ162" s="2">
        <f t="shared" si="160"/>
        <v>0</v>
      </c>
      <c r="CA162" s="2">
        <f t="shared" ref="CA162:DF162" si="161">CA203</f>
        <v>970986.71</v>
      </c>
      <c r="CB162" s="2">
        <f t="shared" si="161"/>
        <v>1885.28</v>
      </c>
      <c r="CC162" s="2">
        <f t="shared" si="161"/>
        <v>888962.33</v>
      </c>
      <c r="CD162" s="2">
        <f t="shared" si="161"/>
        <v>80139.100000000006</v>
      </c>
      <c r="CE162" s="2">
        <f t="shared" si="161"/>
        <v>771590.43</v>
      </c>
      <c r="CF162" s="2">
        <f t="shared" si="161"/>
        <v>771590.43</v>
      </c>
      <c r="CG162" s="2">
        <f t="shared" si="161"/>
        <v>0</v>
      </c>
      <c r="CH162" s="2">
        <f t="shared" si="161"/>
        <v>771590.43</v>
      </c>
      <c r="CI162" s="2">
        <f t="shared" si="161"/>
        <v>0</v>
      </c>
      <c r="CJ162" s="2">
        <f t="shared" si="161"/>
        <v>0</v>
      </c>
      <c r="CK162" s="2">
        <f t="shared" si="161"/>
        <v>0</v>
      </c>
      <c r="CL162" s="2">
        <f t="shared" si="161"/>
        <v>0</v>
      </c>
      <c r="CM162" s="2">
        <f t="shared" si="161"/>
        <v>0</v>
      </c>
      <c r="CN162" s="2">
        <f t="shared" si="161"/>
        <v>0</v>
      </c>
      <c r="CO162" s="2">
        <f t="shared" si="161"/>
        <v>0</v>
      </c>
      <c r="CP162" s="2">
        <f t="shared" si="161"/>
        <v>0</v>
      </c>
      <c r="CQ162" s="2">
        <f t="shared" si="161"/>
        <v>0</v>
      </c>
      <c r="CR162" s="2">
        <f t="shared" si="161"/>
        <v>0</v>
      </c>
      <c r="CS162" s="2">
        <f t="shared" si="161"/>
        <v>0</v>
      </c>
      <c r="CT162" s="2">
        <f t="shared" si="161"/>
        <v>0</v>
      </c>
      <c r="CU162" s="2">
        <f t="shared" si="161"/>
        <v>0</v>
      </c>
      <c r="CV162" s="2">
        <f t="shared" si="161"/>
        <v>0</v>
      </c>
      <c r="CW162" s="2">
        <f t="shared" si="161"/>
        <v>0</v>
      </c>
      <c r="CX162" s="2">
        <f t="shared" si="161"/>
        <v>0</v>
      </c>
      <c r="CY162" s="2">
        <f t="shared" si="161"/>
        <v>0</v>
      </c>
      <c r="CZ162" s="2">
        <f t="shared" si="161"/>
        <v>0</v>
      </c>
      <c r="DA162" s="2">
        <f t="shared" si="161"/>
        <v>0</v>
      </c>
      <c r="DB162" s="2">
        <f t="shared" si="161"/>
        <v>0</v>
      </c>
      <c r="DC162" s="2">
        <f t="shared" si="161"/>
        <v>0</v>
      </c>
      <c r="DD162" s="2">
        <f t="shared" si="161"/>
        <v>0</v>
      </c>
      <c r="DE162" s="2">
        <f t="shared" si="161"/>
        <v>0</v>
      </c>
      <c r="DF162" s="2">
        <f t="shared" si="161"/>
        <v>0</v>
      </c>
      <c r="DG162" s="3">
        <f t="shared" ref="DG162:EL162" si="162">DG203</f>
        <v>0</v>
      </c>
      <c r="DH162" s="3">
        <f t="shared" si="162"/>
        <v>0</v>
      </c>
      <c r="DI162" s="3">
        <f t="shared" si="162"/>
        <v>0</v>
      </c>
      <c r="DJ162" s="3">
        <f t="shared" si="162"/>
        <v>0</v>
      </c>
      <c r="DK162" s="3">
        <f t="shared" si="162"/>
        <v>0</v>
      </c>
      <c r="DL162" s="3">
        <f t="shared" si="162"/>
        <v>0</v>
      </c>
      <c r="DM162" s="3">
        <f t="shared" si="162"/>
        <v>0</v>
      </c>
      <c r="DN162" s="3">
        <f t="shared" si="162"/>
        <v>0</v>
      </c>
      <c r="DO162" s="3">
        <f t="shared" si="162"/>
        <v>0</v>
      </c>
      <c r="DP162" s="3">
        <f t="shared" si="162"/>
        <v>0</v>
      </c>
      <c r="DQ162" s="3">
        <f t="shared" si="162"/>
        <v>0</v>
      </c>
      <c r="DR162" s="3">
        <f t="shared" si="162"/>
        <v>0</v>
      </c>
      <c r="DS162" s="3">
        <f t="shared" si="162"/>
        <v>0</v>
      </c>
      <c r="DT162" s="3">
        <f t="shared" si="162"/>
        <v>0</v>
      </c>
      <c r="DU162" s="3">
        <f t="shared" si="162"/>
        <v>0</v>
      </c>
      <c r="DV162" s="3">
        <f t="shared" si="162"/>
        <v>0</v>
      </c>
      <c r="DW162" s="3">
        <f t="shared" si="162"/>
        <v>0</v>
      </c>
      <c r="DX162" s="3">
        <f t="shared" si="162"/>
        <v>0</v>
      </c>
      <c r="DY162" s="3">
        <f t="shared" si="162"/>
        <v>0</v>
      </c>
      <c r="DZ162" s="3">
        <f t="shared" si="162"/>
        <v>0</v>
      </c>
      <c r="EA162" s="3">
        <f t="shared" si="162"/>
        <v>0</v>
      </c>
      <c r="EB162" s="3">
        <f t="shared" si="162"/>
        <v>0</v>
      </c>
      <c r="EC162" s="3">
        <f t="shared" si="162"/>
        <v>0</v>
      </c>
      <c r="ED162" s="3">
        <f t="shared" si="162"/>
        <v>0</v>
      </c>
      <c r="EE162" s="3">
        <f t="shared" si="162"/>
        <v>0</v>
      </c>
      <c r="EF162" s="3">
        <f t="shared" si="162"/>
        <v>0</v>
      </c>
      <c r="EG162" s="3">
        <f t="shared" si="162"/>
        <v>0</v>
      </c>
      <c r="EH162" s="3">
        <f t="shared" si="162"/>
        <v>0</v>
      </c>
      <c r="EI162" s="3">
        <f t="shared" si="162"/>
        <v>0</v>
      </c>
      <c r="EJ162" s="3">
        <f t="shared" si="162"/>
        <v>0</v>
      </c>
      <c r="EK162" s="3">
        <f t="shared" si="162"/>
        <v>0</v>
      </c>
      <c r="EL162" s="3">
        <f t="shared" si="162"/>
        <v>0</v>
      </c>
      <c r="EM162" s="3">
        <f t="shared" ref="EM162:FR162" si="163">EM203</f>
        <v>0</v>
      </c>
      <c r="EN162" s="3">
        <f t="shared" si="163"/>
        <v>0</v>
      </c>
      <c r="EO162" s="3">
        <f t="shared" si="163"/>
        <v>0</v>
      </c>
      <c r="EP162" s="3">
        <f t="shared" si="163"/>
        <v>0</v>
      </c>
      <c r="EQ162" s="3">
        <f t="shared" si="163"/>
        <v>0</v>
      </c>
      <c r="ER162" s="3">
        <f t="shared" si="163"/>
        <v>0</v>
      </c>
      <c r="ES162" s="3">
        <f t="shared" si="163"/>
        <v>0</v>
      </c>
      <c r="ET162" s="3">
        <f t="shared" si="163"/>
        <v>0</v>
      </c>
      <c r="EU162" s="3">
        <f t="shared" si="163"/>
        <v>0</v>
      </c>
      <c r="EV162" s="3">
        <f t="shared" si="163"/>
        <v>0</v>
      </c>
      <c r="EW162" s="3">
        <f t="shared" si="163"/>
        <v>0</v>
      </c>
      <c r="EX162" s="3">
        <f t="shared" si="163"/>
        <v>0</v>
      </c>
      <c r="EY162" s="3">
        <f t="shared" si="163"/>
        <v>0</v>
      </c>
      <c r="EZ162" s="3">
        <f t="shared" si="163"/>
        <v>0</v>
      </c>
      <c r="FA162" s="3">
        <f t="shared" si="163"/>
        <v>0</v>
      </c>
      <c r="FB162" s="3">
        <f t="shared" si="163"/>
        <v>0</v>
      </c>
      <c r="FC162" s="3">
        <f t="shared" si="163"/>
        <v>0</v>
      </c>
      <c r="FD162" s="3">
        <f t="shared" si="163"/>
        <v>0</v>
      </c>
      <c r="FE162" s="3">
        <f t="shared" si="163"/>
        <v>0</v>
      </c>
      <c r="FF162" s="3">
        <f t="shared" si="163"/>
        <v>0</v>
      </c>
      <c r="FG162" s="3">
        <f t="shared" si="163"/>
        <v>0</v>
      </c>
      <c r="FH162" s="3">
        <f t="shared" si="163"/>
        <v>0</v>
      </c>
      <c r="FI162" s="3">
        <f t="shared" si="163"/>
        <v>0</v>
      </c>
      <c r="FJ162" s="3">
        <f t="shared" si="163"/>
        <v>0</v>
      </c>
      <c r="FK162" s="3">
        <f t="shared" si="163"/>
        <v>0</v>
      </c>
      <c r="FL162" s="3">
        <f t="shared" si="163"/>
        <v>0</v>
      </c>
      <c r="FM162" s="3">
        <f t="shared" si="163"/>
        <v>0</v>
      </c>
      <c r="FN162" s="3">
        <f t="shared" si="163"/>
        <v>0</v>
      </c>
      <c r="FO162" s="3">
        <f t="shared" si="163"/>
        <v>0</v>
      </c>
      <c r="FP162" s="3">
        <f t="shared" si="163"/>
        <v>0</v>
      </c>
      <c r="FQ162" s="3">
        <f t="shared" si="163"/>
        <v>0</v>
      </c>
      <c r="FR162" s="3">
        <f t="shared" si="163"/>
        <v>0</v>
      </c>
      <c r="FS162" s="3">
        <f t="shared" ref="FS162:GX162" si="164">FS203</f>
        <v>0</v>
      </c>
      <c r="FT162" s="3">
        <f t="shared" si="164"/>
        <v>0</v>
      </c>
      <c r="FU162" s="3">
        <f t="shared" si="164"/>
        <v>0</v>
      </c>
      <c r="FV162" s="3">
        <f t="shared" si="164"/>
        <v>0</v>
      </c>
      <c r="FW162" s="3">
        <f t="shared" si="164"/>
        <v>0</v>
      </c>
      <c r="FX162" s="3">
        <f t="shared" si="164"/>
        <v>0</v>
      </c>
      <c r="FY162" s="3">
        <f t="shared" si="164"/>
        <v>0</v>
      </c>
      <c r="FZ162" s="3">
        <f t="shared" si="164"/>
        <v>0</v>
      </c>
      <c r="GA162" s="3">
        <f t="shared" si="164"/>
        <v>0</v>
      </c>
      <c r="GB162" s="3">
        <f t="shared" si="164"/>
        <v>0</v>
      </c>
      <c r="GC162" s="3">
        <f t="shared" si="164"/>
        <v>0</v>
      </c>
      <c r="GD162" s="3">
        <f t="shared" si="164"/>
        <v>0</v>
      </c>
      <c r="GE162" s="3">
        <f t="shared" si="164"/>
        <v>0</v>
      </c>
      <c r="GF162" s="3">
        <f t="shared" si="164"/>
        <v>0</v>
      </c>
      <c r="GG162" s="3">
        <f t="shared" si="164"/>
        <v>0</v>
      </c>
      <c r="GH162" s="3">
        <f t="shared" si="164"/>
        <v>0</v>
      </c>
      <c r="GI162" s="3">
        <f t="shared" si="164"/>
        <v>0</v>
      </c>
      <c r="GJ162" s="3">
        <f t="shared" si="164"/>
        <v>0</v>
      </c>
      <c r="GK162" s="3">
        <f t="shared" si="164"/>
        <v>0</v>
      </c>
      <c r="GL162" s="3">
        <f t="shared" si="164"/>
        <v>0</v>
      </c>
      <c r="GM162" s="3">
        <f t="shared" si="164"/>
        <v>0</v>
      </c>
      <c r="GN162" s="3">
        <f t="shared" si="164"/>
        <v>0</v>
      </c>
      <c r="GO162" s="3">
        <f t="shared" si="164"/>
        <v>0</v>
      </c>
      <c r="GP162" s="3">
        <f t="shared" si="164"/>
        <v>0</v>
      </c>
      <c r="GQ162" s="3">
        <f t="shared" si="164"/>
        <v>0</v>
      </c>
      <c r="GR162" s="3">
        <f t="shared" si="164"/>
        <v>0</v>
      </c>
      <c r="GS162" s="3">
        <f t="shared" si="164"/>
        <v>0</v>
      </c>
      <c r="GT162" s="3">
        <f t="shared" si="164"/>
        <v>0</v>
      </c>
      <c r="GU162" s="3">
        <f t="shared" si="164"/>
        <v>0</v>
      </c>
      <c r="GV162" s="3">
        <f t="shared" si="164"/>
        <v>0</v>
      </c>
      <c r="GW162" s="3">
        <f t="shared" si="164"/>
        <v>0</v>
      </c>
      <c r="GX162" s="3">
        <f t="shared" si="164"/>
        <v>0</v>
      </c>
    </row>
    <row r="164" spans="1:245" x14ac:dyDescent="0.2">
      <c r="A164">
        <v>17</v>
      </c>
      <c r="B164">
        <v>1</v>
      </c>
      <c r="E164" t="s">
        <v>380</v>
      </c>
      <c r="F164" t="s">
        <v>381</v>
      </c>
      <c r="G164" t="s">
        <v>382</v>
      </c>
      <c r="H164" t="s">
        <v>27</v>
      </c>
      <c r="I164">
        <v>0.18</v>
      </c>
      <c r="J164">
        <v>0</v>
      </c>
      <c r="O164">
        <f t="shared" ref="O164:O201" si="165">ROUND(CP164,2)</f>
        <v>91.18</v>
      </c>
      <c r="P164">
        <f t="shared" ref="P164:P201" si="166">ROUND(CQ164*I164,2)</f>
        <v>0</v>
      </c>
      <c r="Q164">
        <f t="shared" ref="Q164:Q201" si="167">ROUND(CR164*I164,2)</f>
        <v>0.37</v>
      </c>
      <c r="R164">
        <f t="shared" ref="R164:R201" si="168">ROUND(CS164*I164,2)</f>
        <v>0.17</v>
      </c>
      <c r="S164">
        <f t="shared" ref="S164:S201" si="169">ROUND(CT164*I164,2)</f>
        <v>90.81</v>
      </c>
      <c r="T164">
        <f t="shared" ref="T164:T201" si="170">ROUND(CU164*I164,2)</f>
        <v>0</v>
      </c>
      <c r="U164">
        <f t="shared" ref="U164:U201" si="171">CV164*I164</f>
        <v>1.7352000000000001</v>
      </c>
      <c r="V164">
        <f t="shared" ref="V164:V201" si="172">CW164*I164</f>
        <v>1.8E-3</v>
      </c>
      <c r="W164">
        <f t="shared" ref="W164:W201" si="173">ROUND(CX164*I164,2)</f>
        <v>0</v>
      </c>
      <c r="X164">
        <f t="shared" ref="X164:X201" si="174">ROUND(CY164,2)</f>
        <v>77.33</v>
      </c>
      <c r="Y164">
        <f t="shared" ref="Y164:Y201" si="175">ROUND(CZ164,2)</f>
        <v>59.14</v>
      </c>
      <c r="AA164">
        <v>39096431</v>
      </c>
      <c r="AB164">
        <f t="shared" ref="AB164:AB201" si="176">ROUND((AC164+AD164+AF164),2)</f>
        <v>75.5</v>
      </c>
      <c r="AC164">
        <f>ROUND((ES164),2)</f>
        <v>0</v>
      </c>
      <c r="AD164">
        <f>ROUND((((ET164)-(EU164))+AE164),2)</f>
        <v>0.31</v>
      </c>
      <c r="AE164">
        <f>ROUND((EU164),2)</f>
        <v>0.14000000000000001</v>
      </c>
      <c r="AF164">
        <f>ROUND((EV164),2)</f>
        <v>75.19</v>
      </c>
      <c r="AG164">
        <f t="shared" ref="AG164:AG201" si="177">ROUND((AP164),2)</f>
        <v>0</v>
      </c>
      <c r="AH164">
        <f>(EW164)</f>
        <v>9.64</v>
      </c>
      <c r="AI164">
        <f>(EX164)</f>
        <v>0.01</v>
      </c>
      <c r="AJ164">
        <f t="shared" ref="AJ164:AJ201" si="178">ROUND((AS164),2)</f>
        <v>0</v>
      </c>
      <c r="AK164">
        <v>75.5</v>
      </c>
      <c r="AL164">
        <v>0</v>
      </c>
      <c r="AM164">
        <v>0.31</v>
      </c>
      <c r="AN164">
        <v>0.14000000000000001</v>
      </c>
      <c r="AO164">
        <v>75.19</v>
      </c>
      <c r="AP164">
        <v>0</v>
      </c>
      <c r="AQ164">
        <v>9.64</v>
      </c>
      <c r="AR164">
        <v>0.01</v>
      </c>
      <c r="AS164">
        <v>0</v>
      </c>
      <c r="AT164">
        <v>85</v>
      </c>
      <c r="AU164">
        <v>65</v>
      </c>
      <c r="AV164">
        <v>1</v>
      </c>
      <c r="AW164">
        <v>1</v>
      </c>
      <c r="AZ164">
        <v>6.71</v>
      </c>
      <c r="BA164">
        <v>6.71</v>
      </c>
      <c r="BB164">
        <v>6.71</v>
      </c>
      <c r="BC164">
        <v>6.71</v>
      </c>
      <c r="BD164" t="s">
        <v>3</v>
      </c>
      <c r="BE164" t="s">
        <v>3</v>
      </c>
      <c r="BF164" t="s">
        <v>3</v>
      </c>
      <c r="BG164" t="s">
        <v>3</v>
      </c>
      <c r="BH164">
        <v>0</v>
      </c>
      <c r="BI164">
        <v>1</v>
      </c>
      <c r="BJ164" t="s">
        <v>383</v>
      </c>
      <c r="BM164">
        <v>67001</v>
      </c>
      <c r="BN164">
        <v>0</v>
      </c>
      <c r="BO164" t="s">
        <v>3</v>
      </c>
      <c r="BP164">
        <v>0</v>
      </c>
      <c r="BQ164">
        <v>6</v>
      </c>
      <c r="BR164">
        <v>0</v>
      </c>
      <c r="BS164">
        <v>6.71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85</v>
      </c>
      <c r="CA164">
        <v>65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 t="shared" ref="CP164:CP201" si="179">(P164+Q164+S164)</f>
        <v>91.18</v>
      </c>
      <c r="CQ164">
        <f t="shared" ref="CQ164:CQ201" si="180">AC164*BC164</f>
        <v>0</v>
      </c>
      <c r="CR164">
        <f t="shared" ref="CR164:CR201" si="181">AD164*BB164</f>
        <v>2.0800999999999998</v>
      </c>
      <c r="CS164">
        <f t="shared" ref="CS164:CS201" si="182">AE164*BS164</f>
        <v>0.93940000000000012</v>
      </c>
      <c r="CT164">
        <f t="shared" ref="CT164:CT201" si="183">AF164*BA164</f>
        <v>504.5249</v>
      </c>
      <c r="CU164">
        <f t="shared" ref="CU164:CU201" si="184">AG164</f>
        <v>0</v>
      </c>
      <c r="CV164">
        <f t="shared" ref="CV164:CV201" si="185">AH164</f>
        <v>9.64</v>
      </c>
      <c r="CW164">
        <f t="shared" ref="CW164:CW201" si="186">AI164</f>
        <v>0.01</v>
      </c>
      <c r="CX164">
        <f t="shared" ref="CX164:CX201" si="187">AJ164</f>
        <v>0</v>
      </c>
      <c r="CY164">
        <f t="shared" ref="CY164:CY201" si="188">(((S164+R164)*AT164)/100)</f>
        <v>77.332999999999998</v>
      </c>
      <c r="CZ164">
        <f t="shared" ref="CZ164:CZ201" si="189">(((S164+R164)*AU164)/100)</f>
        <v>59.137</v>
      </c>
      <c r="DC164" t="s">
        <v>3</v>
      </c>
      <c r="DD164" t="s">
        <v>3</v>
      </c>
      <c r="DE164" t="s">
        <v>3</v>
      </c>
      <c r="DF164" t="s">
        <v>3</v>
      </c>
      <c r="DG164" t="s">
        <v>3</v>
      </c>
      <c r="DH164" t="s">
        <v>3</v>
      </c>
      <c r="DI164" t="s">
        <v>3</v>
      </c>
      <c r="DJ164" t="s">
        <v>3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1003</v>
      </c>
      <c r="DV164" t="s">
        <v>27</v>
      </c>
      <c r="DW164" t="s">
        <v>27</v>
      </c>
      <c r="DX164">
        <v>100</v>
      </c>
      <c r="EE164">
        <v>39174628</v>
      </c>
      <c r="EF164">
        <v>6</v>
      </c>
      <c r="EG164" t="s">
        <v>29</v>
      </c>
      <c r="EH164">
        <v>0</v>
      </c>
      <c r="EI164" t="s">
        <v>3</v>
      </c>
      <c r="EJ164">
        <v>1</v>
      </c>
      <c r="EK164">
        <v>67001</v>
      </c>
      <c r="EL164" t="s">
        <v>384</v>
      </c>
      <c r="EM164" t="s">
        <v>385</v>
      </c>
      <c r="EO164" t="s">
        <v>3</v>
      </c>
      <c r="EQ164">
        <v>0</v>
      </c>
      <c r="ER164">
        <v>75.5</v>
      </c>
      <c r="ES164">
        <v>0</v>
      </c>
      <c r="ET164">
        <v>0.31</v>
      </c>
      <c r="EU164">
        <v>0.14000000000000001</v>
      </c>
      <c r="EV164">
        <v>75.19</v>
      </c>
      <c r="EW164">
        <v>9.64</v>
      </c>
      <c r="EX164">
        <v>0.01</v>
      </c>
      <c r="EY164">
        <v>0</v>
      </c>
      <c r="FQ164">
        <v>0</v>
      </c>
      <c r="FR164">
        <f t="shared" ref="FR164:FR201" si="190">ROUND(IF(AND(BH164=3,BI164=3),P164,0),2)</f>
        <v>0</v>
      </c>
      <c r="FS164">
        <v>0</v>
      </c>
      <c r="FX164">
        <v>85</v>
      </c>
      <c r="FY164">
        <v>65</v>
      </c>
      <c r="GA164" t="s">
        <v>3</v>
      </c>
      <c r="GD164">
        <v>0</v>
      </c>
      <c r="GF164">
        <v>-240526577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ref="GL164:GL201" si="191">ROUND(IF(AND(BH164=3,BI164=3,FS164&lt;&gt;0),P164,0),2)</f>
        <v>0</v>
      </c>
      <c r="GM164">
        <f t="shared" ref="GM164:GM201" si="192">ROUND(O164+X164+Y164+GK164,2)+GX164</f>
        <v>227.65</v>
      </c>
      <c r="GN164">
        <f t="shared" ref="GN164:GN201" si="193">IF(OR(BI164=0,BI164=1),ROUND(O164+X164+Y164+GK164,2),0)</f>
        <v>227.65</v>
      </c>
      <c r="GO164">
        <f t="shared" ref="GO164:GO201" si="194">IF(BI164=2,ROUND(O164+X164+Y164+GK164,2),0)</f>
        <v>0</v>
      </c>
      <c r="GP164">
        <f t="shared" ref="GP164:GP201" si="195">IF(BI164=4,ROUND(O164+X164+Y164+GK164,2)+GX164,0)</f>
        <v>0</v>
      </c>
      <c r="GR164">
        <v>0</v>
      </c>
      <c r="GS164">
        <v>3</v>
      </c>
      <c r="GT164">
        <v>0</v>
      </c>
      <c r="GU164" t="s">
        <v>3</v>
      </c>
      <c r="GV164">
        <f t="shared" ref="GV164:GV201" si="196">ROUND(GT164,2)</f>
        <v>0</v>
      </c>
      <c r="GW164">
        <v>1</v>
      </c>
      <c r="GX164">
        <f t="shared" ref="GX164:GX201" si="197">ROUND(GV164*GW164*I164,2)</f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C165">
        <f>ROW(SmtRes!A189)</f>
        <v>189</v>
      </c>
      <c r="D165">
        <f>ROW(EtalonRes!A188)</f>
        <v>188</v>
      </c>
      <c r="E165" t="s">
        <v>386</v>
      </c>
      <c r="F165" t="s">
        <v>387</v>
      </c>
      <c r="G165" t="s">
        <v>388</v>
      </c>
      <c r="H165" t="s">
        <v>27</v>
      </c>
      <c r="I165">
        <f>ROUND(16/100,9)</f>
        <v>0.16</v>
      </c>
      <c r="J165">
        <v>0</v>
      </c>
      <c r="O165">
        <f t="shared" si="165"/>
        <v>50</v>
      </c>
      <c r="P165">
        <f t="shared" si="166"/>
        <v>0</v>
      </c>
      <c r="Q165">
        <f t="shared" si="167"/>
        <v>0.1</v>
      </c>
      <c r="R165">
        <f t="shared" si="168"/>
        <v>0.04</v>
      </c>
      <c r="S165">
        <f t="shared" si="169"/>
        <v>49.9</v>
      </c>
      <c r="T165">
        <f t="shared" si="170"/>
        <v>0</v>
      </c>
      <c r="U165">
        <f t="shared" si="171"/>
        <v>0.78191999999999995</v>
      </c>
      <c r="V165">
        <f t="shared" si="172"/>
        <v>4.8000000000000001E-4</v>
      </c>
      <c r="W165">
        <f t="shared" si="173"/>
        <v>0</v>
      </c>
      <c r="X165">
        <f t="shared" si="174"/>
        <v>47.44</v>
      </c>
      <c r="Y165">
        <f t="shared" si="175"/>
        <v>32.46</v>
      </c>
      <c r="AA165">
        <v>39096431</v>
      </c>
      <c r="AB165">
        <f t="shared" si="176"/>
        <v>46.57</v>
      </c>
      <c r="AC165">
        <f>ROUND(((ES165*0)),2)</f>
        <v>0</v>
      </c>
      <c r="AD165">
        <f>ROUND(((((ET165*0.3))-((EU165*0.3)))+AE165),2)</f>
        <v>0.09</v>
      </c>
      <c r="AE165">
        <f>ROUND(((EU165*0.3)),2)</f>
        <v>0.04</v>
      </c>
      <c r="AF165">
        <f>ROUND(((EV165*0.3)),2)</f>
        <v>46.48</v>
      </c>
      <c r="AG165">
        <f t="shared" si="177"/>
        <v>0</v>
      </c>
      <c r="AH165">
        <f>((EW165*0.3))</f>
        <v>4.8869999999999996</v>
      </c>
      <c r="AI165">
        <f>((EX165*0.3))</f>
        <v>3.0000000000000001E-3</v>
      </c>
      <c r="AJ165">
        <f t="shared" si="178"/>
        <v>0</v>
      </c>
      <c r="AK165">
        <v>206.76</v>
      </c>
      <c r="AL165">
        <v>51.53</v>
      </c>
      <c r="AM165">
        <v>0.31</v>
      </c>
      <c r="AN165">
        <v>0.14000000000000001</v>
      </c>
      <c r="AO165">
        <v>154.91999999999999</v>
      </c>
      <c r="AP165">
        <v>0</v>
      </c>
      <c r="AQ165">
        <v>16.29</v>
      </c>
      <c r="AR165">
        <v>0.01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6.71</v>
      </c>
      <c r="BA165">
        <v>6.71</v>
      </c>
      <c r="BB165">
        <v>6.71</v>
      </c>
      <c r="BC165">
        <v>6.71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2</v>
      </c>
      <c r="BJ165" t="s">
        <v>389</v>
      </c>
      <c r="BM165">
        <v>108001</v>
      </c>
      <c r="BN165">
        <v>0</v>
      </c>
      <c r="BO165" t="s">
        <v>3</v>
      </c>
      <c r="BP165">
        <v>0</v>
      </c>
      <c r="BQ165">
        <v>3</v>
      </c>
      <c r="BR165">
        <v>0</v>
      </c>
      <c r="BS165">
        <v>6.71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971</v>
      </c>
      <c r="CO165">
        <v>0</v>
      </c>
      <c r="CP165">
        <f t="shared" si="179"/>
        <v>50</v>
      </c>
      <c r="CQ165">
        <f t="shared" si="180"/>
        <v>0</v>
      </c>
      <c r="CR165">
        <f t="shared" si="181"/>
        <v>0.60389999999999999</v>
      </c>
      <c r="CS165">
        <f t="shared" si="182"/>
        <v>0.26840000000000003</v>
      </c>
      <c r="CT165">
        <f t="shared" si="183"/>
        <v>311.88079999999997</v>
      </c>
      <c r="CU165">
        <f t="shared" si="184"/>
        <v>0</v>
      </c>
      <c r="CV165">
        <f t="shared" si="185"/>
        <v>4.8869999999999996</v>
      </c>
      <c r="CW165">
        <f t="shared" si="186"/>
        <v>3.0000000000000001E-3</v>
      </c>
      <c r="CX165">
        <f t="shared" si="187"/>
        <v>0</v>
      </c>
      <c r="CY165">
        <f t="shared" si="188"/>
        <v>47.443000000000005</v>
      </c>
      <c r="CZ165">
        <f t="shared" si="189"/>
        <v>32.460999999999999</v>
      </c>
      <c r="DC165" t="s">
        <v>3</v>
      </c>
      <c r="DD165" t="s">
        <v>57</v>
      </c>
      <c r="DE165" t="s">
        <v>390</v>
      </c>
      <c r="DF165" t="s">
        <v>390</v>
      </c>
      <c r="DG165" t="s">
        <v>390</v>
      </c>
      <c r="DH165" t="s">
        <v>3</v>
      </c>
      <c r="DI165" t="s">
        <v>390</v>
      </c>
      <c r="DJ165" t="s">
        <v>390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1003</v>
      </c>
      <c r="DV165" t="s">
        <v>27</v>
      </c>
      <c r="DW165" t="s">
        <v>27</v>
      </c>
      <c r="DX165">
        <v>100</v>
      </c>
      <c r="EE165">
        <v>39174386</v>
      </c>
      <c r="EF165">
        <v>3</v>
      </c>
      <c r="EG165" t="s">
        <v>391</v>
      </c>
      <c r="EH165">
        <v>0</v>
      </c>
      <c r="EI165" t="s">
        <v>3</v>
      </c>
      <c r="EJ165">
        <v>2</v>
      </c>
      <c r="EK165">
        <v>108001</v>
      </c>
      <c r="EL165" t="s">
        <v>392</v>
      </c>
      <c r="EM165" t="s">
        <v>393</v>
      </c>
      <c r="EO165" t="s">
        <v>394</v>
      </c>
      <c r="EQ165">
        <v>0</v>
      </c>
      <c r="ER165">
        <v>206.76</v>
      </c>
      <c r="ES165">
        <v>51.53</v>
      </c>
      <c r="ET165">
        <v>0.31</v>
      </c>
      <c r="EU165">
        <v>0.14000000000000001</v>
      </c>
      <c r="EV165">
        <v>154.91999999999999</v>
      </c>
      <c r="EW165">
        <v>16.29</v>
      </c>
      <c r="EX165">
        <v>0.01</v>
      </c>
      <c r="EY165">
        <v>0</v>
      </c>
      <c r="FQ165">
        <v>0</v>
      </c>
      <c r="FR165">
        <f t="shared" si="190"/>
        <v>0</v>
      </c>
      <c r="FS165">
        <v>0</v>
      </c>
      <c r="FX165">
        <v>95</v>
      </c>
      <c r="FY165">
        <v>65</v>
      </c>
      <c r="GA165" t="s">
        <v>3</v>
      </c>
      <c r="GD165">
        <v>0</v>
      </c>
      <c r="GF165">
        <v>-1862294278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91"/>
        <v>0</v>
      </c>
      <c r="GM165">
        <f t="shared" si="192"/>
        <v>129.9</v>
      </c>
      <c r="GN165">
        <f t="shared" si="193"/>
        <v>0</v>
      </c>
      <c r="GO165">
        <f t="shared" si="194"/>
        <v>129.9</v>
      </c>
      <c r="GP165">
        <f t="shared" si="195"/>
        <v>0</v>
      </c>
      <c r="GR165">
        <v>0</v>
      </c>
      <c r="GS165">
        <v>3</v>
      </c>
      <c r="GT165">
        <v>0</v>
      </c>
      <c r="GU165" t="s">
        <v>3</v>
      </c>
      <c r="GV165">
        <f t="shared" si="196"/>
        <v>0</v>
      </c>
      <c r="GW165">
        <v>1</v>
      </c>
      <c r="GX165">
        <f t="shared" si="197"/>
        <v>0</v>
      </c>
      <c r="HA165">
        <v>0</v>
      </c>
      <c r="HB165">
        <v>0</v>
      </c>
      <c r="IK165">
        <v>0</v>
      </c>
    </row>
    <row r="166" spans="1:245" x14ac:dyDescent="0.2">
      <c r="A166">
        <v>17</v>
      </c>
      <c r="B166">
        <v>1</v>
      </c>
      <c r="C166">
        <f>ROW(SmtRes!A196)</f>
        <v>196</v>
      </c>
      <c r="D166">
        <f>ROW(EtalonRes!A195)</f>
        <v>195</v>
      </c>
      <c r="E166" t="s">
        <v>395</v>
      </c>
      <c r="F166" t="s">
        <v>396</v>
      </c>
      <c r="G166" t="s">
        <v>397</v>
      </c>
      <c r="H166" t="s">
        <v>39</v>
      </c>
      <c r="I166">
        <f>ROUND(120/100,9)</f>
        <v>1.2</v>
      </c>
      <c r="J166">
        <v>0</v>
      </c>
      <c r="O166">
        <f t="shared" si="165"/>
        <v>8575.6200000000008</v>
      </c>
      <c r="P166">
        <f t="shared" si="166"/>
        <v>0</v>
      </c>
      <c r="Q166">
        <f t="shared" si="167"/>
        <v>300.5</v>
      </c>
      <c r="R166">
        <f t="shared" si="168"/>
        <v>42.43</v>
      </c>
      <c r="S166">
        <f t="shared" si="169"/>
        <v>8275.1200000000008</v>
      </c>
      <c r="T166">
        <f t="shared" si="170"/>
        <v>0</v>
      </c>
      <c r="U166">
        <f t="shared" si="171"/>
        <v>124.32</v>
      </c>
      <c r="V166">
        <f t="shared" si="172"/>
        <v>0.504</v>
      </c>
      <c r="W166">
        <f t="shared" si="173"/>
        <v>0</v>
      </c>
      <c r="X166">
        <f t="shared" si="174"/>
        <v>7901.67</v>
      </c>
      <c r="Y166">
        <f t="shared" si="175"/>
        <v>5406.41</v>
      </c>
      <c r="AA166">
        <v>39096431</v>
      </c>
      <c r="AB166">
        <f t="shared" si="176"/>
        <v>1065.03</v>
      </c>
      <c r="AC166">
        <f>ROUND(((ES166*0)),2)</f>
        <v>0</v>
      </c>
      <c r="AD166">
        <f>ROUND(((((ET166*0.7))-((EU166*0.7)))+AE166),2)</f>
        <v>37.32</v>
      </c>
      <c r="AE166">
        <f>ROUND(((EU166*0.7)),2)</f>
        <v>5.27</v>
      </c>
      <c r="AF166">
        <f>ROUND(((EV166*0.7)),2)</f>
        <v>1027.71</v>
      </c>
      <c r="AG166">
        <f t="shared" si="177"/>
        <v>0</v>
      </c>
      <c r="AH166">
        <f>((EW166*0.7))</f>
        <v>103.6</v>
      </c>
      <c r="AI166">
        <f>((EX166*0.7))</f>
        <v>0.42</v>
      </c>
      <c r="AJ166">
        <f t="shared" si="178"/>
        <v>0</v>
      </c>
      <c r="AK166">
        <v>1663.44</v>
      </c>
      <c r="AL166">
        <v>141.97</v>
      </c>
      <c r="AM166">
        <v>53.31</v>
      </c>
      <c r="AN166">
        <v>7.53</v>
      </c>
      <c r="AO166">
        <v>1468.16</v>
      </c>
      <c r="AP166">
        <v>0</v>
      </c>
      <c r="AQ166">
        <v>148</v>
      </c>
      <c r="AR166">
        <v>0.6</v>
      </c>
      <c r="AS166">
        <v>0</v>
      </c>
      <c r="AT166">
        <v>95</v>
      </c>
      <c r="AU166">
        <v>65</v>
      </c>
      <c r="AV166">
        <v>1</v>
      </c>
      <c r="AW166">
        <v>1</v>
      </c>
      <c r="AZ166">
        <v>6.71</v>
      </c>
      <c r="BA166">
        <v>6.71</v>
      </c>
      <c r="BB166">
        <v>6.71</v>
      </c>
      <c r="BC166">
        <v>6.71</v>
      </c>
      <c r="BD166" t="s">
        <v>3</v>
      </c>
      <c r="BE166" t="s">
        <v>3</v>
      </c>
      <c r="BF166" t="s">
        <v>3</v>
      </c>
      <c r="BG166" t="s">
        <v>3</v>
      </c>
      <c r="BH166">
        <v>0</v>
      </c>
      <c r="BI166">
        <v>2</v>
      </c>
      <c r="BJ166" t="s">
        <v>398</v>
      </c>
      <c r="BM166">
        <v>108001</v>
      </c>
      <c r="BN166">
        <v>0</v>
      </c>
      <c r="BO166" t="s">
        <v>3</v>
      </c>
      <c r="BP166">
        <v>0</v>
      </c>
      <c r="BQ166">
        <v>3</v>
      </c>
      <c r="BR166">
        <v>0</v>
      </c>
      <c r="BS166">
        <v>6.71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95</v>
      </c>
      <c r="CA166">
        <v>65</v>
      </c>
      <c r="CF166">
        <v>0</v>
      </c>
      <c r="CG166">
        <v>0</v>
      </c>
      <c r="CM166">
        <v>0</v>
      </c>
      <c r="CN166" t="s">
        <v>972</v>
      </c>
      <c r="CO166">
        <v>0</v>
      </c>
      <c r="CP166">
        <f t="shared" si="179"/>
        <v>8575.6200000000008</v>
      </c>
      <c r="CQ166">
        <f t="shared" si="180"/>
        <v>0</v>
      </c>
      <c r="CR166">
        <f t="shared" si="181"/>
        <v>250.41720000000001</v>
      </c>
      <c r="CS166">
        <f t="shared" si="182"/>
        <v>35.361699999999999</v>
      </c>
      <c r="CT166">
        <f t="shared" si="183"/>
        <v>6895.9341000000004</v>
      </c>
      <c r="CU166">
        <f t="shared" si="184"/>
        <v>0</v>
      </c>
      <c r="CV166">
        <f t="shared" si="185"/>
        <v>103.6</v>
      </c>
      <c r="CW166">
        <f t="shared" si="186"/>
        <v>0.42</v>
      </c>
      <c r="CX166">
        <f t="shared" si="187"/>
        <v>0</v>
      </c>
      <c r="CY166">
        <f t="shared" si="188"/>
        <v>7901.6725000000015</v>
      </c>
      <c r="CZ166">
        <f t="shared" si="189"/>
        <v>5406.4075000000012</v>
      </c>
      <c r="DC166" t="s">
        <v>3</v>
      </c>
      <c r="DD166" t="s">
        <v>57</v>
      </c>
      <c r="DE166" t="s">
        <v>399</v>
      </c>
      <c r="DF166" t="s">
        <v>399</v>
      </c>
      <c r="DG166" t="s">
        <v>399</v>
      </c>
      <c r="DH166" t="s">
        <v>3</v>
      </c>
      <c r="DI166" t="s">
        <v>399</v>
      </c>
      <c r="DJ166" t="s">
        <v>399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39</v>
      </c>
      <c r="DW166" t="s">
        <v>39</v>
      </c>
      <c r="DX166">
        <v>1</v>
      </c>
      <c r="EE166">
        <v>39174386</v>
      </c>
      <c r="EF166">
        <v>3</v>
      </c>
      <c r="EG166" t="s">
        <v>391</v>
      </c>
      <c r="EH166">
        <v>0</v>
      </c>
      <c r="EI166" t="s">
        <v>3</v>
      </c>
      <c r="EJ166">
        <v>2</v>
      </c>
      <c r="EK166">
        <v>108001</v>
      </c>
      <c r="EL166" t="s">
        <v>392</v>
      </c>
      <c r="EM166" t="s">
        <v>393</v>
      </c>
      <c r="EO166" t="s">
        <v>400</v>
      </c>
      <c r="EQ166">
        <v>0</v>
      </c>
      <c r="ER166">
        <v>1663.44</v>
      </c>
      <c r="ES166">
        <v>141.97</v>
      </c>
      <c r="ET166">
        <v>53.31</v>
      </c>
      <c r="EU166">
        <v>7.53</v>
      </c>
      <c r="EV166">
        <v>1468.16</v>
      </c>
      <c r="EW166">
        <v>148</v>
      </c>
      <c r="EX166">
        <v>0.6</v>
      </c>
      <c r="EY166">
        <v>0</v>
      </c>
      <c r="FQ166">
        <v>0</v>
      </c>
      <c r="FR166">
        <f t="shared" si="190"/>
        <v>0</v>
      </c>
      <c r="FS166">
        <v>0</v>
      </c>
      <c r="FX166">
        <v>95</v>
      </c>
      <c r="FY166">
        <v>65</v>
      </c>
      <c r="GA166" t="s">
        <v>3</v>
      </c>
      <c r="GD166">
        <v>0</v>
      </c>
      <c r="GF166">
        <v>-1227947331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91"/>
        <v>0</v>
      </c>
      <c r="GM166">
        <f t="shared" si="192"/>
        <v>21883.7</v>
      </c>
      <c r="GN166">
        <f t="shared" si="193"/>
        <v>0</v>
      </c>
      <c r="GO166">
        <f t="shared" si="194"/>
        <v>21883.7</v>
      </c>
      <c r="GP166">
        <f t="shared" si="195"/>
        <v>0</v>
      </c>
      <c r="GR166">
        <v>0</v>
      </c>
      <c r="GS166">
        <v>3</v>
      </c>
      <c r="GT166">
        <v>0</v>
      </c>
      <c r="GU166" t="s">
        <v>3</v>
      </c>
      <c r="GV166">
        <f t="shared" si="196"/>
        <v>0</v>
      </c>
      <c r="GW166">
        <v>1</v>
      </c>
      <c r="GX166">
        <f t="shared" si="197"/>
        <v>0</v>
      </c>
      <c r="HA166">
        <v>0</v>
      </c>
      <c r="HB166">
        <v>0</v>
      </c>
      <c r="IK166">
        <v>0</v>
      </c>
    </row>
    <row r="167" spans="1:245" x14ac:dyDescent="0.2">
      <c r="A167">
        <v>17</v>
      </c>
      <c r="B167">
        <v>1</v>
      </c>
      <c r="C167">
        <f>ROW(SmtRes!A211)</f>
        <v>211</v>
      </c>
      <c r="D167">
        <f>ROW(EtalonRes!A210)</f>
        <v>210</v>
      </c>
      <c r="E167" t="s">
        <v>401</v>
      </c>
      <c r="F167" t="s">
        <v>402</v>
      </c>
      <c r="G167" t="s">
        <v>403</v>
      </c>
      <c r="H167" t="s">
        <v>404</v>
      </c>
      <c r="I167">
        <v>1</v>
      </c>
      <c r="J167">
        <v>0</v>
      </c>
      <c r="O167">
        <f t="shared" si="165"/>
        <v>89.45</v>
      </c>
      <c r="P167">
        <f t="shared" si="166"/>
        <v>0</v>
      </c>
      <c r="Q167">
        <f t="shared" si="167"/>
        <v>2.35</v>
      </c>
      <c r="R167">
        <f t="shared" si="168"/>
        <v>0</v>
      </c>
      <c r="S167">
        <f t="shared" si="169"/>
        <v>87.1</v>
      </c>
      <c r="T167">
        <f t="shared" si="170"/>
        <v>0</v>
      </c>
      <c r="U167">
        <f t="shared" si="171"/>
        <v>1.2539999999999998</v>
      </c>
      <c r="V167">
        <f t="shared" si="172"/>
        <v>0</v>
      </c>
      <c r="W167">
        <f t="shared" si="173"/>
        <v>0</v>
      </c>
      <c r="X167">
        <f t="shared" si="174"/>
        <v>82.75</v>
      </c>
      <c r="Y167">
        <f t="shared" si="175"/>
        <v>56.62</v>
      </c>
      <c r="AA167">
        <v>39096431</v>
      </c>
      <c r="AB167">
        <f t="shared" si="176"/>
        <v>13.33</v>
      </c>
      <c r="AC167">
        <f>ROUND(((ES167*0)),2)</f>
        <v>0</v>
      </c>
      <c r="AD167">
        <f>ROUND(((((ET167*0.6))-((EU167*0.6)))+AE167),2)</f>
        <v>0.35</v>
      </c>
      <c r="AE167">
        <f>ROUND(((EU167*0.6)),2)</f>
        <v>0</v>
      </c>
      <c r="AF167">
        <f>ROUND(((EV167*0.6)),2)</f>
        <v>12.98</v>
      </c>
      <c r="AG167">
        <f t="shared" si="177"/>
        <v>0</v>
      </c>
      <c r="AH167">
        <f>((EW167*0.6))</f>
        <v>1.2539999999999998</v>
      </c>
      <c r="AI167">
        <f>((EX167*0.6))</f>
        <v>0</v>
      </c>
      <c r="AJ167">
        <f t="shared" si="178"/>
        <v>0</v>
      </c>
      <c r="AK167">
        <v>65.78</v>
      </c>
      <c r="AL167">
        <v>43.56</v>
      </c>
      <c r="AM167">
        <v>0.59</v>
      </c>
      <c r="AN167">
        <v>0</v>
      </c>
      <c r="AO167">
        <v>21.63</v>
      </c>
      <c r="AP167">
        <v>0</v>
      </c>
      <c r="AQ167">
        <v>2.09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6.71</v>
      </c>
      <c r="BA167">
        <v>6.71</v>
      </c>
      <c r="BB167">
        <v>6.71</v>
      </c>
      <c r="BC167">
        <v>6.71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2</v>
      </c>
      <c r="BJ167" t="s">
        <v>405</v>
      </c>
      <c r="BM167">
        <v>108001</v>
      </c>
      <c r="BN167">
        <v>0</v>
      </c>
      <c r="BO167" t="s">
        <v>3</v>
      </c>
      <c r="BP167">
        <v>0</v>
      </c>
      <c r="BQ167">
        <v>3</v>
      </c>
      <c r="BR167">
        <v>0</v>
      </c>
      <c r="BS167">
        <v>6.71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973</v>
      </c>
      <c r="CO167">
        <v>0</v>
      </c>
      <c r="CP167">
        <f t="shared" si="179"/>
        <v>89.449999999999989</v>
      </c>
      <c r="CQ167">
        <f t="shared" si="180"/>
        <v>0</v>
      </c>
      <c r="CR167">
        <f t="shared" si="181"/>
        <v>2.3485</v>
      </c>
      <c r="CS167">
        <f t="shared" si="182"/>
        <v>0</v>
      </c>
      <c r="CT167">
        <f t="shared" si="183"/>
        <v>87.095799999999997</v>
      </c>
      <c r="CU167">
        <f t="shared" si="184"/>
        <v>0</v>
      </c>
      <c r="CV167">
        <f t="shared" si="185"/>
        <v>1.2539999999999998</v>
      </c>
      <c r="CW167">
        <f t="shared" si="186"/>
        <v>0</v>
      </c>
      <c r="CX167">
        <f t="shared" si="187"/>
        <v>0</v>
      </c>
      <c r="CY167">
        <f t="shared" si="188"/>
        <v>82.745000000000005</v>
      </c>
      <c r="CZ167">
        <f t="shared" si="189"/>
        <v>56.615000000000002</v>
      </c>
      <c r="DC167" t="s">
        <v>3</v>
      </c>
      <c r="DD167" t="s">
        <v>57</v>
      </c>
      <c r="DE167" t="s">
        <v>406</v>
      </c>
      <c r="DF167" t="s">
        <v>406</v>
      </c>
      <c r="DG167" t="s">
        <v>406</v>
      </c>
      <c r="DH167" t="s">
        <v>3</v>
      </c>
      <c r="DI167" t="s">
        <v>406</v>
      </c>
      <c r="DJ167" t="s">
        <v>406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404</v>
      </c>
      <c r="DW167" t="s">
        <v>404</v>
      </c>
      <c r="DX167">
        <v>1</v>
      </c>
      <c r="EE167">
        <v>39174386</v>
      </c>
      <c r="EF167">
        <v>3</v>
      </c>
      <c r="EG167" t="s">
        <v>391</v>
      </c>
      <c r="EH167">
        <v>0</v>
      </c>
      <c r="EI167" t="s">
        <v>3</v>
      </c>
      <c r="EJ167">
        <v>2</v>
      </c>
      <c r="EK167">
        <v>108001</v>
      </c>
      <c r="EL167" t="s">
        <v>392</v>
      </c>
      <c r="EM167" t="s">
        <v>393</v>
      </c>
      <c r="EO167" t="s">
        <v>407</v>
      </c>
      <c r="EQ167">
        <v>0</v>
      </c>
      <c r="ER167">
        <v>65.78</v>
      </c>
      <c r="ES167">
        <v>43.56</v>
      </c>
      <c r="ET167">
        <v>0.59</v>
      </c>
      <c r="EU167">
        <v>0</v>
      </c>
      <c r="EV167">
        <v>21.63</v>
      </c>
      <c r="EW167">
        <v>2.09</v>
      </c>
      <c r="EX167">
        <v>0</v>
      </c>
      <c r="EY167">
        <v>0</v>
      </c>
      <c r="FQ167">
        <v>0</v>
      </c>
      <c r="FR167">
        <f t="shared" si="190"/>
        <v>0</v>
      </c>
      <c r="FS167">
        <v>0</v>
      </c>
      <c r="FX167">
        <v>95</v>
      </c>
      <c r="FY167">
        <v>65</v>
      </c>
      <c r="GA167" t="s">
        <v>3</v>
      </c>
      <c r="GD167">
        <v>0</v>
      </c>
      <c r="GF167">
        <v>1485652313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91"/>
        <v>0</v>
      </c>
      <c r="GM167">
        <f t="shared" si="192"/>
        <v>228.82</v>
      </c>
      <c r="GN167">
        <f t="shared" si="193"/>
        <v>0</v>
      </c>
      <c r="GO167">
        <f t="shared" si="194"/>
        <v>228.82</v>
      </c>
      <c r="GP167">
        <f t="shared" si="195"/>
        <v>0</v>
      </c>
      <c r="GR167">
        <v>0</v>
      </c>
      <c r="GS167">
        <v>3</v>
      </c>
      <c r="GT167">
        <v>0</v>
      </c>
      <c r="GU167" t="s">
        <v>3</v>
      </c>
      <c r="GV167">
        <f t="shared" si="196"/>
        <v>0</v>
      </c>
      <c r="GW167">
        <v>1</v>
      </c>
      <c r="GX167">
        <f t="shared" si="197"/>
        <v>0</v>
      </c>
      <c r="HA167">
        <v>0</v>
      </c>
      <c r="HB167">
        <v>0</v>
      </c>
      <c r="IK167">
        <v>0</v>
      </c>
    </row>
    <row r="168" spans="1:245" x14ac:dyDescent="0.2">
      <c r="A168">
        <v>17</v>
      </c>
      <c r="B168">
        <v>1</v>
      </c>
      <c r="C168">
        <f>ROW(SmtRes!A226)</f>
        <v>226</v>
      </c>
      <c r="D168">
        <f>ROW(EtalonRes!A225)</f>
        <v>225</v>
      </c>
      <c r="E168" t="s">
        <v>408</v>
      </c>
      <c r="F168" t="s">
        <v>402</v>
      </c>
      <c r="G168" t="s">
        <v>409</v>
      </c>
      <c r="H168" t="s">
        <v>404</v>
      </c>
      <c r="I168">
        <v>1</v>
      </c>
      <c r="J168">
        <v>0</v>
      </c>
      <c r="O168">
        <f t="shared" si="165"/>
        <v>441.39</v>
      </c>
      <c r="P168">
        <f t="shared" si="166"/>
        <v>292.29000000000002</v>
      </c>
      <c r="Q168">
        <f t="shared" si="167"/>
        <v>3.96</v>
      </c>
      <c r="R168">
        <f t="shared" si="168"/>
        <v>0</v>
      </c>
      <c r="S168">
        <f t="shared" si="169"/>
        <v>145.13999999999999</v>
      </c>
      <c r="T168">
        <f t="shared" si="170"/>
        <v>0</v>
      </c>
      <c r="U168">
        <f t="shared" si="171"/>
        <v>2.09</v>
      </c>
      <c r="V168">
        <f t="shared" si="172"/>
        <v>0</v>
      </c>
      <c r="W168">
        <f t="shared" si="173"/>
        <v>0</v>
      </c>
      <c r="X168">
        <f t="shared" si="174"/>
        <v>137.88</v>
      </c>
      <c r="Y168">
        <f t="shared" si="175"/>
        <v>94.34</v>
      </c>
      <c r="AA168">
        <v>39096431</v>
      </c>
      <c r="AB168">
        <f t="shared" si="176"/>
        <v>65.78</v>
      </c>
      <c r="AC168">
        <f t="shared" ref="AC168:AC201" si="198">ROUND((ES168),2)</f>
        <v>43.56</v>
      </c>
      <c r="AD168">
        <f t="shared" ref="AD168:AD201" si="199">ROUND((((ET168)-(EU168))+AE168),2)</f>
        <v>0.59</v>
      </c>
      <c r="AE168">
        <f t="shared" ref="AE168:AE197" si="200">ROUND((EU168),2)</f>
        <v>0</v>
      </c>
      <c r="AF168">
        <f t="shared" ref="AF168:AF197" si="201">ROUND((EV168),2)</f>
        <v>21.63</v>
      </c>
      <c r="AG168">
        <f t="shared" si="177"/>
        <v>0</v>
      </c>
      <c r="AH168">
        <f t="shared" ref="AH168:AH197" si="202">(EW168)</f>
        <v>2.09</v>
      </c>
      <c r="AI168">
        <f t="shared" ref="AI168:AI197" si="203">(EX168)</f>
        <v>0</v>
      </c>
      <c r="AJ168">
        <f t="shared" si="178"/>
        <v>0</v>
      </c>
      <c r="AK168">
        <v>65.78</v>
      </c>
      <c r="AL168">
        <v>43.56</v>
      </c>
      <c r="AM168">
        <v>0.59</v>
      </c>
      <c r="AN168">
        <v>0</v>
      </c>
      <c r="AO168">
        <v>21.63</v>
      </c>
      <c r="AP168">
        <v>0</v>
      </c>
      <c r="AQ168">
        <v>2.09</v>
      </c>
      <c r="AR168">
        <v>0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6.71</v>
      </c>
      <c r="BA168">
        <v>6.71</v>
      </c>
      <c r="BB168">
        <v>6.71</v>
      </c>
      <c r="BC168">
        <v>6.71</v>
      </c>
      <c r="BD168" t="s">
        <v>3</v>
      </c>
      <c r="BE168" t="s">
        <v>3</v>
      </c>
      <c r="BF168" t="s">
        <v>3</v>
      </c>
      <c r="BG168" t="s">
        <v>3</v>
      </c>
      <c r="BH168">
        <v>0</v>
      </c>
      <c r="BI168">
        <v>2</v>
      </c>
      <c r="BJ168" t="s">
        <v>405</v>
      </c>
      <c r="BM168">
        <v>108001</v>
      </c>
      <c r="BN168">
        <v>0</v>
      </c>
      <c r="BO168" t="s">
        <v>3</v>
      </c>
      <c r="BP168">
        <v>0</v>
      </c>
      <c r="BQ168">
        <v>3</v>
      </c>
      <c r="BR168">
        <v>0</v>
      </c>
      <c r="BS168">
        <v>6.71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95</v>
      </c>
      <c r="CA168">
        <v>65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 t="shared" si="179"/>
        <v>441.39</v>
      </c>
      <c r="CQ168">
        <f t="shared" si="180"/>
        <v>292.2876</v>
      </c>
      <c r="CR168">
        <f t="shared" si="181"/>
        <v>3.9588999999999999</v>
      </c>
      <c r="CS168">
        <f t="shared" si="182"/>
        <v>0</v>
      </c>
      <c r="CT168">
        <f t="shared" si="183"/>
        <v>145.13729999999998</v>
      </c>
      <c r="CU168">
        <f t="shared" si="184"/>
        <v>0</v>
      </c>
      <c r="CV168">
        <f t="shared" si="185"/>
        <v>2.09</v>
      </c>
      <c r="CW168">
        <f t="shared" si="186"/>
        <v>0</v>
      </c>
      <c r="CX168">
        <f t="shared" si="187"/>
        <v>0</v>
      </c>
      <c r="CY168">
        <f t="shared" si="188"/>
        <v>137.88299999999998</v>
      </c>
      <c r="CZ168">
        <f t="shared" si="189"/>
        <v>94.34099999999998</v>
      </c>
      <c r="DC168" t="s">
        <v>3</v>
      </c>
      <c r="DD168" t="s">
        <v>3</v>
      </c>
      <c r="DE168" t="s">
        <v>3</v>
      </c>
      <c r="DF168" t="s">
        <v>3</v>
      </c>
      <c r="DG168" t="s">
        <v>3</v>
      </c>
      <c r="DH168" t="s">
        <v>3</v>
      </c>
      <c r="DI168" t="s">
        <v>3</v>
      </c>
      <c r="DJ168" t="s">
        <v>3</v>
      </c>
      <c r="DK168" t="s">
        <v>3</v>
      </c>
      <c r="DL168" t="s">
        <v>3</v>
      </c>
      <c r="DM168" t="s">
        <v>3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404</v>
      </c>
      <c r="DW168" t="s">
        <v>404</v>
      </c>
      <c r="DX168">
        <v>1</v>
      </c>
      <c r="EE168">
        <v>39174386</v>
      </c>
      <c r="EF168">
        <v>3</v>
      </c>
      <c r="EG168" t="s">
        <v>391</v>
      </c>
      <c r="EH168">
        <v>0</v>
      </c>
      <c r="EI168" t="s">
        <v>3</v>
      </c>
      <c r="EJ168">
        <v>2</v>
      </c>
      <c r="EK168">
        <v>108001</v>
      </c>
      <c r="EL168" t="s">
        <v>392</v>
      </c>
      <c r="EM168" t="s">
        <v>393</v>
      </c>
      <c r="EO168" t="s">
        <v>3</v>
      </c>
      <c r="EQ168">
        <v>0</v>
      </c>
      <c r="ER168">
        <v>65.78</v>
      </c>
      <c r="ES168">
        <v>43.56</v>
      </c>
      <c r="ET168">
        <v>0.59</v>
      </c>
      <c r="EU168">
        <v>0</v>
      </c>
      <c r="EV168">
        <v>21.63</v>
      </c>
      <c r="EW168">
        <v>2.09</v>
      </c>
      <c r="EX168">
        <v>0</v>
      </c>
      <c r="EY168">
        <v>0</v>
      </c>
      <c r="FQ168">
        <v>0</v>
      </c>
      <c r="FR168">
        <f t="shared" si="190"/>
        <v>0</v>
      </c>
      <c r="FS168">
        <v>0</v>
      </c>
      <c r="FX168">
        <v>95</v>
      </c>
      <c r="FY168">
        <v>65</v>
      </c>
      <c r="GA168" t="s">
        <v>3</v>
      </c>
      <c r="GD168">
        <v>0</v>
      </c>
      <c r="GF168">
        <v>-1096160851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91"/>
        <v>0</v>
      </c>
      <c r="GM168">
        <f t="shared" si="192"/>
        <v>673.61</v>
      </c>
      <c r="GN168">
        <f t="shared" si="193"/>
        <v>0</v>
      </c>
      <c r="GO168">
        <f t="shared" si="194"/>
        <v>673.61</v>
      </c>
      <c r="GP168">
        <f t="shared" si="195"/>
        <v>0</v>
      </c>
      <c r="GR168">
        <v>0</v>
      </c>
      <c r="GS168">
        <v>3</v>
      </c>
      <c r="GT168">
        <v>0</v>
      </c>
      <c r="GU168" t="s">
        <v>3</v>
      </c>
      <c r="GV168">
        <f t="shared" si="196"/>
        <v>0</v>
      </c>
      <c r="GW168">
        <v>1</v>
      </c>
      <c r="GX168">
        <f t="shared" si="197"/>
        <v>0</v>
      </c>
      <c r="HA168">
        <v>0</v>
      </c>
      <c r="HB168">
        <v>0</v>
      </c>
      <c r="IK168">
        <v>0</v>
      </c>
    </row>
    <row r="169" spans="1:245" x14ac:dyDescent="0.2">
      <c r="A169">
        <v>17</v>
      </c>
      <c r="B169">
        <v>1</v>
      </c>
      <c r="E169" t="s">
        <v>410</v>
      </c>
      <c r="F169" t="s">
        <v>411</v>
      </c>
      <c r="G169" t="s">
        <v>412</v>
      </c>
      <c r="H169" t="s">
        <v>39</v>
      </c>
      <c r="I169">
        <v>0.3</v>
      </c>
      <c r="J169">
        <v>0</v>
      </c>
      <c r="O169">
        <f t="shared" si="165"/>
        <v>91.69</v>
      </c>
      <c r="P169">
        <f t="shared" si="166"/>
        <v>0</v>
      </c>
      <c r="Q169">
        <f t="shared" si="167"/>
        <v>0</v>
      </c>
      <c r="R169">
        <f t="shared" si="168"/>
        <v>0</v>
      </c>
      <c r="S169">
        <f t="shared" si="169"/>
        <v>91.69</v>
      </c>
      <c r="T169">
        <f t="shared" si="170"/>
        <v>0</v>
      </c>
      <c r="U169">
        <f t="shared" si="171"/>
        <v>1.752</v>
      </c>
      <c r="V169">
        <f t="shared" si="172"/>
        <v>0</v>
      </c>
      <c r="W169">
        <f t="shared" si="173"/>
        <v>0</v>
      </c>
      <c r="X169">
        <f t="shared" si="174"/>
        <v>77.94</v>
      </c>
      <c r="Y169">
        <f t="shared" si="175"/>
        <v>59.6</v>
      </c>
      <c r="AA169">
        <v>39096431</v>
      </c>
      <c r="AB169">
        <f t="shared" si="176"/>
        <v>45.55</v>
      </c>
      <c r="AC169">
        <f t="shared" si="198"/>
        <v>0</v>
      </c>
      <c r="AD169">
        <f t="shared" si="199"/>
        <v>0</v>
      </c>
      <c r="AE169">
        <f t="shared" si="200"/>
        <v>0</v>
      </c>
      <c r="AF169">
        <f t="shared" si="201"/>
        <v>45.55</v>
      </c>
      <c r="AG169">
        <f t="shared" si="177"/>
        <v>0</v>
      </c>
      <c r="AH169">
        <f t="shared" si="202"/>
        <v>5.84</v>
      </c>
      <c r="AI169">
        <f t="shared" si="203"/>
        <v>0</v>
      </c>
      <c r="AJ169">
        <f t="shared" si="178"/>
        <v>0</v>
      </c>
      <c r="AK169">
        <v>45.55</v>
      </c>
      <c r="AL169">
        <v>0</v>
      </c>
      <c r="AM169">
        <v>0</v>
      </c>
      <c r="AN169">
        <v>0</v>
      </c>
      <c r="AO169">
        <v>45.55</v>
      </c>
      <c r="AP169">
        <v>0</v>
      </c>
      <c r="AQ169">
        <v>5.84</v>
      </c>
      <c r="AR169">
        <v>0</v>
      </c>
      <c r="AS169">
        <v>0</v>
      </c>
      <c r="AT169">
        <v>85</v>
      </c>
      <c r="AU169">
        <v>65</v>
      </c>
      <c r="AV169">
        <v>1</v>
      </c>
      <c r="AW169">
        <v>1</v>
      </c>
      <c r="AZ169">
        <v>6.71</v>
      </c>
      <c r="BA169">
        <v>6.71</v>
      </c>
      <c r="BB169">
        <v>6.71</v>
      </c>
      <c r="BC169">
        <v>6.71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1</v>
      </c>
      <c r="BJ169" t="s">
        <v>413</v>
      </c>
      <c r="BM169">
        <v>67001</v>
      </c>
      <c r="BN169">
        <v>0</v>
      </c>
      <c r="BO169" t="s">
        <v>3</v>
      </c>
      <c r="BP169">
        <v>0</v>
      </c>
      <c r="BQ169">
        <v>6</v>
      </c>
      <c r="BR169">
        <v>0</v>
      </c>
      <c r="BS169">
        <v>6.71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85</v>
      </c>
      <c r="CA169">
        <v>65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179"/>
        <v>91.69</v>
      </c>
      <c r="CQ169">
        <f t="shared" si="180"/>
        <v>0</v>
      </c>
      <c r="CR169">
        <f t="shared" si="181"/>
        <v>0</v>
      </c>
      <c r="CS169">
        <f t="shared" si="182"/>
        <v>0</v>
      </c>
      <c r="CT169">
        <f t="shared" si="183"/>
        <v>305.64049999999997</v>
      </c>
      <c r="CU169">
        <f t="shared" si="184"/>
        <v>0</v>
      </c>
      <c r="CV169">
        <f t="shared" si="185"/>
        <v>5.84</v>
      </c>
      <c r="CW169">
        <f t="shared" si="186"/>
        <v>0</v>
      </c>
      <c r="CX169">
        <f t="shared" si="187"/>
        <v>0</v>
      </c>
      <c r="CY169">
        <f t="shared" si="188"/>
        <v>77.936499999999995</v>
      </c>
      <c r="CZ169">
        <f t="shared" si="189"/>
        <v>59.598499999999994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39</v>
      </c>
      <c r="DW169" t="s">
        <v>39</v>
      </c>
      <c r="DX169">
        <v>1</v>
      </c>
      <c r="EE169">
        <v>39174628</v>
      </c>
      <c r="EF169">
        <v>6</v>
      </c>
      <c r="EG169" t="s">
        <v>29</v>
      </c>
      <c r="EH169">
        <v>0</v>
      </c>
      <c r="EI169" t="s">
        <v>3</v>
      </c>
      <c r="EJ169">
        <v>1</v>
      </c>
      <c r="EK169">
        <v>67001</v>
      </c>
      <c r="EL169" t="s">
        <v>384</v>
      </c>
      <c r="EM169" t="s">
        <v>385</v>
      </c>
      <c r="EO169" t="s">
        <v>3</v>
      </c>
      <c r="EQ169">
        <v>0</v>
      </c>
      <c r="ER169">
        <v>45.55</v>
      </c>
      <c r="ES169">
        <v>0</v>
      </c>
      <c r="ET169">
        <v>0</v>
      </c>
      <c r="EU169">
        <v>0</v>
      </c>
      <c r="EV169">
        <v>45.55</v>
      </c>
      <c r="EW169">
        <v>5.84</v>
      </c>
      <c r="EX169">
        <v>0</v>
      </c>
      <c r="EY169">
        <v>0</v>
      </c>
      <c r="FQ169">
        <v>0</v>
      </c>
      <c r="FR169">
        <f t="shared" si="190"/>
        <v>0</v>
      </c>
      <c r="FS169">
        <v>0</v>
      </c>
      <c r="FX169">
        <v>85</v>
      </c>
      <c r="FY169">
        <v>65</v>
      </c>
      <c r="GA169" t="s">
        <v>3</v>
      </c>
      <c r="GD169">
        <v>0</v>
      </c>
      <c r="GF169">
        <v>-364073208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91"/>
        <v>0</v>
      </c>
      <c r="GM169">
        <f t="shared" si="192"/>
        <v>229.23</v>
      </c>
      <c r="GN169">
        <f t="shared" si="193"/>
        <v>229.23</v>
      </c>
      <c r="GO169">
        <f t="shared" si="194"/>
        <v>0</v>
      </c>
      <c r="GP169">
        <f t="shared" si="195"/>
        <v>0</v>
      </c>
      <c r="GR169">
        <v>0</v>
      </c>
      <c r="GS169">
        <v>3</v>
      </c>
      <c r="GT169">
        <v>0</v>
      </c>
      <c r="GU169" t="s">
        <v>3</v>
      </c>
      <c r="GV169">
        <f t="shared" si="196"/>
        <v>0</v>
      </c>
      <c r="GW169">
        <v>1</v>
      </c>
      <c r="GX169">
        <f t="shared" si="197"/>
        <v>0</v>
      </c>
      <c r="HA169">
        <v>0</v>
      </c>
      <c r="HB169">
        <v>0</v>
      </c>
      <c r="IK169">
        <v>0</v>
      </c>
    </row>
    <row r="170" spans="1:245" x14ac:dyDescent="0.2">
      <c r="A170">
        <v>17</v>
      </c>
      <c r="B170">
        <v>1</v>
      </c>
      <c r="C170">
        <f>ROW(SmtRes!A227)</f>
        <v>227</v>
      </c>
      <c r="D170">
        <f>ROW(EtalonRes!A227)</f>
        <v>227</v>
      </c>
      <c r="E170" t="s">
        <v>414</v>
      </c>
      <c r="F170" t="s">
        <v>415</v>
      </c>
      <c r="G170" t="s">
        <v>416</v>
      </c>
      <c r="H170" t="s">
        <v>39</v>
      </c>
      <c r="I170">
        <v>0.14000000000000001</v>
      </c>
      <c r="J170">
        <v>0</v>
      </c>
      <c r="O170">
        <f t="shared" si="165"/>
        <v>626.49</v>
      </c>
      <c r="P170">
        <f t="shared" si="166"/>
        <v>0</v>
      </c>
      <c r="Q170">
        <f t="shared" si="167"/>
        <v>0</v>
      </c>
      <c r="R170">
        <f t="shared" si="168"/>
        <v>0</v>
      </c>
      <c r="S170">
        <f t="shared" si="169"/>
        <v>626.49</v>
      </c>
      <c r="T170">
        <f t="shared" si="170"/>
        <v>0</v>
      </c>
      <c r="U170">
        <f t="shared" si="171"/>
        <v>11.97</v>
      </c>
      <c r="V170">
        <f t="shared" si="172"/>
        <v>0</v>
      </c>
      <c r="W170">
        <f t="shared" si="173"/>
        <v>0</v>
      </c>
      <c r="X170">
        <f t="shared" si="174"/>
        <v>488.66</v>
      </c>
      <c r="Y170">
        <f t="shared" si="175"/>
        <v>313.25</v>
      </c>
      <c r="AA170">
        <v>39096431</v>
      </c>
      <c r="AB170">
        <f t="shared" si="176"/>
        <v>666.9</v>
      </c>
      <c r="AC170">
        <f t="shared" si="198"/>
        <v>0</v>
      </c>
      <c r="AD170">
        <f t="shared" si="199"/>
        <v>0</v>
      </c>
      <c r="AE170">
        <f t="shared" si="200"/>
        <v>0</v>
      </c>
      <c r="AF170">
        <f t="shared" si="201"/>
        <v>666.9</v>
      </c>
      <c r="AG170">
        <f t="shared" si="177"/>
        <v>0</v>
      </c>
      <c r="AH170">
        <f t="shared" si="202"/>
        <v>85.5</v>
      </c>
      <c r="AI170">
        <f t="shared" si="203"/>
        <v>0</v>
      </c>
      <c r="AJ170">
        <f t="shared" si="178"/>
        <v>0</v>
      </c>
      <c r="AK170">
        <v>666.9</v>
      </c>
      <c r="AL170">
        <v>0</v>
      </c>
      <c r="AM170">
        <v>0</v>
      </c>
      <c r="AN170">
        <v>0</v>
      </c>
      <c r="AO170">
        <v>666.9</v>
      </c>
      <c r="AP170">
        <v>0</v>
      </c>
      <c r="AQ170">
        <v>85.5</v>
      </c>
      <c r="AR170">
        <v>0</v>
      </c>
      <c r="AS170">
        <v>0</v>
      </c>
      <c r="AT170">
        <v>78</v>
      </c>
      <c r="AU170">
        <v>50</v>
      </c>
      <c r="AV170">
        <v>1</v>
      </c>
      <c r="AW170">
        <v>1</v>
      </c>
      <c r="AZ170">
        <v>6.71</v>
      </c>
      <c r="BA170">
        <v>6.71</v>
      </c>
      <c r="BB170">
        <v>6.71</v>
      </c>
      <c r="BC170">
        <v>6.71</v>
      </c>
      <c r="BD170" t="s">
        <v>3</v>
      </c>
      <c r="BE170" t="s">
        <v>3</v>
      </c>
      <c r="BF170" t="s">
        <v>3</v>
      </c>
      <c r="BG170" t="s">
        <v>3</v>
      </c>
      <c r="BH170">
        <v>0</v>
      </c>
      <c r="BI170">
        <v>1</v>
      </c>
      <c r="BJ170" t="s">
        <v>417</v>
      </c>
      <c r="BM170">
        <v>69001</v>
      </c>
      <c r="BN170">
        <v>0</v>
      </c>
      <c r="BO170" t="s">
        <v>3</v>
      </c>
      <c r="BP170">
        <v>0</v>
      </c>
      <c r="BQ170">
        <v>6</v>
      </c>
      <c r="BR170">
        <v>0</v>
      </c>
      <c r="BS170">
        <v>6.71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78</v>
      </c>
      <c r="CA170">
        <v>50</v>
      </c>
      <c r="CF170">
        <v>0</v>
      </c>
      <c r="CG170">
        <v>0</v>
      </c>
      <c r="CM170">
        <v>0</v>
      </c>
      <c r="CN170" t="s">
        <v>3</v>
      </c>
      <c r="CO170">
        <v>0</v>
      </c>
      <c r="CP170">
        <f t="shared" si="179"/>
        <v>626.49</v>
      </c>
      <c r="CQ170">
        <f t="shared" si="180"/>
        <v>0</v>
      </c>
      <c r="CR170">
        <f t="shared" si="181"/>
        <v>0</v>
      </c>
      <c r="CS170">
        <f t="shared" si="182"/>
        <v>0</v>
      </c>
      <c r="CT170">
        <f t="shared" si="183"/>
        <v>4474.8989999999994</v>
      </c>
      <c r="CU170">
        <f t="shared" si="184"/>
        <v>0</v>
      </c>
      <c r="CV170">
        <f t="shared" si="185"/>
        <v>85.5</v>
      </c>
      <c r="CW170">
        <f t="shared" si="186"/>
        <v>0</v>
      </c>
      <c r="CX170">
        <f t="shared" si="187"/>
        <v>0</v>
      </c>
      <c r="CY170">
        <f t="shared" si="188"/>
        <v>488.66219999999998</v>
      </c>
      <c r="CZ170">
        <f t="shared" si="189"/>
        <v>313.245</v>
      </c>
      <c r="DC170" t="s">
        <v>3</v>
      </c>
      <c r="DD170" t="s">
        <v>3</v>
      </c>
      <c r="DE170" t="s">
        <v>3</v>
      </c>
      <c r="DF170" t="s">
        <v>3</v>
      </c>
      <c r="DG170" t="s">
        <v>3</v>
      </c>
      <c r="DH170" t="s">
        <v>3</v>
      </c>
      <c r="DI170" t="s">
        <v>3</v>
      </c>
      <c r="DJ170" t="s">
        <v>3</v>
      </c>
      <c r="DK170" t="s">
        <v>3</v>
      </c>
      <c r="DL170" t="s">
        <v>3</v>
      </c>
      <c r="DM170" t="s">
        <v>3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39</v>
      </c>
      <c r="DW170" t="s">
        <v>39</v>
      </c>
      <c r="DX170">
        <v>1</v>
      </c>
      <c r="EE170">
        <v>39174630</v>
      </c>
      <c r="EF170">
        <v>6</v>
      </c>
      <c r="EG170" t="s">
        <v>29</v>
      </c>
      <c r="EH170">
        <v>0</v>
      </c>
      <c r="EI170" t="s">
        <v>3</v>
      </c>
      <c r="EJ170">
        <v>1</v>
      </c>
      <c r="EK170">
        <v>69001</v>
      </c>
      <c r="EL170" t="s">
        <v>263</v>
      </c>
      <c r="EM170" t="s">
        <v>264</v>
      </c>
      <c r="EO170" t="s">
        <v>3</v>
      </c>
      <c r="EQ170">
        <v>0</v>
      </c>
      <c r="ER170">
        <v>666.9</v>
      </c>
      <c r="ES170">
        <v>0</v>
      </c>
      <c r="ET170">
        <v>0</v>
      </c>
      <c r="EU170">
        <v>0</v>
      </c>
      <c r="EV170">
        <v>666.9</v>
      </c>
      <c r="EW170">
        <v>85.5</v>
      </c>
      <c r="EX170">
        <v>0</v>
      </c>
      <c r="EY170">
        <v>0</v>
      </c>
      <c r="FQ170">
        <v>0</v>
      </c>
      <c r="FR170">
        <f t="shared" si="190"/>
        <v>0</v>
      </c>
      <c r="FS170">
        <v>0</v>
      </c>
      <c r="FX170">
        <v>78</v>
      </c>
      <c r="FY170">
        <v>50</v>
      </c>
      <c r="GA170" t="s">
        <v>3</v>
      </c>
      <c r="GD170">
        <v>0</v>
      </c>
      <c r="GF170">
        <v>-1582211729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91"/>
        <v>0</v>
      </c>
      <c r="GM170">
        <f t="shared" si="192"/>
        <v>1428.4</v>
      </c>
      <c r="GN170">
        <f t="shared" si="193"/>
        <v>1428.4</v>
      </c>
      <c r="GO170">
        <f t="shared" si="194"/>
        <v>0</v>
      </c>
      <c r="GP170">
        <f t="shared" si="195"/>
        <v>0</v>
      </c>
      <c r="GR170">
        <v>0</v>
      </c>
      <c r="GS170">
        <v>3</v>
      </c>
      <c r="GT170">
        <v>0</v>
      </c>
      <c r="GU170" t="s">
        <v>3</v>
      </c>
      <c r="GV170">
        <f t="shared" si="196"/>
        <v>0</v>
      </c>
      <c r="GW170">
        <v>1</v>
      </c>
      <c r="GX170">
        <f t="shared" si="197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ROW(SmtRes!A238)</f>
        <v>238</v>
      </c>
      <c r="D171">
        <f>ROW(EtalonRes!A237)</f>
        <v>237</v>
      </c>
      <c r="E171" t="s">
        <v>418</v>
      </c>
      <c r="F171" t="s">
        <v>419</v>
      </c>
      <c r="G171" t="s">
        <v>420</v>
      </c>
      <c r="H171" t="s">
        <v>27</v>
      </c>
      <c r="I171">
        <f>ROUND(9.8/100,9)</f>
        <v>9.8000000000000004E-2</v>
      </c>
      <c r="J171">
        <v>0</v>
      </c>
      <c r="O171">
        <f t="shared" si="165"/>
        <v>165.01</v>
      </c>
      <c r="P171">
        <f t="shared" si="166"/>
        <v>57.7</v>
      </c>
      <c r="Q171">
        <f t="shared" si="167"/>
        <v>12.86</v>
      </c>
      <c r="R171">
        <f t="shared" si="168"/>
        <v>1.82</v>
      </c>
      <c r="S171">
        <f t="shared" si="169"/>
        <v>94.45</v>
      </c>
      <c r="T171">
        <f t="shared" si="170"/>
        <v>0</v>
      </c>
      <c r="U171">
        <f t="shared" si="171"/>
        <v>1.4974400000000001</v>
      </c>
      <c r="V171">
        <f t="shared" si="172"/>
        <v>2.1559999999999999E-2</v>
      </c>
      <c r="W171">
        <f t="shared" si="173"/>
        <v>0</v>
      </c>
      <c r="X171">
        <f t="shared" si="174"/>
        <v>91.46</v>
      </c>
      <c r="Y171">
        <f t="shared" si="175"/>
        <v>62.58</v>
      </c>
      <c r="AA171">
        <v>39096431</v>
      </c>
      <c r="AB171">
        <f t="shared" si="176"/>
        <v>250.92</v>
      </c>
      <c r="AC171">
        <f t="shared" si="198"/>
        <v>87.74</v>
      </c>
      <c r="AD171">
        <f t="shared" si="199"/>
        <v>19.55</v>
      </c>
      <c r="AE171">
        <f t="shared" si="200"/>
        <v>2.77</v>
      </c>
      <c r="AF171">
        <f t="shared" si="201"/>
        <v>143.63</v>
      </c>
      <c r="AG171">
        <f t="shared" si="177"/>
        <v>0</v>
      </c>
      <c r="AH171">
        <f t="shared" si="202"/>
        <v>15.28</v>
      </c>
      <c r="AI171">
        <f t="shared" si="203"/>
        <v>0.22</v>
      </c>
      <c r="AJ171">
        <f t="shared" si="178"/>
        <v>0</v>
      </c>
      <c r="AK171">
        <v>250.92</v>
      </c>
      <c r="AL171">
        <v>87.74</v>
      </c>
      <c r="AM171">
        <v>19.55</v>
      </c>
      <c r="AN171">
        <v>2.77</v>
      </c>
      <c r="AO171">
        <v>143.63</v>
      </c>
      <c r="AP171">
        <v>0</v>
      </c>
      <c r="AQ171">
        <v>15.28</v>
      </c>
      <c r="AR171">
        <v>0.22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6.71</v>
      </c>
      <c r="BA171">
        <v>6.71</v>
      </c>
      <c r="BB171">
        <v>6.71</v>
      </c>
      <c r="BC171">
        <v>6.71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2</v>
      </c>
      <c r="BJ171" t="s">
        <v>421</v>
      </c>
      <c r="BM171">
        <v>108001</v>
      </c>
      <c r="BN171">
        <v>0</v>
      </c>
      <c r="BO171" t="s">
        <v>3</v>
      </c>
      <c r="BP171">
        <v>0</v>
      </c>
      <c r="BQ171">
        <v>3</v>
      </c>
      <c r="BR171">
        <v>0</v>
      </c>
      <c r="BS171">
        <v>6.71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95</v>
      </c>
      <c r="CA171">
        <v>65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179"/>
        <v>165.01</v>
      </c>
      <c r="CQ171">
        <f t="shared" si="180"/>
        <v>588.73539999999991</v>
      </c>
      <c r="CR171">
        <f t="shared" si="181"/>
        <v>131.18049999999999</v>
      </c>
      <c r="CS171">
        <f t="shared" si="182"/>
        <v>18.5867</v>
      </c>
      <c r="CT171">
        <f t="shared" si="183"/>
        <v>963.75729999999999</v>
      </c>
      <c r="CU171">
        <f t="shared" si="184"/>
        <v>0</v>
      </c>
      <c r="CV171">
        <f t="shared" si="185"/>
        <v>15.28</v>
      </c>
      <c r="CW171">
        <f t="shared" si="186"/>
        <v>0.22</v>
      </c>
      <c r="CX171">
        <f t="shared" si="187"/>
        <v>0</v>
      </c>
      <c r="CY171">
        <f t="shared" si="188"/>
        <v>91.456499999999991</v>
      </c>
      <c r="CZ171">
        <f t="shared" si="189"/>
        <v>62.575500000000005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1003</v>
      </c>
      <c r="DV171" t="s">
        <v>27</v>
      </c>
      <c r="DW171" t="s">
        <v>27</v>
      </c>
      <c r="DX171">
        <v>100</v>
      </c>
      <c r="EE171">
        <v>39174386</v>
      </c>
      <c r="EF171">
        <v>3</v>
      </c>
      <c r="EG171" t="s">
        <v>391</v>
      </c>
      <c r="EH171">
        <v>0</v>
      </c>
      <c r="EI171" t="s">
        <v>3</v>
      </c>
      <c r="EJ171">
        <v>2</v>
      </c>
      <c r="EK171">
        <v>108001</v>
      </c>
      <c r="EL171" t="s">
        <v>392</v>
      </c>
      <c r="EM171" t="s">
        <v>393</v>
      </c>
      <c r="EO171" t="s">
        <v>3</v>
      </c>
      <c r="EQ171">
        <v>0</v>
      </c>
      <c r="ER171">
        <v>250.92</v>
      </c>
      <c r="ES171">
        <v>87.74</v>
      </c>
      <c r="ET171">
        <v>19.55</v>
      </c>
      <c r="EU171">
        <v>2.77</v>
      </c>
      <c r="EV171">
        <v>143.63</v>
      </c>
      <c r="EW171">
        <v>15.28</v>
      </c>
      <c r="EX171">
        <v>0.22</v>
      </c>
      <c r="EY171">
        <v>0</v>
      </c>
      <c r="FQ171">
        <v>0</v>
      </c>
      <c r="FR171">
        <f t="shared" si="190"/>
        <v>0</v>
      </c>
      <c r="FS171">
        <v>0</v>
      </c>
      <c r="FX171">
        <v>95</v>
      </c>
      <c r="FY171">
        <v>65</v>
      </c>
      <c r="GA171" t="s">
        <v>3</v>
      </c>
      <c r="GD171">
        <v>0</v>
      </c>
      <c r="GF171">
        <v>-1865097555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91"/>
        <v>0</v>
      </c>
      <c r="GM171">
        <f t="shared" si="192"/>
        <v>319.05</v>
      </c>
      <c r="GN171">
        <f t="shared" si="193"/>
        <v>0</v>
      </c>
      <c r="GO171">
        <f t="shared" si="194"/>
        <v>319.05</v>
      </c>
      <c r="GP171">
        <f t="shared" si="195"/>
        <v>0</v>
      </c>
      <c r="GR171">
        <v>0</v>
      </c>
      <c r="GS171">
        <v>3</v>
      </c>
      <c r="GT171">
        <v>0</v>
      </c>
      <c r="GU171" t="s">
        <v>3</v>
      </c>
      <c r="GV171">
        <f t="shared" si="196"/>
        <v>0</v>
      </c>
      <c r="GW171">
        <v>1</v>
      </c>
      <c r="GX171">
        <f t="shared" si="197"/>
        <v>0</v>
      </c>
      <c r="HA171">
        <v>0</v>
      </c>
      <c r="HB171">
        <v>0</v>
      </c>
      <c r="IK171">
        <v>0</v>
      </c>
    </row>
    <row r="172" spans="1:245" x14ac:dyDescent="0.2">
      <c r="A172">
        <v>18</v>
      </c>
      <c r="B172">
        <v>1</v>
      </c>
      <c r="C172">
        <v>237</v>
      </c>
      <c r="E172" t="s">
        <v>422</v>
      </c>
      <c r="F172" t="s">
        <v>423</v>
      </c>
      <c r="G172" t="s">
        <v>424</v>
      </c>
      <c r="H172" t="s">
        <v>425</v>
      </c>
      <c r="I172">
        <f>I171*J172</f>
        <v>0.98</v>
      </c>
      <c r="J172">
        <v>10</v>
      </c>
      <c r="O172">
        <f t="shared" si="165"/>
        <v>653.77</v>
      </c>
      <c r="P172">
        <f t="shared" si="166"/>
        <v>653.77</v>
      </c>
      <c r="Q172">
        <f t="shared" si="167"/>
        <v>0</v>
      </c>
      <c r="R172">
        <f t="shared" si="168"/>
        <v>0</v>
      </c>
      <c r="S172">
        <f t="shared" si="169"/>
        <v>0</v>
      </c>
      <c r="T172">
        <f t="shared" si="170"/>
        <v>0</v>
      </c>
      <c r="U172">
        <f t="shared" si="171"/>
        <v>0</v>
      </c>
      <c r="V172">
        <f t="shared" si="172"/>
        <v>0</v>
      </c>
      <c r="W172">
        <f t="shared" si="173"/>
        <v>0</v>
      </c>
      <c r="X172">
        <f t="shared" si="174"/>
        <v>0</v>
      </c>
      <c r="Y172">
        <f t="shared" si="175"/>
        <v>0</v>
      </c>
      <c r="AA172">
        <v>39096431</v>
      </c>
      <c r="AB172">
        <f t="shared" si="176"/>
        <v>99.42</v>
      </c>
      <c r="AC172">
        <f t="shared" si="198"/>
        <v>99.42</v>
      </c>
      <c r="AD172">
        <f t="shared" si="199"/>
        <v>0</v>
      </c>
      <c r="AE172">
        <f t="shared" si="200"/>
        <v>0</v>
      </c>
      <c r="AF172">
        <f t="shared" si="201"/>
        <v>0</v>
      </c>
      <c r="AG172">
        <f t="shared" si="177"/>
        <v>0</v>
      </c>
      <c r="AH172">
        <f t="shared" si="202"/>
        <v>0</v>
      </c>
      <c r="AI172">
        <f t="shared" si="203"/>
        <v>0</v>
      </c>
      <c r="AJ172">
        <f t="shared" si="178"/>
        <v>0</v>
      </c>
      <c r="AK172">
        <v>99.42</v>
      </c>
      <c r="AL172">
        <v>99.42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95</v>
      </c>
      <c r="AU172">
        <v>65</v>
      </c>
      <c r="AV172">
        <v>1</v>
      </c>
      <c r="AW172">
        <v>1</v>
      </c>
      <c r="AZ172">
        <v>6.71</v>
      </c>
      <c r="BA172">
        <v>1</v>
      </c>
      <c r="BB172">
        <v>1</v>
      </c>
      <c r="BC172">
        <v>6.71</v>
      </c>
      <c r="BD172" t="s">
        <v>3</v>
      </c>
      <c r="BE172" t="s">
        <v>3</v>
      </c>
      <c r="BF172" t="s">
        <v>3</v>
      </c>
      <c r="BG172" t="s">
        <v>3</v>
      </c>
      <c r="BH172">
        <v>3</v>
      </c>
      <c r="BI172">
        <v>2</v>
      </c>
      <c r="BJ172" t="s">
        <v>426</v>
      </c>
      <c r="BM172">
        <v>108001</v>
      </c>
      <c r="BN172">
        <v>0</v>
      </c>
      <c r="BO172" t="s">
        <v>3</v>
      </c>
      <c r="BP172">
        <v>0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3</v>
      </c>
      <c r="BZ172">
        <v>95</v>
      </c>
      <c r="CA172">
        <v>65</v>
      </c>
      <c r="CF172">
        <v>0</v>
      </c>
      <c r="CG172">
        <v>0</v>
      </c>
      <c r="CM172">
        <v>0</v>
      </c>
      <c r="CN172" t="s">
        <v>3</v>
      </c>
      <c r="CO172">
        <v>0</v>
      </c>
      <c r="CP172">
        <f t="shared" si="179"/>
        <v>653.77</v>
      </c>
      <c r="CQ172">
        <f t="shared" si="180"/>
        <v>667.10820000000001</v>
      </c>
      <c r="CR172">
        <f t="shared" si="181"/>
        <v>0</v>
      </c>
      <c r="CS172">
        <f t="shared" si="182"/>
        <v>0</v>
      </c>
      <c r="CT172">
        <f t="shared" si="183"/>
        <v>0</v>
      </c>
      <c r="CU172">
        <f t="shared" si="184"/>
        <v>0</v>
      </c>
      <c r="CV172">
        <f t="shared" si="185"/>
        <v>0</v>
      </c>
      <c r="CW172">
        <f t="shared" si="186"/>
        <v>0</v>
      </c>
      <c r="CX172">
        <f t="shared" si="187"/>
        <v>0</v>
      </c>
      <c r="CY172">
        <f t="shared" si="188"/>
        <v>0</v>
      </c>
      <c r="CZ172">
        <f t="shared" si="189"/>
        <v>0</v>
      </c>
      <c r="DC172" t="s">
        <v>3</v>
      </c>
      <c r="DD172" t="s">
        <v>3</v>
      </c>
      <c r="DE172" t="s">
        <v>3</v>
      </c>
      <c r="DF172" t="s">
        <v>3</v>
      </c>
      <c r="DG172" t="s">
        <v>3</v>
      </c>
      <c r="DH172" t="s">
        <v>3</v>
      </c>
      <c r="DI172" t="s">
        <v>3</v>
      </c>
      <c r="DJ172" t="s">
        <v>3</v>
      </c>
      <c r="DK172" t="s">
        <v>3</v>
      </c>
      <c r="DL172" t="s">
        <v>3</v>
      </c>
      <c r="DM172" t="s">
        <v>3</v>
      </c>
      <c r="DN172">
        <v>0</v>
      </c>
      <c r="DO172">
        <v>0</v>
      </c>
      <c r="DP172">
        <v>1</v>
      </c>
      <c r="DQ172">
        <v>1</v>
      </c>
      <c r="DU172">
        <v>1003</v>
      </c>
      <c r="DV172" t="s">
        <v>425</v>
      </c>
      <c r="DW172" t="s">
        <v>425</v>
      </c>
      <c r="DX172">
        <v>10</v>
      </c>
      <c r="EE172">
        <v>39174386</v>
      </c>
      <c r="EF172">
        <v>3</v>
      </c>
      <c r="EG172" t="s">
        <v>391</v>
      </c>
      <c r="EH172">
        <v>0</v>
      </c>
      <c r="EI172" t="s">
        <v>3</v>
      </c>
      <c r="EJ172">
        <v>2</v>
      </c>
      <c r="EK172">
        <v>108001</v>
      </c>
      <c r="EL172" t="s">
        <v>392</v>
      </c>
      <c r="EM172" t="s">
        <v>393</v>
      </c>
      <c r="EO172" t="s">
        <v>3</v>
      </c>
      <c r="EQ172">
        <v>0</v>
      </c>
      <c r="ER172">
        <v>99.42</v>
      </c>
      <c r="ES172">
        <v>99.42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90"/>
        <v>0</v>
      </c>
      <c r="FS172">
        <v>0</v>
      </c>
      <c r="FX172">
        <v>95</v>
      </c>
      <c r="FY172">
        <v>65</v>
      </c>
      <c r="GA172" t="s">
        <v>3</v>
      </c>
      <c r="GD172">
        <v>0</v>
      </c>
      <c r="GF172">
        <v>-835976676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91"/>
        <v>0</v>
      </c>
      <c r="GM172">
        <f t="shared" si="192"/>
        <v>653.77</v>
      </c>
      <c r="GN172">
        <f t="shared" si="193"/>
        <v>0</v>
      </c>
      <c r="GO172">
        <f t="shared" si="194"/>
        <v>653.77</v>
      </c>
      <c r="GP172">
        <f t="shared" si="195"/>
        <v>0</v>
      </c>
      <c r="GR172">
        <v>0</v>
      </c>
      <c r="GS172">
        <v>3</v>
      </c>
      <c r="GT172">
        <v>0</v>
      </c>
      <c r="GU172" t="s">
        <v>3</v>
      </c>
      <c r="GV172">
        <f t="shared" si="196"/>
        <v>0</v>
      </c>
      <c r="GW172">
        <v>1</v>
      </c>
      <c r="GX172">
        <f t="shared" si="197"/>
        <v>0</v>
      </c>
      <c r="HA172">
        <v>0</v>
      </c>
      <c r="HB172">
        <v>0</v>
      </c>
      <c r="IK172">
        <v>0</v>
      </c>
    </row>
    <row r="173" spans="1:245" x14ac:dyDescent="0.2">
      <c r="A173">
        <v>17</v>
      </c>
      <c r="B173">
        <v>1</v>
      </c>
      <c r="C173">
        <f>ROW(SmtRes!A244)</f>
        <v>244</v>
      </c>
      <c r="D173">
        <f>ROW(EtalonRes!A242)</f>
        <v>242</v>
      </c>
      <c r="E173" t="s">
        <v>427</v>
      </c>
      <c r="F173" t="s">
        <v>428</v>
      </c>
      <c r="G173" t="s">
        <v>429</v>
      </c>
      <c r="H173" t="s">
        <v>356</v>
      </c>
      <c r="I173">
        <v>142</v>
      </c>
      <c r="J173">
        <v>0</v>
      </c>
      <c r="O173">
        <f t="shared" si="165"/>
        <v>5040.42</v>
      </c>
      <c r="P173">
        <f t="shared" si="166"/>
        <v>390.66</v>
      </c>
      <c r="Q173">
        <f t="shared" si="167"/>
        <v>0</v>
      </c>
      <c r="R173">
        <f t="shared" si="168"/>
        <v>0</v>
      </c>
      <c r="S173">
        <f t="shared" si="169"/>
        <v>4649.76</v>
      </c>
      <c r="T173">
        <f t="shared" si="170"/>
        <v>0</v>
      </c>
      <c r="U173">
        <f t="shared" si="171"/>
        <v>71</v>
      </c>
      <c r="V173">
        <f t="shared" si="172"/>
        <v>0</v>
      </c>
      <c r="W173">
        <f t="shared" si="173"/>
        <v>0</v>
      </c>
      <c r="X173">
        <f t="shared" si="174"/>
        <v>3719.81</v>
      </c>
      <c r="Y173">
        <f t="shared" si="175"/>
        <v>2789.86</v>
      </c>
      <c r="AA173">
        <v>39096431</v>
      </c>
      <c r="AB173">
        <f t="shared" si="176"/>
        <v>5.29</v>
      </c>
      <c r="AC173">
        <f t="shared" si="198"/>
        <v>0.41</v>
      </c>
      <c r="AD173">
        <f t="shared" si="199"/>
        <v>0</v>
      </c>
      <c r="AE173">
        <f t="shared" si="200"/>
        <v>0</v>
      </c>
      <c r="AF173">
        <f t="shared" si="201"/>
        <v>4.88</v>
      </c>
      <c r="AG173">
        <f t="shared" si="177"/>
        <v>0</v>
      </c>
      <c r="AH173">
        <f t="shared" si="202"/>
        <v>0.5</v>
      </c>
      <c r="AI173">
        <f t="shared" si="203"/>
        <v>0</v>
      </c>
      <c r="AJ173">
        <f t="shared" si="178"/>
        <v>0</v>
      </c>
      <c r="AK173">
        <v>5.29</v>
      </c>
      <c r="AL173">
        <v>0.41</v>
      </c>
      <c r="AM173">
        <v>0</v>
      </c>
      <c r="AN173">
        <v>0</v>
      </c>
      <c r="AO173">
        <v>4.88</v>
      </c>
      <c r="AP173">
        <v>0</v>
      </c>
      <c r="AQ173">
        <v>0.5</v>
      </c>
      <c r="AR173">
        <v>0</v>
      </c>
      <c r="AS173">
        <v>0</v>
      </c>
      <c r="AT173">
        <v>80</v>
      </c>
      <c r="AU173">
        <v>60</v>
      </c>
      <c r="AV173">
        <v>1</v>
      </c>
      <c r="AW173">
        <v>1</v>
      </c>
      <c r="AZ173">
        <v>6.71</v>
      </c>
      <c r="BA173">
        <v>6.71</v>
      </c>
      <c r="BB173">
        <v>6.71</v>
      </c>
      <c r="BC173">
        <v>6.71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2</v>
      </c>
      <c r="BJ173" t="s">
        <v>430</v>
      </c>
      <c r="BM173">
        <v>110011</v>
      </c>
      <c r="BN173">
        <v>0</v>
      </c>
      <c r="BO173" t="s">
        <v>3</v>
      </c>
      <c r="BP173">
        <v>0</v>
      </c>
      <c r="BQ173">
        <v>3</v>
      </c>
      <c r="BR173">
        <v>0</v>
      </c>
      <c r="BS173">
        <v>6.71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80</v>
      </c>
      <c r="CA173">
        <v>60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179"/>
        <v>5040.42</v>
      </c>
      <c r="CQ173">
        <f t="shared" si="180"/>
        <v>2.7510999999999997</v>
      </c>
      <c r="CR173">
        <f t="shared" si="181"/>
        <v>0</v>
      </c>
      <c r="CS173">
        <f t="shared" si="182"/>
        <v>0</v>
      </c>
      <c r="CT173">
        <f t="shared" si="183"/>
        <v>32.744799999999998</v>
      </c>
      <c r="CU173">
        <f t="shared" si="184"/>
        <v>0</v>
      </c>
      <c r="CV173">
        <f t="shared" si="185"/>
        <v>0.5</v>
      </c>
      <c r="CW173">
        <f t="shared" si="186"/>
        <v>0</v>
      </c>
      <c r="CX173">
        <f t="shared" si="187"/>
        <v>0</v>
      </c>
      <c r="CY173">
        <f t="shared" si="188"/>
        <v>3719.8080000000004</v>
      </c>
      <c r="CZ173">
        <f t="shared" si="189"/>
        <v>2789.8560000000002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356</v>
      </c>
      <c r="DW173" t="s">
        <v>356</v>
      </c>
      <c r="DX173">
        <v>1</v>
      </c>
      <c r="EE173">
        <v>39174433</v>
      </c>
      <c r="EF173">
        <v>3</v>
      </c>
      <c r="EG173" t="s">
        <v>391</v>
      </c>
      <c r="EH173">
        <v>0</v>
      </c>
      <c r="EI173" t="s">
        <v>3</v>
      </c>
      <c r="EJ173">
        <v>2</v>
      </c>
      <c r="EK173">
        <v>110011</v>
      </c>
      <c r="EL173" t="s">
        <v>431</v>
      </c>
      <c r="EM173" t="s">
        <v>432</v>
      </c>
      <c r="EO173" t="s">
        <v>3</v>
      </c>
      <c r="EQ173">
        <v>0</v>
      </c>
      <c r="ER173">
        <v>5.29</v>
      </c>
      <c r="ES173">
        <v>0.41</v>
      </c>
      <c r="ET173">
        <v>0</v>
      </c>
      <c r="EU173">
        <v>0</v>
      </c>
      <c r="EV173">
        <v>4.88</v>
      </c>
      <c r="EW173">
        <v>0.5</v>
      </c>
      <c r="EX173">
        <v>0</v>
      </c>
      <c r="EY173">
        <v>0</v>
      </c>
      <c r="FQ173">
        <v>0</v>
      </c>
      <c r="FR173">
        <f t="shared" si="190"/>
        <v>0</v>
      </c>
      <c r="FS173">
        <v>0</v>
      </c>
      <c r="FX173">
        <v>80</v>
      </c>
      <c r="FY173">
        <v>60</v>
      </c>
      <c r="GA173" t="s">
        <v>3</v>
      </c>
      <c r="GD173">
        <v>0</v>
      </c>
      <c r="GF173">
        <v>287023441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91"/>
        <v>0</v>
      </c>
      <c r="GM173">
        <f t="shared" si="192"/>
        <v>11550.09</v>
      </c>
      <c r="GN173">
        <f t="shared" si="193"/>
        <v>0</v>
      </c>
      <c r="GO173">
        <f t="shared" si="194"/>
        <v>11550.09</v>
      </c>
      <c r="GP173">
        <f t="shared" si="195"/>
        <v>0</v>
      </c>
      <c r="GR173">
        <v>0</v>
      </c>
      <c r="GS173">
        <v>3</v>
      </c>
      <c r="GT173">
        <v>0</v>
      </c>
      <c r="GU173" t="s">
        <v>3</v>
      </c>
      <c r="GV173">
        <f t="shared" si="196"/>
        <v>0</v>
      </c>
      <c r="GW173">
        <v>1</v>
      </c>
      <c r="GX173">
        <f t="shared" si="197"/>
        <v>0</v>
      </c>
      <c r="HA173">
        <v>0</v>
      </c>
      <c r="HB173">
        <v>0</v>
      </c>
      <c r="IK173">
        <v>0</v>
      </c>
    </row>
    <row r="174" spans="1:245" x14ac:dyDescent="0.2">
      <c r="A174">
        <v>18</v>
      </c>
      <c r="B174">
        <v>1</v>
      </c>
      <c r="C174">
        <v>243</v>
      </c>
      <c r="E174" t="s">
        <v>433</v>
      </c>
      <c r="F174" t="s">
        <v>434</v>
      </c>
      <c r="G174" t="s">
        <v>435</v>
      </c>
      <c r="H174" t="s">
        <v>436</v>
      </c>
      <c r="I174">
        <f>I173*J174</f>
        <v>14.2</v>
      </c>
      <c r="J174">
        <v>9.9999999999999992E-2</v>
      </c>
      <c r="O174">
        <f t="shared" si="165"/>
        <v>5945.6</v>
      </c>
      <c r="P174">
        <f t="shared" si="166"/>
        <v>5945.6</v>
      </c>
      <c r="Q174">
        <f t="shared" si="167"/>
        <v>0</v>
      </c>
      <c r="R174">
        <f t="shared" si="168"/>
        <v>0</v>
      </c>
      <c r="S174">
        <f t="shared" si="169"/>
        <v>0</v>
      </c>
      <c r="T174">
        <f t="shared" si="170"/>
        <v>0</v>
      </c>
      <c r="U174">
        <f t="shared" si="171"/>
        <v>0</v>
      </c>
      <c r="V174">
        <f t="shared" si="172"/>
        <v>0</v>
      </c>
      <c r="W174">
        <f t="shared" si="173"/>
        <v>0</v>
      </c>
      <c r="X174">
        <f t="shared" si="174"/>
        <v>0</v>
      </c>
      <c r="Y174">
        <f t="shared" si="175"/>
        <v>0</v>
      </c>
      <c r="AA174">
        <v>39096431</v>
      </c>
      <c r="AB174">
        <f t="shared" si="176"/>
        <v>62.4</v>
      </c>
      <c r="AC174">
        <f t="shared" si="198"/>
        <v>62.4</v>
      </c>
      <c r="AD174">
        <f t="shared" si="199"/>
        <v>0</v>
      </c>
      <c r="AE174">
        <f t="shared" si="200"/>
        <v>0</v>
      </c>
      <c r="AF174">
        <f t="shared" si="201"/>
        <v>0</v>
      </c>
      <c r="AG174">
        <f t="shared" si="177"/>
        <v>0</v>
      </c>
      <c r="AH174">
        <f t="shared" si="202"/>
        <v>0</v>
      </c>
      <c r="AI174">
        <f t="shared" si="203"/>
        <v>0</v>
      </c>
      <c r="AJ174">
        <f t="shared" si="178"/>
        <v>0</v>
      </c>
      <c r="AK174">
        <v>62.4</v>
      </c>
      <c r="AL174">
        <v>62.4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80</v>
      </c>
      <c r="AU174">
        <v>60</v>
      </c>
      <c r="AV174">
        <v>1</v>
      </c>
      <c r="AW174">
        <v>1</v>
      </c>
      <c r="AZ174">
        <v>6.71</v>
      </c>
      <c r="BA174">
        <v>1</v>
      </c>
      <c r="BB174">
        <v>1</v>
      </c>
      <c r="BC174">
        <v>6.71</v>
      </c>
      <c r="BD174" t="s">
        <v>3</v>
      </c>
      <c r="BE174" t="s">
        <v>3</v>
      </c>
      <c r="BF174" t="s">
        <v>3</v>
      </c>
      <c r="BG174" t="s">
        <v>3</v>
      </c>
      <c r="BH174">
        <v>3</v>
      </c>
      <c r="BI174">
        <v>2</v>
      </c>
      <c r="BJ174" t="s">
        <v>437</v>
      </c>
      <c r="BM174">
        <v>110011</v>
      </c>
      <c r="BN174">
        <v>0</v>
      </c>
      <c r="BO174" t="s">
        <v>3</v>
      </c>
      <c r="BP174">
        <v>0</v>
      </c>
      <c r="BQ174">
        <v>3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80</v>
      </c>
      <c r="CA174">
        <v>60</v>
      </c>
      <c r="CF174">
        <v>0</v>
      </c>
      <c r="CG174">
        <v>0</v>
      </c>
      <c r="CM174">
        <v>0</v>
      </c>
      <c r="CN174" t="s">
        <v>3</v>
      </c>
      <c r="CO174">
        <v>0</v>
      </c>
      <c r="CP174">
        <f t="shared" si="179"/>
        <v>5945.6</v>
      </c>
      <c r="CQ174">
        <f t="shared" si="180"/>
        <v>418.70400000000001</v>
      </c>
      <c r="CR174">
        <f t="shared" si="181"/>
        <v>0</v>
      </c>
      <c r="CS174">
        <f t="shared" si="182"/>
        <v>0</v>
      </c>
      <c r="CT174">
        <f t="shared" si="183"/>
        <v>0</v>
      </c>
      <c r="CU174">
        <f t="shared" si="184"/>
        <v>0</v>
      </c>
      <c r="CV174">
        <f t="shared" si="185"/>
        <v>0</v>
      </c>
      <c r="CW174">
        <f t="shared" si="186"/>
        <v>0</v>
      </c>
      <c r="CX174">
        <f t="shared" si="187"/>
        <v>0</v>
      </c>
      <c r="CY174">
        <f t="shared" si="188"/>
        <v>0</v>
      </c>
      <c r="CZ174">
        <f t="shared" si="189"/>
        <v>0</v>
      </c>
      <c r="DC174" t="s">
        <v>3</v>
      </c>
      <c r="DD174" t="s">
        <v>3</v>
      </c>
      <c r="DE174" t="s">
        <v>3</v>
      </c>
      <c r="DF174" t="s">
        <v>3</v>
      </c>
      <c r="DG174" t="s">
        <v>3</v>
      </c>
      <c r="DH174" t="s">
        <v>3</v>
      </c>
      <c r="DI174" t="s">
        <v>3</v>
      </c>
      <c r="DJ174" t="s">
        <v>3</v>
      </c>
      <c r="DK174" t="s">
        <v>3</v>
      </c>
      <c r="DL174" t="s">
        <v>3</v>
      </c>
      <c r="DM174" t="s">
        <v>3</v>
      </c>
      <c r="DN174">
        <v>0</v>
      </c>
      <c r="DO174">
        <v>0</v>
      </c>
      <c r="DP174">
        <v>1</v>
      </c>
      <c r="DQ174">
        <v>1</v>
      </c>
      <c r="DU174">
        <v>1010</v>
      </c>
      <c r="DV174" t="s">
        <v>436</v>
      </c>
      <c r="DW174" t="s">
        <v>436</v>
      </c>
      <c r="DX174">
        <v>10</v>
      </c>
      <c r="EE174">
        <v>39174433</v>
      </c>
      <c r="EF174">
        <v>3</v>
      </c>
      <c r="EG174" t="s">
        <v>391</v>
      </c>
      <c r="EH174">
        <v>0</v>
      </c>
      <c r="EI174" t="s">
        <v>3</v>
      </c>
      <c r="EJ174">
        <v>2</v>
      </c>
      <c r="EK174">
        <v>110011</v>
      </c>
      <c r="EL174" t="s">
        <v>431</v>
      </c>
      <c r="EM174" t="s">
        <v>432</v>
      </c>
      <c r="EO174" t="s">
        <v>3</v>
      </c>
      <c r="EQ174">
        <v>0</v>
      </c>
      <c r="ER174">
        <v>62.4</v>
      </c>
      <c r="ES174">
        <v>62.4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90"/>
        <v>0</v>
      </c>
      <c r="FS174">
        <v>0</v>
      </c>
      <c r="FX174">
        <v>80</v>
      </c>
      <c r="FY174">
        <v>60</v>
      </c>
      <c r="GA174" t="s">
        <v>3</v>
      </c>
      <c r="GD174">
        <v>0</v>
      </c>
      <c r="GF174">
        <v>1303598448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91"/>
        <v>0</v>
      </c>
      <c r="GM174">
        <f t="shared" si="192"/>
        <v>5945.6</v>
      </c>
      <c r="GN174">
        <f t="shared" si="193"/>
        <v>0</v>
      </c>
      <c r="GO174">
        <f t="shared" si="194"/>
        <v>5945.6</v>
      </c>
      <c r="GP174">
        <f t="shared" si="195"/>
        <v>0</v>
      </c>
      <c r="GR174">
        <v>0</v>
      </c>
      <c r="GS174">
        <v>3</v>
      </c>
      <c r="GT174">
        <v>0</v>
      </c>
      <c r="GU174" t="s">
        <v>3</v>
      </c>
      <c r="GV174">
        <f t="shared" si="196"/>
        <v>0</v>
      </c>
      <c r="GW174">
        <v>1</v>
      </c>
      <c r="GX174">
        <f t="shared" si="197"/>
        <v>0</v>
      </c>
      <c r="HA174">
        <v>0</v>
      </c>
      <c r="HB174">
        <v>0</v>
      </c>
      <c r="IK174">
        <v>0</v>
      </c>
    </row>
    <row r="175" spans="1:245" x14ac:dyDescent="0.2">
      <c r="A175">
        <v>17</v>
      </c>
      <c r="B175">
        <v>1</v>
      </c>
      <c r="C175">
        <f>ROW(SmtRes!A251)</f>
        <v>251</v>
      </c>
      <c r="D175">
        <f>ROW(EtalonRes!A248)</f>
        <v>248</v>
      </c>
      <c r="E175" t="s">
        <v>438</v>
      </c>
      <c r="F175" t="s">
        <v>439</v>
      </c>
      <c r="G175" t="s">
        <v>440</v>
      </c>
      <c r="H175" t="s">
        <v>27</v>
      </c>
      <c r="I175">
        <f>ROUND(65/100,9)</f>
        <v>0.65</v>
      </c>
      <c r="J175">
        <v>0</v>
      </c>
      <c r="O175">
        <f t="shared" si="165"/>
        <v>1251.4000000000001</v>
      </c>
      <c r="P175">
        <f t="shared" si="166"/>
        <v>406.8</v>
      </c>
      <c r="Q175">
        <f t="shared" si="167"/>
        <v>1.35</v>
      </c>
      <c r="R175">
        <f t="shared" si="168"/>
        <v>0.61</v>
      </c>
      <c r="S175">
        <f t="shared" si="169"/>
        <v>843.25</v>
      </c>
      <c r="T175">
        <f t="shared" si="170"/>
        <v>0</v>
      </c>
      <c r="U175">
        <f t="shared" si="171"/>
        <v>13.214499999999999</v>
      </c>
      <c r="V175">
        <f t="shared" si="172"/>
        <v>6.5000000000000006E-3</v>
      </c>
      <c r="W175">
        <f t="shared" si="173"/>
        <v>0</v>
      </c>
      <c r="X175">
        <f t="shared" si="174"/>
        <v>801.67</v>
      </c>
      <c r="Y175">
        <f t="shared" si="175"/>
        <v>548.51</v>
      </c>
      <c r="AA175">
        <v>39096431</v>
      </c>
      <c r="AB175">
        <f t="shared" si="176"/>
        <v>286.92</v>
      </c>
      <c r="AC175">
        <f t="shared" si="198"/>
        <v>93.27</v>
      </c>
      <c r="AD175">
        <f t="shared" si="199"/>
        <v>0.31</v>
      </c>
      <c r="AE175">
        <f t="shared" si="200"/>
        <v>0.14000000000000001</v>
      </c>
      <c r="AF175">
        <f t="shared" si="201"/>
        <v>193.34</v>
      </c>
      <c r="AG175">
        <f t="shared" si="177"/>
        <v>0</v>
      </c>
      <c r="AH175">
        <f t="shared" si="202"/>
        <v>20.329999999999998</v>
      </c>
      <c r="AI175">
        <f t="shared" si="203"/>
        <v>0.01</v>
      </c>
      <c r="AJ175">
        <f t="shared" si="178"/>
        <v>0</v>
      </c>
      <c r="AK175">
        <v>286.92</v>
      </c>
      <c r="AL175">
        <v>93.27</v>
      </c>
      <c r="AM175">
        <v>0.31</v>
      </c>
      <c r="AN175">
        <v>0.14000000000000001</v>
      </c>
      <c r="AO175">
        <v>193.34</v>
      </c>
      <c r="AP175">
        <v>0</v>
      </c>
      <c r="AQ175">
        <v>20.329999999999998</v>
      </c>
      <c r="AR175">
        <v>0.01</v>
      </c>
      <c r="AS175">
        <v>0</v>
      </c>
      <c r="AT175">
        <v>95</v>
      </c>
      <c r="AU175">
        <v>65</v>
      </c>
      <c r="AV175">
        <v>1</v>
      </c>
      <c r="AW175">
        <v>1</v>
      </c>
      <c r="AZ175">
        <v>6.71</v>
      </c>
      <c r="BA175">
        <v>6.71</v>
      </c>
      <c r="BB175">
        <v>6.71</v>
      </c>
      <c r="BC175">
        <v>6.71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2</v>
      </c>
      <c r="BJ175" t="s">
        <v>441</v>
      </c>
      <c r="BM175">
        <v>108001</v>
      </c>
      <c r="BN175">
        <v>0</v>
      </c>
      <c r="BO175" t="s">
        <v>3</v>
      </c>
      <c r="BP175">
        <v>0</v>
      </c>
      <c r="BQ175">
        <v>3</v>
      </c>
      <c r="BR175">
        <v>0</v>
      </c>
      <c r="BS175">
        <v>6.71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95</v>
      </c>
      <c r="CA175">
        <v>65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179"/>
        <v>1251.4000000000001</v>
      </c>
      <c r="CQ175">
        <f t="shared" si="180"/>
        <v>625.84169999999995</v>
      </c>
      <c r="CR175">
        <f t="shared" si="181"/>
        <v>2.0800999999999998</v>
      </c>
      <c r="CS175">
        <f t="shared" si="182"/>
        <v>0.93940000000000012</v>
      </c>
      <c r="CT175">
        <f t="shared" si="183"/>
        <v>1297.3114</v>
      </c>
      <c r="CU175">
        <f t="shared" si="184"/>
        <v>0</v>
      </c>
      <c r="CV175">
        <f t="shared" si="185"/>
        <v>20.329999999999998</v>
      </c>
      <c r="CW175">
        <f t="shared" si="186"/>
        <v>0.01</v>
      </c>
      <c r="CX175">
        <f t="shared" si="187"/>
        <v>0</v>
      </c>
      <c r="CY175">
        <f t="shared" si="188"/>
        <v>801.66699999999992</v>
      </c>
      <c r="CZ175">
        <f t="shared" si="189"/>
        <v>548.50900000000001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1003</v>
      </c>
      <c r="DV175" t="s">
        <v>27</v>
      </c>
      <c r="DW175" t="s">
        <v>27</v>
      </c>
      <c r="DX175">
        <v>100</v>
      </c>
      <c r="EE175">
        <v>39174386</v>
      </c>
      <c r="EF175">
        <v>3</v>
      </c>
      <c r="EG175" t="s">
        <v>391</v>
      </c>
      <c r="EH175">
        <v>0</v>
      </c>
      <c r="EI175" t="s">
        <v>3</v>
      </c>
      <c r="EJ175">
        <v>2</v>
      </c>
      <c r="EK175">
        <v>108001</v>
      </c>
      <c r="EL175" t="s">
        <v>392</v>
      </c>
      <c r="EM175" t="s">
        <v>393</v>
      </c>
      <c r="EO175" t="s">
        <v>3</v>
      </c>
      <c r="EQ175">
        <v>0</v>
      </c>
      <c r="ER175">
        <v>286.92</v>
      </c>
      <c r="ES175">
        <v>93.27</v>
      </c>
      <c r="ET175">
        <v>0.31</v>
      </c>
      <c r="EU175">
        <v>0.14000000000000001</v>
      </c>
      <c r="EV175">
        <v>193.34</v>
      </c>
      <c r="EW175">
        <v>20.329999999999998</v>
      </c>
      <c r="EX175">
        <v>0.01</v>
      </c>
      <c r="EY175">
        <v>0</v>
      </c>
      <c r="FQ175">
        <v>0</v>
      </c>
      <c r="FR175">
        <f t="shared" si="190"/>
        <v>0</v>
      </c>
      <c r="FS175">
        <v>0</v>
      </c>
      <c r="FX175">
        <v>95</v>
      </c>
      <c r="FY175">
        <v>65</v>
      </c>
      <c r="GA175" t="s">
        <v>3</v>
      </c>
      <c r="GD175">
        <v>0</v>
      </c>
      <c r="GF175">
        <v>816409345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91"/>
        <v>0</v>
      </c>
      <c r="GM175">
        <f t="shared" si="192"/>
        <v>2601.58</v>
      </c>
      <c r="GN175">
        <f t="shared" si="193"/>
        <v>0</v>
      </c>
      <c r="GO175">
        <f t="shared" si="194"/>
        <v>2601.58</v>
      </c>
      <c r="GP175">
        <f t="shared" si="195"/>
        <v>0</v>
      </c>
      <c r="GR175">
        <v>0</v>
      </c>
      <c r="GS175">
        <v>3</v>
      </c>
      <c r="GT175">
        <v>0</v>
      </c>
      <c r="GU175" t="s">
        <v>3</v>
      </c>
      <c r="GV175">
        <f t="shared" si="196"/>
        <v>0</v>
      </c>
      <c r="GW175">
        <v>1</v>
      </c>
      <c r="GX175">
        <f t="shared" si="197"/>
        <v>0</v>
      </c>
      <c r="HA175">
        <v>0</v>
      </c>
      <c r="HB175">
        <v>0</v>
      </c>
      <c r="IK175">
        <v>0</v>
      </c>
    </row>
    <row r="176" spans="1:245" x14ac:dyDescent="0.2">
      <c r="A176">
        <v>18</v>
      </c>
      <c r="B176">
        <v>1</v>
      </c>
      <c r="C176">
        <v>250</v>
      </c>
      <c r="E176" t="s">
        <v>442</v>
      </c>
      <c r="F176" t="s">
        <v>443</v>
      </c>
      <c r="G176" t="s">
        <v>444</v>
      </c>
      <c r="H176" t="s">
        <v>27</v>
      </c>
      <c r="I176">
        <f>I175*J176</f>
        <v>0.65</v>
      </c>
      <c r="J176">
        <v>1</v>
      </c>
      <c r="O176">
        <f t="shared" si="165"/>
        <v>5931.64</v>
      </c>
      <c r="P176">
        <f t="shared" si="166"/>
        <v>5931.64</v>
      </c>
      <c r="Q176">
        <f t="shared" si="167"/>
        <v>0</v>
      </c>
      <c r="R176">
        <f t="shared" si="168"/>
        <v>0</v>
      </c>
      <c r="S176">
        <f t="shared" si="169"/>
        <v>0</v>
      </c>
      <c r="T176">
        <f t="shared" si="170"/>
        <v>0</v>
      </c>
      <c r="U176">
        <f t="shared" si="171"/>
        <v>0</v>
      </c>
      <c r="V176">
        <f t="shared" si="172"/>
        <v>0</v>
      </c>
      <c r="W176">
        <f t="shared" si="173"/>
        <v>0</v>
      </c>
      <c r="X176">
        <f t="shared" si="174"/>
        <v>0</v>
      </c>
      <c r="Y176">
        <f t="shared" si="175"/>
        <v>0</v>
      </c>
      <c r="AA176">
        <v>39096431</v>
      </c>
      <c r="AB176">
        <f t="shared" si="176"/>
        <v>1360</v>
      </c>
      <c r="AC176">
        <f t="shared" si="198"/>
        <v>1360</v>
      </c>
      <c r="AD176">
        <f t="shared" si="199"/>
        <v>0</v>
      </c>
      <c r="AE176">
        <f t="shared" si="200"/>
        <v>0</v>
      </c>
      <c r="AF176">
        <f t="shared" si="201"/>
        <v>0</v>
      </c>
      <c r="AG176">
        <f t="shared" si="177"/>
        <v>0</v>
      </c>
      <c r="AH176">
        <f t="shared" si="202"/>
        <v>0</v>
      </c>
      <c r="AI176">
        <f t="shared" si="203"/>
        <v>0</v>
      </c>
      <c r="AJ176">
        <f t="shared" si="178"/>
        <v>0</v>
      </c>
      <c r="AK176">
        <v>1360</v>
      </c>
      <c r="AL176">
        <v>1360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95</v>
      </c>
      <c r="AU176">
        <v>65</v>
      </c>
      <c r="AV176">
        <v>1</v>
      </c>
      <c r="AW176">
        <v>1</v>
      </c>
      <c r="AZ176">
        <v>6.71</v>
      </c>
      <c r="BA176">
        <v>1</v>
      </c>
      <c r="BB176">
        <v>1</v>
      </c>
      <c r="BC176">
        <v>6.71</v>
      </c>
      <c r="BD176" t="s">
        <v>3</v>
      </c>
      <c r="BE176" t="s">
        <v>3</v>
      </c>
      <c r="BF176" t="s">
        <v>3</v>
      </c>
      <c r="BG176" t="s">
        <v>3</v>
      </c>
      <c r="BH176">
        <v>3</v>
      </c>
      <c r="BI176">
        <v>2</v>
      </c>
      <c r="BJ176" t="s">
        <v>445</v>
      </c>
      <c r="BM176">
        <v>108001</v>
      </c>
      <c r="BN176">
        <v>0</v>
      </c>
      <c r="BO176" t="s">
        <v>3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95</v>
      </c>
      <c r="CA176">
        <v>65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79"/>
        <v>5931.64</v>
      </c>
      <c r="CQ176">
        <f t="shared" si="180"/>
        <v>9125.6</v>
      </c>
      <c r="CR176">
        <f t="shared" si="181"/>
        <v>0</v>
      </c>
      <c r="CS176">
        <f t="shared" si="182"/>
        <v>0</v>
      </c>
      <c r="CT176">
        <f t="shared" si="183"/>
        <v>0</v>
      </c>
      <c r="CU176">
        <f t="shared" si="184"/>
        <v>0</v>
      </c>
      <c r="CV176">
        <f t="shared" si="185"/>
        <v>0</v>
      </c>
      <c r="CW176">
        <f t="shared" si="186"/>
        <v>0</v>
      </c>
      <c r="CX176">
        <f t="shared" si="187"/>
        <v>0</v>
      </c>
      <c r="CY176">
        <f t="shared" si="188"/>
        <v>0</v>
      </c>
      <c r="CZ176">
        <f t="shared" si="189"/>
        <v>0</v>
      </c>
      <c r="DC176" t="s">
        <v>3</v>
      </c>
      <c r="DD176" t="s">
        <v>3</v>
      </c>
      <c r="DE176" t="s">
        <v>3</v>
      </c>
      <c r="DF176" t="s">
        <v>3</v>
      </c>
      <c r="DG176" t="s">
        <v>3</v>
      </c>
      <c r="DH176" t="s">
        <v>3</v>
      </c>
      <c r="DI176" t="s">
        <v>3</v>
      </c>
      <c r="DJ176" t="s">
        <v>3</v>
      </c>
      <c r="DK176" t="s">
        <v>3</v>
      </c>
      <c r="DL176" t="s">
        <v>3</v>
      </c>
      <c r="DM176" t="s">
        <v>3</v>
      </c>
      <c r="DN176">
        <v>0</v>
      </c>
      <c r="DO176">
        <v>0</v>
      </c>
      <c r="DP176">
        <v>1</v>
      </c>
      <c r="DQ176">
        <v>1</v>
      </c>
      <c r="DU176">
        <v>1003</v>
      </c>
      <c r="DV176" t="s">
        <v>27</v>
      </c>
      <c r="DW176" t="s">
        <v>27</v>
      </c>
      <c r="DX176">
        <v>100</v>
      </c>
      <c r="EE176">
        <v>39174386</v>
      </c>
      <c r="EF176">
        <v>3</v>
      </c>
      <c r="EG176" t="s">
        <v>391</v>
      </c>
      <c r="EH176">
        <v>0</v>
      </c>
      <c r="EI176" t="s">
        <v>3</v>
      </c>
      <c r="EJ176">
        <v>2</v>
      </c>
      <c r="EK176">
        <v>108001</v>
      </c>
      <c r="EL176" t="s">
        <v>392</v>
      </c>
      <c r="EM176" t="s">
        <v>393</v>
      </c>
      <c r="EO176" t="s">
        <v>3</v>
      </c>
      <c r="EQ176">
        <v>0</v>
      </c>
      <c r="ER176">
        <v>1360</v>
      </c>
      <c r="ES176">
        <v>1360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90"/>
        <v>0</v>
      </c>
      <c r="FS176">
        <v>0</v>
      </c>
      <c r="FX176">
        <v>95</v>
      </c>
      <c r="FY176">
        <v>65</v>
      </c>
      <c r="GA176" t="s">
        <v>3</v>
      </c>
      <c r="GD176">
        <v>0</v>
      </c>
      <c r="GF176">
        <v>866845708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91"/>
        <v>0</v>
      </c>
      <c r="GM176">
        <f t="shared" si="192"/>
        <v>5931.64</v>
      </c>
      <c r="GN176">
        <f t="shared" si="193"/>
        <v>0</v>
      </c>
      <c r="GO176">
        <f t="shared" si="194"/>
        <v>5931.64</v>
      </c>
      <c r="GP176">
        <f t="shared" si="195"/>
        <v>0</v>
      </c>
      <c r="GR176">
        <v>0</v>
      </c>
      <c r="GS176">
        <v>3</v>
      </c>
      <c r="GT176">
        <v>0</v>
      </c>
      <c r="GU176" t="s">
        <v>3</v>
      </c>
      <c r="GV176">
        <f t="shared" si="196"/>
        <v>0</v>
      </c>
      <c r="GW176">
        <v>1</v>
      </c>
      <c r="GX176">
        <f t="shared" si="197"/>
        <v>0</v>
      </c>
      <c r="HA176">
        <v>0</v>
      </c>
      <c r="HB176">
        <v>0</v>
      </c>
      <c r="IK176">
        <v>0</v>
      </c>
    </row>
    <row r="177" spans="1:245" x14ac:dyDescent="0.2">
      <c r="A177">
        <v>17</v>
      </c>
      <c r="B177">
        <v>1</v>
      </c>
      <c r="C177">
        <f>ROW(SmtRes!A255)</f>
        <v>255</v>
      </c>
      <c r="D177">
        <f>ROW(EtalonRes!A251)</f>
        <v>251</v>
      </c>
      <c r="E177" t="s">
        <v>446</v>
      </c>
      <c r="F177" t="s">
        <v>447</v>
      </c>
      <c r="G177" t="s">
        <v>448</v>
      </c>
      <c r="H177" t="s">
        <v>27</v>
      </c>
      <c r="I177">
        <v>4.3</v>
      </c>
      <c r="J177">
        <v>0</v>
      </c>
      <c r="O177">
        <f t="shared" si="165"/>
        <v>4510.59</v>
      </c>
      <c r="P177">
        <f t="shared" si="166"/>
        <v>484.44</v>
      </c>
      <c r="Q177">
        <f t="shared" si="167"/>
        <v>0</v>
      </c>
      <c r="R177">
        <f t="shared" si="168"/>
        <v>0</v>
      </c>
      <c r="S177">
        <f t="shared" si="169"/>
        <v>4026.15</v>
      </c>
      <c r="T177">
        <f t="shared" si="170"/>
        <v>0</v>
      </c>
      <c r="U177">
        <f t="shared" si="171"/>
        <v>65.36</v>
      </c>
      <c r="V177">
        <f t="shared" si="172"/>
        <v>0</v>
      </c>
      <c r="W177">
        <f t="shared" si="173"/>
        <v>0</v>
      </c>
      <c r="X177">
        <f t="shared" si="174"/>
        <v>3824.84</v>
      </c>
      <c r="Y177">
        <f t="shared" si="175"/>
        <v>2617</v>
      </c>
      <c r="AA177">
        <v>39096431</v>
      </c>
      <c r="AB177">
        <f t="shared" si="176"/>
        <v>156.33000000000001</v>
      </c>
      <c r="AC177">
        <f t="shared" si="198"/>
        <v>16.79</v>
      </c>
      <c r="AD177">
        <f t="shared" si="199"/>
        <v>0</v>
      </c>
      <c r="AE177">
        <f t="shared" si="200"/>
        <v>0</v>
      </c>
      <c r="AF177">
        <f t="shared" si="201"/>
        <v>139.54</v>
      </c>
      <c r="AG177">
        <f t="shared" si="177"/>
        <v>0</v>
      </c>
      <c r="AH177">
        <f t="shared" si="202"/>
        <v>15.2</v>
      </c>
      <c r="AI177">
        <f t="shared" si="203"/>
        <v>0</v>
      </c>
      <c r="AJ177">
        <f t="shared" si="178"/>
        <v>0</v>
      </c>
      <c r="AK177">
        <v>156.33000000000001</v>
      </c>
      <c r="AL177">
        <v>16.79</v>
      </c>
      <c r="AM177">
        <v>0</v>
      </c>
      <c r="AN177">
        <v>0</v>
      </c>
      <c r="AO177">
        <v>139.54</v>
      </c>
      <c r="AP177">
        <v>0</v>
      </c>
      <c r="AQ177">
        <v>15.2</v>
      </c>
      <c r="AR177">
        <v>0</v>
      </c>
      <c r="AS177">
        <v>0</v>
      </c>
      <c r="AT177">
        <v>95</v>
      </c>
      <c r="AU177">
        <v>65</v>
      </c>
      <c r="AV177">
        <v>1</v>
      </c>
      <c r="AW177">
        <v>1</v>
      </c>
      <c r="AZ177">
        <v>6.71</v>
      </c>
      <c r="BA177">
        <v>6.71</v>
      </c>
      <c r="BB177">
        <v>6.71</v>
      </c>
      <c r="BC177">
        <v>6.71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2</v>
      </c>
      <c r="BJ177" t="s">
        <v>449</v>
      </c>
      <c r="BM177">
        <v>108001</v>
      </c>
      <c r="BN177">
        <v>0</v>
      </c>
      <c r="BO177" t="s">
        <v>3</v>
      </c>
      <c r="BP177">
        <v>0</v>
      </c>
      <c r="BQ177">
        <v>3</v>
      </c>
      <c r="BR177">
        <v>0</v>
      </c>
      <c r="BS177">
        <v>6.71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95</v>
      </c>
      <c r="CA177">
        <v>65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79"/>
        <v>4510.59</v>
      </c>
      <c r="CQ177">
        <f t="shared" si="180"/>
        <v>112.6609</v>
      </c>
      <c r="CR177">
        <f t="shared" si="181"/>
        <v>0</v>
      </c>
      <c r="CS177">
        <f t="shared" si="182"/>
        <v>0</v>
      </c>
      <c r="CT177">
        <f t="shared" si="183"/>
        <v>936.31339999999989</v>
      </c>
      <c r="CU177">
        <f t="shared" si="184"/>
        <v>0</v>
      </c>
      <c r="CV177">
        <f t="shared" si="185"/>
        <v>15.2</v>
      </c>
      <c r="CW177">
        <f t="shared" si="186"/>
        <v>0</v>
      </c>
      <c r="CX177">
        <f t="shared" si="187"/>
        <v>0</v>
      </c>
      <c r="CY177">
        <f t="shared" si="188"/>
        <v>3824.8425000000002</v>
      </c>
      <c r="CZ177">
        <f t="shared" si="189"/>
        <v>2616.9974999999999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1003</v>
      </c>
      <c r="DV177" t="s">
        <v>27</v>
      </c>
      <c r="DW177" t="s">
        <v>27</v>
      </c>
      <c r="DX177">
        <v>100</v>
      </c>
      <c r="EE177">
        <v>39174386</v>
      </c>
      <c r="EF177">
        <v>3</v>
      </c>
      <c r="EG177" t="s">
        <v>391</v>
      </c>
      <c r="EH177">
        <v>0</v>
      </c>
      <c r="EI177" t="s">
        <v>3</v>
      </c>
      <c r="EJ177">
        <v>2</v>
      </c>
      <c r="EK177">
        <v>108001</v>
      </c>
      <c r="EL177" t="s">
        <v>392</v>
      </c>
      <c r="EM177" t="s">
        <v>393</v>
      </c>
      <c r="EO177" t="s">
        <v>3</v>
      </c>
      <c r="EQ177">
        <v>0</v>
      </c>
      <c r="ER177">
        <v>156.33000000000001</v>
      </c>
      <c r="ES177">
        <v>16.79</v>
      </c>
      <c r="ET177">
        <v>0</v>
      </c>
      <c r="EU177">
        <v>0</v>
      </c>
      <c r="EV177">
        <v>139.54</v>
      </c>
      <c r="EW177">
        <v>15.2</v>
      </c>
      <c r="EX177">
        <v>0</v>
      </c>
      <c r="EY177">
        <v>0</v>
      </c>
      <c r="FQ177">
        <v>0</v>
      </c>
      <c r="FR177">
        <f t="shared" si="190"/>
        <v>0</v>
      </c>
      <c r="FS177">
        <v>0</v>
      </c>
      <c r="FX177">
        <v>95</v>
      </c>
      <c r="FY177">
        <v>65</v>
      </c>
      <c r="GA177" t="s">
        <v>3</v>
      </c>
      <c r="GD177">
        <v>0</v>
      </c>
      <c r="GF177">
        <v>-596386547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91"/>
        <v>0</v>
      </c>
      <c r="GM177">
        <f t="shared" si="192"/>
        <v>10952.43</v>
      </c>
      <c r="GN177">
        <f t="shared" si="193"/>
        <v>0</v>
      </c>
      <c r="GO177">
        <f t="shared" si="194"/>
        <v>10952.43</v>
      </c>
      <c r="GP177">
        <f t="shared" si="195"/>
        <v>0</v>
      </c>
      <c r="GR177">
        <v>0</v>
      </c>
      <c r="GS177">
        <v>3</v>
      </c>
      <c r="GT177">
        <v>0</v>
      </c>
      <c r="GU177" t="s">
        <v>3</v>
      </c>
      <c r="GV177">
        <f t="shared" si="196"/>
        <v>0</v>
      </c>
      <c r="GW177">
        <v>1</v>
      </c>
      <c r="GX177">
        <f t="shared" si="197"/>
        <v>0</v>
      </c>
      <c r="HA177">
        <v>0</v>
      </c>
      <c r="HB177">
        <v>0</v>
      </c>
      <c r="IK177">
        <v>0</v>
      </c>
    </row>
    <row r="178" spans="1:245" x14ac:dyDescent="0.2">
      <c r="A178">
        <v>18</v>
      </c>
      <c r="B178">
        <v>1</v>
      </c>
      <c r="C178">
        <v>254</v>
      </c>
      <c r="E178" t="s">
        <v>450</v>
      </c>
      <c r="F178" t="s">
        <v>451</v>
      </c>
      <c r="G178" t="s">
        <v>452</v>
      </c>
      <c r="H178" t="s">
        <v>425</v>
      </c>
      <c r="I178">
        <f>I177*J178</f>
        <v>43</v>
      </c>
      <c r="J178">
        <v>10</v>
      </c>
      <c r="O178">
        <f t="shared" si="165"/>
        <v>9117.5499999999993</v>
      </c>
      <c r="P178">
        <f t="shared" si="166"/>
        <v>9117.5499999999993</v>
      </c>
      <c r="Q178">
        <f t="shared" si="167"/>
        <v>0</v>
      </c>
      <c r="R178">
        <f t="shared" si="168"/>
        <v>0</v>
      </c>
      <c r="S178">
        <f t="shared" si="169"/>
        <v>0</v>
      </c>
      <c r="T178">
        <f t="shared" si="170"/>
        <v>0</v>
      </c>
      <c r="U178">
        <f t="shared" si="171"/>
        <v>0</v>
      </c>
      <c r="V178">
        <f t="shared" si="172"/>
        <v>0</v>
      </c>
      <c r="W178">
        <f t="shared" si="173"/>
        <v>0</v>
      </c>
      <c r="X178">
        <f t="shared" si="174"/>
        <v>0</v>
      </c>
      <c r="Y178">
        <f t="shared" si="175"/>
        <v>0</v>
      </c>
      <c r="AA178">
        <v>39096431</v>
      </c>
      <c r="AB178">
        <f t="shared" si="176"/>
        <v>31.6</v>
      </c>
      <c r="AC178">
        <f t="shared" si="198"/>
        <v>31.6</v>
      </c>
      <c r="AD178">
        <f t="shared" si="199"/>
        <v>0</v>
      </c>
      <c r="AE178">
        <f t="shared" si="200"/>
        <v>0</v>
      </c>
      <c r="AF178">
        <f t="shared" si="201"/>
        <v>0</v>
      </c>
      <c r="AG178">
        <f t="shared" si="177"/>
        <v>0</v>
      </c>
      <c r="AH178">
        <f t="shared" si="202"/>
        <v>0</v>
      </c>
      <c r="AI178">
        <f t="shared" si="203"/>
        <v>0</v>
      </c>
      <c r="AJ178">
        <f t="shared" si="178"/>
        <v>0</v>
      </c>
      <c r="AK178">
        <v>31.6</v>
      </c>
      <c r="AL178">
        <v>31.6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95</v>
      </c>
      <c r="AU178">
        <v>65</v>
      </c>
      <c r="AV178">
        <v>1</v>
      </c>
      <c r="AW178">
        <v>1</v>
      </c>
      <c r="AZ178">
        <v>6.71</v>
      </c>
      <c r="BA178">
        <v>1</v>
      </c>
      <c r="BB178">
        <v>1</v>
      </c>
      <c r="BC178">
        <v>6.71</v>
      </c>
      <c r="BD178" t="s">
        <v>3</v>
      </c>
      <c r="BE178" t="s">
        <v>3</v>
      </c>
      <c r="BF178" t="s">
        <v>3</v>
      </c>
      <c r="BG178" t="s">
        <v>3</v>
      </c>
      <c r="BH178">
        <v>3</v>
      </c>
      <c r="BI178">
        <v>2</v>
      </c>
      <c r="BJ178" t="s">
        <v>453</v>
      </c>
      <c r="BM178">
        <v>108001</v>
      </c>
      <c r="BN178">
        <v>0</v>
      </c>
      <c r="BO178" t="s">
        <v>3</v>
      </c>
      <c r="BP178">
        <v>0</v>
      </c>
      <c r="BQ178">
        <v>3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95</v>
      </c>
      <c r="CA178">
        <v>65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si="179"/>
        <v>9117.5499999999993</v>
      </c>
      <c r="CQ178">
        <f t="shared" si="180"/>
        <v>212.036</v>
      </c>
      <c r="CR178">
        <f t="shared" si="181"/>
        <v>0</v>
      </c>
      <c r="CS178">
        <f t="shared" si="182"/>
        <v>0</v>
      </c>
      <c r="CT178">
        <f t="shared" si="183"/>
        <v>0</v>
      </c>
      <c r="CU178">
        <f t="shared" si="184"/>
        <v>0</v>
      </c>
      <c r="CV178">
        <f t="shared" si="185"/>
        <v>0</v>
      </c>
      <c r="CW178">
        <f t="shared" si="186"/>
        <v>0</v>
      </c>
      <c r="CX178">
        <f t="shared" si="187"/>
        <v>0</v>
      </c>
      <c r="CY178">
        <f t="shared" si="188"/>
        <v>0</v>
      </c>
      <c r="CZ178">
        <f t="shared" si="189"/>
        <v>0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1003</v>
      </c>
      <c r="DV178" t="s">
        <v>425</v>
      </c>
      <c r="DW178" t="s">
        <v>425</v>
      </c>
      <c r="DX178">
        <v>10</v>
      </c>
      <c r="EE178">
        <v>39174386</v>
      </c>
      <c r="EF178">
        <v>3</v>
      </c>
      <c r="EG178" t="s">
        <v>391</v>
      </c>
      <c r="EH178">
        <v>0</v>
      </c>
      <c r="EI178" t="s">
        <v>3</v>
      </c>
      <c r="EJ178">
        <v>2</v>
      </c>
      <c r="EK178">
        <v>108001</v>
      </c>
      <c r="EL178" t="s">
        <v>392</v>
      </c>
      <c r="EM178" t="s">
        <v>393</v>
      </c>
      <c r="EO178" t="s">
        <v>3</v>
      </c>
      <c r="EQ178">
        <v>0</v>
      </c>
      <c r="ER178">
        <v>31.6</v>
      </c>
      <c r="ES178">
        <v>31.6</v>
      </c>
      <c r="ET178">
        <v>0</v>
      </c>
      <c r="EU178">
        <v>0</v>
      </c>
      <c r="EV178">
        <v>0</v>
      </c>
      <c r="EW178">
        <v>0</v>
      </c>
      <c r="EX178">
        <v>0</v>
      </c>
      <c r="FQ178">
        <v>0</v>
      </c>
      <c r="FR178">
        <f t="shared" si="190"/>
        <v>0</v>
      </c>
      <c r="FS178">
        <v>0</v>
      </c>
      <c r="FX178">
        <v>95</v>
      </c>
      <c r="FY178">
        <v>65</v>
      </c>
      <c r="GA178" t="s">
        <v>3</v>
      </c>
      <c r="GD178">
        <v>0</v>
      </c>
      <c r="GF178">
        <v>1745554190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91"/>
        <v>0</v>
      </c>
      <c r="GM178">
        <f t="shared" si="192"/>
        <v>9117.5499999999993</v>
      </c>
      <c r="GN178">
        <f t="shared" si="193"/>
        <v>0</v>
      </c>
      <c r="GO178">
        <f t="shared" si="194"/>
        <v>9117.5499999999993</v>
      </c>
      <c r="GP178">
        <f t="shared" si="195"/>
        <v>0</v>
      </c>
      <c r="GR178">
        <v>0</v>
      </c>
      <c r="GS178">
        <v>3</v>
      </c>
      <c r="GT178">
        <v>0</v>
      </c>
      <c r="GU178" t="s">
        <v>3</v>
      </c>
      <c r="GV178">
        <f t="shared" si="196"/>
        <v>0</v>
      </c>
      <c r="GW178">
        <v>1</v>
      </c>
      <c r="GX178">
        <f t="shared" si="197"/>
        <v>0</v>
      </c>
      <c r="HA178">
        <v>0</v>
      </c>
      <c r="HB178"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ROW(SmtRes!A264)</f>
        <v>264</v>
      </c>
      <c r="D179">
        <f>ROW(EtalonRes!A259)</f>
        <v>259</v>
      </c>
      <c r="E179" t="s">
        <v>454</v>
      </c>
      <c r="F179" t="s">
        <v>455</v>
      </c>
      <c r="G179" t="s">
        <v>456</v>
      </c>
      <c r="H179" t="s">
        <v>27</v>
      </c>
      <c r="I179">
        <f>ROUND(95/100,9)</f>
        <v>0.95</v>
      </c>
      <c r="J179">
        <v>0</v>
      </c>
      <c r="O179">
        <f t="shared" si="165"/>
        <v>323.31</v>
      </c>
      <c r="P179">
        <f t="shared" si="166"/>
        <v>86.69</v>
      </c>
      <c r="Q179">
        <f t="shared" si="167"/>
        <v>11.35</v>
      </c>
      <c r="R179">
        <f t="shared" si="168"/>
        <v>1.66</v>
      </c>
      <c r="S179">
        <f t="shared" si="169"/>
        <v>225.27</v>
      </c>
      <c r="T179">
        <f t="shared" si="170"/>
        <v>0</v>
      </c>
      <c r="U179">
        <f t="shared" si="171"/>
        <v>3.5719999999999996</v>
      </c>
      <c r="V179">
        <f t="shared" si="172"/>
        <v>1.9E-2</v>
      </c>
      <c r="W179">
        <f t="shared" si="173"/>
        <v>0</v>
      </c>
      <c r="X179">
        <f t="shared" si="174"/>
        <v>215.58</v>
      </c>
      <c r="Y179">
        <f t="shared" si="175"/>
        <v>147.5</v>
      </c>
      <c r="AA179">
        <v>39096431</v>
      </c>
      <c r="AB179">
        <f t="shared" si="176"/>
        <v>50.72</v>
      </c>
      <c r="AC179">
        <f t="shared" si="198"/>
        <v>13.6</v>
      </c>
      <c r="AD179">
        <f t="shared" si="199"/>
        <v>1.78</v>
      </c>
      <c r="AE179">
        <f t="shared" si="200"/>
        <v>0.26</v>
      </c>
      <c r="AF179">
        <f t="shared" si="201"/>
        <v>35.340000000000003</v>
      </c>
      <c r="AG179">
        <f t="shared" si="177"/>
        <v>0</v>
      </c>
      <c r="AH179">
        <f t="shared" si="202"/>
        <v>3.76</v>
      </c>
      <c r="AI179">
        <f t="shared" si="203"/>
        <v>0.02</v>
      </c>
      <c r="AJ179">
        <f t="shared" si="178"/>
        <v>0</v>
      </c>
      <c r="AK179">
        <v>50.72</v>
      </c>
      <c r="AL179">
        <v>13.6</v>
      </c>
      <c r="AM179">
        <v>1.78</v>
      </c>
      <c r="AN179">
        <v>0.26</v>
      </c>
      <c r="AO179">
        <v>35.340000000000003</v>
      </c>
      <c r="AP179">
        <v>0</v>
      </c>
      <c r="AQ179">
        <v>3.76</v>
      </c>
      <c r="AR179">
        <v>0.02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6.71</v>
      </c>
      <c r="BA179">
        <v>6.71</v>
      </c>
      <c r="BB179">
        <v>6.71</v>
      </c>
      <c r="BC179">
        <v>6.71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2</v>
      </c>
      <c r="BJ179" t="s">
        <v>457</v>
      </c>
      <c r="BM179">
        <v>108001</v>
      </c>
      <c r="BN179">
        <v>0</v>
      </c>
      <c r="BO179" t="s">
        <v>3</v>
      </c>
      <c r="BP179">
        <v>0</v>
      </c>
      <c r="BQ179">
        <v>3</v>
      </c>
      <c r="BR179">
        <v>0</v>
      </c>
      <c r="BS179">
        <v>6.71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79"/>
        <v>323.31</v>
      </c>
      <c r="CQ179">
        <f t="shared" si="180"/>
        <v>91.256</v>
      </c>
      <c r="CR179">
        <f t="shared" si="181"/>
        <v>11.9438</v>
      </c>
      <c r="CS179">
        <f t="shared" si="182"/>
        <v>1.7446000000000002</v>
      </c>
      <c r="CT179">
        <f t="shared" si="183"/>
        <v>237.13140000000001</v>
      </c>
      <c r="CU179">
        <f t="shared" si="184"/>
        <v>0</v>
      </c>
      <c r="CV179">
        <f t="shared" si="185"/>
        <v>3.76</v>
      </c>
      <c r="CW179">
        <f t="shared" si="186"/>
        <v>0.02</v>
      </c>
      <c r="CX179">
        <f t="shared" si="187"/>
        <v>0</v>
      </c>
      <c r="CY179">
        <f t="shared" si="188"/>
        <v>215.58350000000002</v>
      </c>
      <c r="CZ179">
        <f t="shared" si="189"/>
        <v>147.50450000000001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27</v>
      </c>
      <c r="DW179" t="s">
        <v>27</v>
      </c>
      <c r="DX179">
        <v>100</v>
      </c>
      <c r="EE179">
        <v>39174386</v>
      </c>
      <c r="EF179">
        <v>3</v>
      </c>
      <c r="EG179" t="s">
        <v>391</v>
      </c>
      <c r="EH179">
        <v>0</v>
      </c>
      <c r="EI179" t="s">
        <v>3</v>
      </c>
      <c r="EJ179">
        <v>2</v>
      </c>
      <c r="EK179">
        <v>108001</v>
      </c>
      <c r="EL179" t="s">
        <v>392</v>
      </c>
      <c r="EM179" t="s">
        <v>393</v>
      </c>
      <c r="EO179" t="s">
        <v>3</v>
      </c>
      <c r="EQ179">
        <v>0</v>
      </c>
      <c r="ER179">
        <v>50.72</v>
      </c>
      <c r="ES179">
        <v>13.6</v>
      </c>
      <c r="ET179">
        <v>1.78</v>
      </c>
      <c r="EU179">
        <v>0.26</v>
      </c>
      <c r="EV179">
        <v>35.340000000000003</v>
      </c>
      <c r="EW179">
        <v>3.76</v>
      </c>
      <c r="EX179">
        <v>0.02</v>
      </c>
      <c r="EY179">
        <v>0</v>
      </c>
      <c r="FQ179">
        <v>0</v>
      </c>
      <c r="FR179">
        <f t="shared" si="190"/>
        <v>0</v>
      </c>
      <c r="FS179">
        <v>0</v>
      </c>
      <c r="FX179">
        <v>95</v>
      </c>
      <c r="FY179">
        <v>65</v>
      </c>
      <c r="GA179" t="s">
        <v>3</v>
      </c>
      <c r="GD179">
        <v>0</v>
      </c>
      <c r="GF179">
        <v>-1448624239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91"/>
        <v>0</v>
      </c>
      <c r="GM179">
        <f t="shared" si="192"/>
        <v>686.39</v>
      </c>
      <c r="GN179">
        <f t="shared" si="193"/>
        <v>0</v>
      </c>
      <c r="GO179">
        <f t="shared" si="194"/>
        <v>686.39</v>
      </c>
      <c r="GP179">
        <f t="shared" si="195"/>
        <v>0</v>
      </c>
      <c r="GR179">
        <v>0</v>
      </c>
      <c r="GS179">
        <v>3</v>
      </c>
      <c r="GT179">
        <v>0</v>
      </c>
      <c r="GU179" t="s">
        <v>3</v>
      </c>
      <c r="GV179">
        <f t="shared" si="196"/>
        <v>0</v>
      </c>
      <c r="GW179">
        <v>1</v>
      </c>
      <c r="GX179">
        <f t="shared" si="197"/>
        <v>0</v>
      </c>
      <c r="HA179">
        <v>0</v>
      </c>
      <c r="HB179">
        <v>0</v>
      </c>
      <c r="IK179">
        <v>0</v>
      </c>
    </row>
    <row r="180" spans="1:245" x14ac:dyDescent="0.2">
      <c r="A180">
        <v>18</v>
      </c>
      <c r="B180">
        <v>1</v>
      </c>
      <c r="C180">
        <v>263</v>
      </c>
      <c r="E180" t="s">
        <v>458</v>
      </c>
      <c r="F180" t="s">
        <v>459</v>
      </c>
      <c r="G180" t="s">
        <v>460</v>
      </c>
      <c r="H180" t="s">
        <v>461</v>
      </c>
      <c r="I180">
        <f>I179*J180</f>
        <v>9.5000000000000001E-2</v>
      </c>
      <c r="J180">
        <v>0.1</v>
      </c>
      <c r="O180">
        <f t="shared" si="165"/>
        <v>4411.42</v>
      </c>
      <c r="P180">
        <f t="shared" si="166"/>
        <v>4411.42</v>
      </c>
      <c r="Q180">
        <f t="shared" si="167"/>
        <v>0</v>
      </c>
      <c r="R180">
        <f t="shared" si="168"/>
        <v>0</v>
      </c>
      <c r="S180">
        <f t="shared" si="169"/>
        <v>0</v>
      </c>
      <c r="T180">
        <f t="shared" si="170"/>
        <v>0</v>
      </c>
      <c r="U180">
        <f t="shared" si="171"/>
        <v>0</v>
      </c>
      <c r="V180">
        <f t="shared" si="172"/>
        <v>0</v>
      </c>
      <c r="W180">
        <f t="shared" si="173"/>
        <v>0</v>
      </c>
      <c r="X180">
        <f t="shared" si="174"/>
        <v>0</v>
      </c>
      <c r="Y180">
        <f t="shared" si="175"/>
        <v>0</v>
      </c>
      <c r="AA180">
        <v>39096431</v>
      </c>
      <c r="AB180">
        <f t="shared" si="176"/>
        <v>6920.41</v>
      </c>
      <c r="AC180">
        <f t="shared" si="198"/>
        <v>6920.41</v>
      </c>
      <c r="AD180">
        <f t="shared" si="199"/>
        <v>0</v>
      </c>
      <c r="AE180">
        <f t="shared" si="200"/>
        <v>0</v>
      </c>
      <c r="AF180">
        <f t="shared" si="201"/>
        <v>0</v>
      </c>
      <c r="AG180">
        <f t="shared" si="177"/>
        <v>0</v>
      </c>
      <c r="AH180">
        <f t="shared" si="202"/>
        <v>0</v>
      </c>
      <c r="AI180">
        <f t="shared" si="203"/>
        <v>0</v>
      </c>
      <c r="AJ180">
        <f t="shared" si="178"/>
        <v>0</v>
      </c>
      <c r="AK180">
        <v>6920.41</v>
      </c>
      <c r="AL180">
        <v>6920.41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65</v>
      </c>
      <c r="AV180">
        <v>1</v>
      </c>
      <c r="AW180">
        <v>1</v>
      </c>
      <c r="AZ180">
        <v>6.71</v>
      </c>
      <c r="BA180">
        <v>1</v>
      </c>
      <c r="BB180">
        <v>1</v>
      </c>
      <c r="BC180">
        <v>6.71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2</v>
      </c>
      <c r="BJ180" t="s">
        <v>462</v>
      </c>
      <c r="BM180">
        <v>108001</v>
      </c>
      <c r="BN180">
        <v>0</v>
      </c>
      <c r="BO180" t="s">
        <v>3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95</v>
      </c>
      <c r="CA180">
        <v>65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79"/>
        <v>4411.42</v>
      </c>
      <c r="CQ180">
        <f t="shared" si="180"/>
        <v>46435.951099999998</v>
      </c>
      <c r="CR180">
        <f t="shared" si="181"/>
        <v>0</v>
      </c>
      <c r="CS180">
        <f t="shared" si="182"/>
        <v>0</v>
      </c>
      <c r="CT180">
        <f t="shared" si="183"/>
        <v>0</v>
      </c>
      <c r="CU180">
        <f t="shared" si="184"/>
        <v>0</v>
      </c>
      <c r="CV180">
        <f t="shared" si="185"/>
        <v>0</v>
      </c>
      <c r="CW180">
        <f t="shared" si="186"/>
        <v>0</v>
      </c>
      <c r="CX180">
        <f t="shared" si="187"/>
        <v>0</v>
      </c>
      <c r="CY180">
        <f t="shared" si="188"/>
        <v>0</v>
      </c>
      <c r="CZ180">
        <f t="shared" si="189"/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461</v>
      </c>
      <c r="DW180" t="s">
        <v>463</v>
      </c>
      <c r="DX180">
        <v>1</v>
      </c>
      <c r="EE180">
        <v>39174386</v>
      </c>
      <c r="EF180">
        <v>3</v>
      </c>
      <c r="EG180" t="s">
        <v>391</v>
      </c>
      <c r="EH180">
        <v>0</v>
      </c>
      <c r="EI180" t="s">
        <v>3</v>
      </c>
      <c r="EJ180">
        <v>2</v>
      </c>
      <c r="EK180">
        <v>108001</v>
      </c>
      <c r="EL180" t="s">
        <v>392</v>
      </c>
      <c r="EM180" t="s">
        <v>393</v>
      </c>
      <c r="EO180" t="s">
        <v>3</v>
      </c>
      <c r="EQ180">
        <v>0</v>
      </c>
      <c r="ER180">
        <v>6920.41</v>
      </c>
      <c r="ES180">
        <v>6920.41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90"/>
        <v>0</v>
      </c>
      <c r="FS180">
        <v>0</v>
      </c>
      <c r="FX180">
        <v>95</v>
      </c>
      <c r="FY180">
        <v>65</v>
      </c>
      <c r="GA180" t="s">
        <v>3</v>
      </c>
      <c r="GD180">
        <v>0</v>
      </c>
      <c r="GF180">
        <v>559331636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91"/>
        <v>0</v>
      </c>
      <c r="GM180">
        <f t="shared" si="192"/>
        <v>4411.42</v>
      </c>
      <c r="GN180">
        <f t="shared" si="193"/>
        <v>0</v>
      </c>
      <c r="GO180">
        <f t="shared" si="194"/>
        <v>4411.42</v>
      </c>
      <c r="GP180">
        <f t="shared" si="195"/>
        <v>0</v>
      </c>
      <c r="GR180">
        <v>0</v>
      </c>
      <c r="GS180">
        <v>3</v>
      </c>
      <c r="GT180">
        <v>0</v>
      </c>
      <c r="GU180" t="s">
        <v>3</v>
      </c>
      <c r="GV180">
        <f t="shared" si="196"/>
        <v>0</v>
      </c>
      <c r="GW180">
        <v>1</v>
      </c>
      <c r="GX180">
        <f t="shared" si="197"/>
        <v>0</v>
      </c>
      <c r="HA180">
        <v>0</v>
      </c>
      <c r="HB180"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ROW(SmtRes!A275)</f>
        <v>275</v>
      </c>
      <c r="D181">
        <f>ROW(EtalonRes!A269)</f>
        <v>269</v>
      </c>
      <c r="E181" t="s">
        <v>464</v>
      </c>
      <c r="F181" t="s">
        <v>465</v>
      </c>
      <c r="G181" t="s">
        <v>466</v>
      </c>
      <c r="H181" t="s">
        <v>27</v>
      </c>
      <c r="I181">
        <v>7.8</v>
      </c>
      <c r="J181">
        <v>0</v>
      </c>
      <c r="O181">
        <f t="shared" si="165"/>
        <v>4561.26</v>
      </c>
      <c r="P181">
        <f t="shared" si="166"/>
        <v>1187.55</v>
      </c>
      <c r="Q181">
        <f t="shared" si="167"/>
        <v>278.95999999999998</v>
      </c>
      <c r="R181">
        <f t="shared" si="168"/>
        <v>39.78</v>
      </c>
      <c r="S181">
        <f t="shared" si="169"/>
        <v>3094.75</v>
      </c>
      <c r="T181">
        <f t="shared" si="170"/>
        <v>0</v>
      </c>
      <c r="U181">
        <f t="shared" si="171"/>
        <v>49.061999999999998</v>
      </c>
      <c r="V181">
        <f t="shared" si="172"/>
        <v>0.46799999999999997</v>
      </c>
      <c r="W181">
        <f t="shared" si="173"/>
        <v>0</v>
      </c>
      <c r="X181">
        <f t="shared" si="174"/>
        <v>2977.8</v>
      </c>
      <c r="Y181">
        <f t="shared" si="175"/>
        <v>2037.44</v>
      </c>
      <c r="AA181">
        <v>39096431</v>
      </c>
      <c r="AB181">
        <f t="shared" si="176"/>
        <v>87.15</v>
      </c>
      <c r="AC181">
        <f t="shared" si="198"/>
        <v>22.69</v>
      </c>
      <c r="AD181">
        <f t="shared" si="199"/>
        <v>5.33</v>
      </c>
      <c r="AE181">
        <f t="shared" si="200"/>
        <v>0.76</v>
      </c>
      <c r="AF181">
        <f t="shared" si="201"/>
        <v>59.13</v>
      </c>
      <c r="AG181">
        <f t="shared" si="177"/>
        <v>0</v>
      </c>
      <c r="AH181">
        <f t="shared" si="202"/>
        <v>6.29</v>
      </c>
      <c r="AI181">
        <f t="shared" si="203"/>
        <v>0.06</v>
      </c>
      <c r="AJ181">
        <f t="shared" si="178"/>
        <v>0</v>
      </c>
      <c r="AK181">
        <v>87.15</v>
      </c>
      <c r="AL181">
        <v>22.69</v>
      </c>
      <c r="AM181">
        <v>5.33</v>
      </c>
      <c r="AN181">
        <v>0.76</v>
      </c>
      <c r="AO181">
        <v>59.13</v>
      </c>
      <c r="AP181">
        <v>0</v>
      </c>
      <c r="AQ181">
        <v>6.29</v>
      </c>
      <c r="AR181">
        <v>0.06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6.71</v>
      </c>
      <c r="BA181">
        <v>6.71</v>
      </c>
      <c r="BB181">
        <v>6.71</v>
      </c>
      <c r="BC181">
        <v>6.71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2</v>
      </c>
      <c r="BJ181" t="s">
        <v>467</v>
      </c>
      <c r="BM181">
        <v>108001</v>
      </c>
      <c r="BN181">
        <v>0</v>
      </c>
      <c r="BO181" t="s">
        <v>3</v>
      </c>
      <c r="BP181">
        <v>0</v>
      </c>
      <c r="BQ181">
        <v>3</v>
      </c>
      <c r="BR181">
        <v>0</v>
      </c>
      <c r="BS181">
        <v>6.71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95</v>
      </c>
      <c r="CA181">
        <v>65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179"/>
        <v>4561.26</v>
      </c>
      <c r="CQ181">
        <f t="shared" si="180"/>
        <v>152.2499</v>
      </c>
      <c r="CR181">
        <f t="shared" si="181"/>
        <v>35.764299999999999</v>
      </c>
      <c r="CS181">
        <f t="shared" si="182"/>
        <v>5.0995999999999997</v>
      </c>
      <c r="CT181">
        <f t="shared" si="183"/>
        <v>396.76230000000004</v>
      </c>
      <c r="CU181">
        <f t="shared" si="184"/>
        <v>0</v>
      </c>
      <c r="CV181">
        <f t="shared" si="185"/>
        <v>6.29</v>
      </c>
      <c r="CW181">
        <f t="shared" si="186"/>
        <v>0.06</v>
      </c>
      <c r="CX181">
        <f t="shared" si="187"/>
        <v>0</v>
      </c>
      <c r="CY181">
        <f t="shared" si="188"/>
        <v>2977.8035000000004</v>
      </c>
      <c r="CZ181">
        <f t="shared" si="189"/>
        <v>2037.4445000000001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27</v>
      </c>
      <c r="DW181" t="s">
        <v>27</v>
      </c>
      <c r="DX181">
        <v>100</v>
      </c>
      <c r="EE181">
        <v>39174386</v>
      </c>
      <c r="EF181">
        <v>3</v>
      </c>
      <c r="EG181" t="s">
        <v>391</v>
      </c>
      <c r="EH181">
        <v>0</v>
      </c>
      <c r="EI181" t="s">
        <v>3</v>
      </c>
      <c r="EJ181">
        <v>2</v>
      </c>
      <c r="EK181">
        <v>108001</v>
      </c>
      <c r="EL181" t="s">
        <v>392</v>
      </c>
      <c r="EM181" t="s">
        <v>393</v>
      </c>
      <c r="EO181" t="s">
        <v>3</v>
      </c>
      <c r="EQ181">
        <v>0</v>
      </c>
      <c r="ER181">
        <v>87.15</v>
      </c>
      <c r="ES181">
        <v>22.69</v>
      </c>
      <c r="ET181">
        <v>5.33</v>
      </c>
      <c r="EU181">
        <v>0.76</v>
      </c>
      <c r="EV181">
        <v>59.13</v>
      </c>
      <c r="EW181">
        <v>6.29</v>
      </c>
      <c r="EX181">
        <v>0.06</v>
      </c>
      <c r="EY181">
        <v>0</v>
      </c>
      <c r="FQ181">
        <v>0</v>
      </c>
      <c r="FR181">
        <f t="shared" si="190"/>
        <v>0</v>
      </c>
      <c r="FS181">
        <v>0</v>
      </c>
      <c r="FX181">
        <v>95</v>
      </c>
      <c r="FY181">
        <v>65</v>
      </c>
      <c r="GA181" t="s">
        <v>3</v>
      </c>
      <c r="GD181">
        <v>0</v>
      </c>
      <c r="GF181">
        <v>1667817228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91"/>
        <v>0</v>
      </c>
      <c r="GM181">
        <f t="shared" si="192"/>
        <v>9576.5</v>
      </c>
      <c r="GN181">
        <f t="shared" si="193"/>
        <v>0</v>
      </c>
      <c r="GO181">
        <f t="shared" si="194"/>
        <v>9576.5</v>
      </c>
      <c r="GP181">
        <f t="shared" si="195"/>
        <v>0</v>
      </c>
      <c r="GR181">
        <v>0</v>
      </c>
      <c r="GS181">
        <v>3</v>
      </c>
      <c r="GT181">
        <v>0</v>
      </c>
      <c r="GU181" t="s">
        <v>3</v>
      </c>
      <c r="GV181">
        <f t="shared" si="196"/>
        <v>0</v>
      </c>
      <c r="GW181">
        <v>1</v>
      </c>
      <c r="GX181">
        <f t="shared" si="197"/>
        <v>0</v>
      </c>
      <c r="HA181">
        <v>0</v>
      </c>
      <c r="HB181">
        <v>0</v>
      </c>
      <c r="IK181">
        <v>0</v>
      </c>
    </row>
    <row r="182" spans="1:245" x14ac:dyDescent="0.2">
      <c r="A182">
        <v>18</v>
      </c>
      <c r="B182">
        <v>1</v>
      </c>
      <c r="C182">
        <v>274</v>
      </c>
      <c r="E182" t="s">
        <v>468</v>
      </c>
      <c r="F182" t="s">
        <v>459</v>
      </c>
      <c r="G182" t="s">
        <v>460</v>
      </c>
      <c r="H182" t="s">
        <v>461</v>
      </c>
      <c r="I182">
        <f>I181*J182</f>
        <v>0.78</v>
      </c>
      <c r="J182">
        <v>0.1</v>
      </c>
      <c r="O182">
        <f t="shared" si="165"/>
        <v>36220.04</v>
      </c>
      <c r="P182">
        <f t="shared" si="166"/>
        <v>36220.04</v>
      </c>
      <c r="Q182">
        <f t="shared" si="167"/>
        <v>0</v>
      </c>
      <c r="R182">
        <f t="shared" si="168"/>
        <v>0</v>
      </c>
      <c r="S182">
        <f t="shared" si="169"/>
        <v>0</v>
      </c>
      <c r="T182">
        <f t="shared" si="170"/>
        <v>0</v>
      </c>
      <c r="U182">
        <f t="shared" si="171"/>
        <v>0</v>
      </c>
      <c r="V182">
        <f t="shared" si="172"/>
        <v>0</v>
      </c>
      <c r="W182">
        <f t="shared" si="173"/>
        <v>0</v>
      </c>
      <c r="X182">
        <f t="shared" si="174"/>
        <v>0</v>
      </c>
      <c r="Y182">
        <f t="shared" si="175"/>
        <v>0</v>
      </c>
      <c r="AA182">
        <v>39096431</v>
      </c>
      <c r="AB182">
        <f t="shared" si="176"/>
        <v>6920.41</v>
      </c>
      <c r="AC182">
        <f t="shared" si="198"/>
        <v>6920.41</v>
      </c>
      <c r="AD182">
        <f t="shared" si="199"/>
        <v>0</v>
      </c>
      <c r="AE182">
        <f t="shared" si="200"/>
        <v>0</v>
      </c>
      <c r="AF182">
        <f t="shared" si="201"/>
        <v>0</v>
      </c>
      <c r="AG182">
        <f t="shared" si="177"/>
        <v>0</v>
      </c>
      <c r="AH182">
        <f t="shared" si="202"/>
        <v>0</v>
      </c>
      <c r="AI182">
        <f t="shared" si="203"/>
        <v>0</v>
      </c>
      <c r="AJ182">
        <f t="shared" si="178"/>
        <v>0</v>
      </c>
      <c r="AK182">
        <v>6920.41</v>
      </c>
      <c r="AL182">
        <v>6920.41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95</v>
      </c>
      <c r="AU182">
        <v>65</v>
      </c>
      <c r="AV182">
        <v>1</v>
      </c>
      <c r="AW182">
        <v>1</v>
      </c>
      <c r="AZ182">
        <v>6.71</v>
      </c>
      <c r="BA182">
        <v>1</v>
      </c>
      <c r="BB182">
        <v>1</v>
      </c>
      <c r="BC182">
        <v>6.71</v>
      </c>
      <c r="BD182" t="s">
        <v>3</v>
      </c>
      <c r="BE182" t="s">
        <v>3</v>
      </c>
      <c r="BF182" t="s">
        <v>3</v>
      </c>
      <c r="BG182" t="s">
        <v>3</v>
      </c>
      <c r="BH182">
        <v>3</v>
      </c>
      <c r="BI182">
        <v>2</v>
      </c>
      <c r="BJ182" t="s">
        <v>462</v>
      </c>
      <c r="BM182">
        <v>108001</v>
      </c>
      <c r="BN182">
        <v>0</v>
      </c>
      <c r="BO182" t="s">
        <v>3</v>
      </c>
      <c r="BP182">
        <v>0</v>
      </c>
      <c r="BQ182">
        <v>3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95</v>
      </c>
      <c r="CA182">
        <v>65</v>
      </c>
      <c r="CF182">
        <v>0</v>
      </c>
      <c r="CG182">
        <v>0</v>
      </c>
      <c r="CM182">
        <v>0</v>
      </c>
      <c r="CN182" t="s">
        <v>3</v>
      </c>
      <c r="CO182">
        <v>0</v>
      </c>
      <c r="CP182">
        <f t="shared" si="179"/>
        <v>36220.04</v>
      </c>
      <c r="CQ182">
        <f t="shared" si="180"/>
        <v>46435.951099999998</v>
      </c>
      <c r="CR182">
        <f t="shared" si="181"/>
        <v>0</v>
      </c>
      <c r="CS182">
        <f t="shared" si="182"/>
        <v>0</v>
      </c>
      <c r="CT182">
        <f t="shared" si="183"/>
        <v>0</v>
      </c>
      <c r="CU182">
        <f t="shared" si="184"/>
        <v>0</v>
      </c>
      <c r="CV182">
        <f t="shared" si="185"/>
        <v>0</v>
      </c>
      <c r="CW182">
        <f t="shared" si="186"/>
        <v>0</v>
      </c>
      <c r="CX182">
        <f t="shared" si="187"/>
        <v>0</v>
      </c>
      <c r="CY182">
        <f t="shared" si="188"/>
        <v>0</v>
      </c>
      <c r="CZ182">
        <f t="shared" si="189"/>
        <v>0</v>
      </c>
      <c r="DC182" t="s">
        <v>3</v>
      </c>
      <c r="DD182" t="s">
        <v>3</v>
      </c>
      <c r="DE182" t="s">
        <v>3</v>
      </c>
      <c r="DF182" t="s">
        <v>3</v>
      </c>
      <c r="DG182" t="s">
        <v>3</v>
      </c>
      <c r="DH182" t="s">
        <v>3</v>
      </c>
      <c r="DI182" t="s">
        <v>3</v>
      </c>
      <c r="DJ182" t="s">
        <v>3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461</v>
      </c>
      <c r="DW182" t="s">
        <v>463</v>
      </c>
      <c r="DX182">
        <v>1</v>
      </c>
      <c r="EE182">
        <v>39174386</v>
      </c>
      <c r="EF182">
        <v>3</v>
      </c>
      <c r="EG182" t="s">
        <v>391</v>
      </c>
      <c r="EH182">
        <v>0</v>
      </c>
      <c r="EI182" t="s">
        <v>3</v>
      </c>
      <c r="EJ182">
        <v>2</v>
      </c>
      <c r="EK182">
        <v>108001</v>
      </c>
      <c r="EL182" t="s">
        <v>392</v>
      </c>
      <c r="EM182" t="s">
        <v>393</v>
      </c>
      <c r="EO182" t="s">
        <v>3</v>
      </c>
      <c r="EQ182">
        <v>0</v>
      </c>
      <c r="ER182">
        <v>6920.41</v>
      </c>
      <c r="ES182">
        <v>6920.41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190"/>
        <v>0</v>
      </c>
      <c r="FS182">
        <v>0</v>
      </c>
      <c r="FX182">
        <v>95</v>
      </c>
      <c r="FY182">
        <v>65</v>
      </c>
      <c r="GA182" t="s">
        <v>3</v>
      </c>
      <c r="GD182">
        <v>0</v>
      </c>
      <c r="GF182">
        <v>559331636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91"/>
        <v>0</v>
      </c>
      <c r="GM182">
        <f t="shared" si="192"/>
        <v>36220.04</v>
      </c>
      <c r="GN182">
        <f t="shared" si="193"/>
        <v>0</v>
      </c>
      <c r="GO182">
        <f t="shared" si="194"/>
        <v>36220.04</v>
      </c>
      <c r="GP182">
        <f t="shared" si="195"/>
        <v>0</v>
      </c>
      <c r="GR182">
        <v>0</v>
      </c>
      <c r="GS182">
        <v>3</v>
      </c>
      <c r="GT182">
        <v>0</v>
      </c>
      <c r="GU182" t="s">
        <v>3</v>
      </c>
      <c r="GV182">
        <f t="shared" si="196"/>
        <v>0</v>
      </c>
      <c r="GW182">
        <v>1</v>
      </c>
      <c r="GX182">
        <f t="shared" si="197"/>
        <v>0</v>
      </c>
      <c r="HA182">
        <v>0</v>
      </c>
      <c r="HB182"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ROW(SmtRes!A284)</f>
        <v>284</v>
      </c>
      <c r="D183">
        <f>ROW(EtalonRes!A277)</f>
        <v>277</v>
      </c>
      <c r="E183" t="s">
        <v>469</v>
      </c>
      <c r="F183" t="s">
        <v>470</v>
      </c>
      <c r="G183" t="s">
        <v>471</v>
      </c>
      <c r="H183" t="s">
        <v>39</v>
      </c>
      <c r="I183">
        <f>ROUND(7/100,9)</f>
        <v>7.0000000000000007E-2</v>
      </c>
      <c r="J183">
        <v>0</v>
      </c>
      <c r="O183">
        <f t="shared" si="165"/>
        <v>214.35</v>
      </c>
      <c r="P183">
        <f t="shared" si="166"/>
        <v>48.47</v>
      </c>
      <c r="Q183">
        <f t="shared" si="167"/>
        <v>2.19</v>
      </c>
      <c r="R183">
        <f t="shared" si="168"/>
        <v>0.3</v>
      </c>
      <c r="S183">
        <f t="shared" si="169"/>
        <v>163.69</v>
      </c>
      <c r="T183">
        <f t="shared" si="170"/>
        <v>0</v>
      </c>
      <c r="U183">
        <f t="shared" si="171"/>
        <v>2.4591000000000003</v>
      </c>
      <c r="V183">
        <f t="shared" si="172"/>
        <v>3.5000000000000005E-3</v>
      </c>
      <c r="W183">
        <f t="shared" si="173"/>
        <v>0</v>
      </c>
      <c r="X183">
        <f t="shared" si="174"/>
        <v>155.79</v>
      </c>
      <c r="Y183">
        <f t="shared" si="175"/>
        <v>106.59</v>
      </c>
      <c r="AA183">
        <v>39096431</v>
      </c>
      <c r="AB183">
        <f t="shared" si="176"/>
        <v>456.35</v>
      </c>
      <c r="AC183">
        <f t="shared" si="198"/>
        <v>103.19</v>
      </c>
      <c r="AD183">
        <f t="shared" si="199"/>
        <v>4.67</v>
      </c>
      <c r="AE183">
        <f t="shared" si="200"/>
        <v>0.64</v>
      </c>
      <c r="AF183">
        <f t="shared" si="201"/>
        <v>348.49</v>
      </c>
      <c r="AG183">
        <f t="shared" si="177"/>
        <v>0</v>
      </c>
      <c r="AH183">
        <f t="shared" si="202"/>
        <v>35.130000000000003</v>
      </c>
      <c r="AI183">
        <f t="shared" si="203"/>
        <v>0.05</v>
      </c>
      <c r="AJ183">
        <f t="shared" si="178"/>
        <v>0</v>
      </c>
      <c r="AK183">
        <v>456.35</v>
      </c>
      <c r="AL183">
        <v>103.19</v>
      </c>
      <c r="AM183">
        <v>4.67</v>
      </c>
      <c r="AN183">
        <v>0.64</v>
      </c>
      <c r="AO183">
        <v>348.49</v>
      </c>
      <c r="AP183">
        <v>0</v>
      </c>
      <c r="AQ183">
        <v>35.130000000000003</v>
      </c>
      <c r="AR183">
        <v>0.05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6.71</v>
      </c>
      <c r="BA183">
        <v>6.71</v>
      </c>
      <c r="BB183">
        <v>6.71</v>
      </c>
      <c r="BC183">
        <v>6.71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2</v>
      </c>
      <c r="BJ183" t="s">
        <v>472</v>
      </c>
      <c r="BM183">
        <v>108001</v>
      </c>
      <c r="BN183">
        <v>0</v>
      </c>
      <c r="BO183" t="s">
        <v>3</v>
      </c>
      <c r="BP183">
        <v>0</v>
      </c>
      <c r="BQ183">
        <v>3</v>
      </c>
      <c r="BR183">
        <v>0</v>
      </c>
      <c r="BS183">
        <v>6.71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95</v>
      </c>
      <c r="CA183">
        <v>65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179"/>
        <v>214.35</v>
      </c>
      <c r="CQ183">
        <f t="shared" si="180"/>
        <v>692.4049</v>
      </c>
      <c r="CR183">
        <f t="shared" si="181"/>
        <v>31.335699999999999</v>
      </c>
      <c r="CS183">
        <f t="shared" si="182"/>
        <v>4.2944000000000004</v>
      </c>
      <c r="CT183">
        <f t="shared" si="183"/>
        <v>2338.3679000000002</v>
      </c>
      <c r="CU183">
        <f t="shared" si="184"/>
        <v>0</v>
      </c>
      <c r="CV183">
        <f t="shared" si="185"/>
        <v>35.130000000000003</v>
      </c>
      <c r="CW183">
        <f t="shared" si="186"/>
        <v>0.05</v>
      </c>
      <c r="CX183">
        <f t="shared" si="187"/>
        <v>0</v>
      </c>
      <c r="CY183">
        <f t="shared" si="188"/>
        <v>155.79050000000001</v>
      </c>
      <c r="CZ183">
        <f t="shared" si="189"/>
        <v>106.59350000000001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39</v>
      </c>
      <c r="DW183" t="s">
        <v>39</v>
      </c>
      <c r="DX183">
        <v>1</v>
      </c>
      <c r="EE183">
        <v>39174386</v>
      </c>
      <c r="EF183">
        <v>3</v>
      </c>
      <c r="EG183" t="s">
        <v>391</v>
      </c>
      <c r="EH183">
        <v>0</v>
      </c>
      <c r="EI183" t="s">
        <v>3</v>
      </c>
      <c r="EJ183">
        <v>2</v>
      </c>
      <c r="EK183">
        <v>108001</v>
      </c>
      <c r="EL183" t="s">
        <v>392</v>
      </c>
      <c r="EM183" t="s">
        <v>393</v>
      </c>
      <c r="EO183" t="s">
        <v>3</v>
      </c>
      <c r="EQ183">
        <v>0</v>
      </c>
      <c r="ER183">
        <v>456.35</v>
      </c>
      <c r="ES183">
        <v>103.19</v>
      </c>
      <c r="ET183">
        <v>4.67</v>
      </c>
      <c r="EU183">
        <v>0.64</v>
      </c>
      <c r="EV183">
        <v>348.49</v>
      </c>
      <c r="EW183">
        <v>35.130000000000003</v>
      </c>
      <c r="EX183">
        <v>0.05</v>
      </c>
      <c r="EY183">
        <v>0</v>
      </c>
      <c r="FQ183">
        <v>0</v>
      </c>
      <c r="FR183">
        <f t="shared" si="190"/>
        <v>0</v>
      </c>
      <c r="FS183">
        <v>0</v>
      </c>
      <c r="FX183">
        <v>95</v>
      </c>
      <c r="FY183">
        <v>65</v>
      </c>
      <c r="GA183" t="s">
        <v>3</v>
      </c>
      <c r="GD183">
        <v>0</v>
      </c>
      <c r="GF183">
        <v>-991288307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91"/>
        <v>0</v>
      </c>
      <c r="GM183">
        <f t="shared" si="192"/>
        <v>476.73</v>
      </c>
      <c r="GN183">
        <f t="shared" si="193"/>
        <v>0</v>
      </c>
      <c r="GO183">
        <f t="shared" si="194"/>
        <v>476.73</v>
      </c>
      <c r="GP183">
        <f t="shared" si="195"/>
        <v>0</v>
      </c>
      <c r="GR183">
        <v>0</v>
      </c>
      <c r="GS183">
        <v>3</v>
      </c>
      <c r="GT183">
        <v>0</v>
      </c>
      <c r="GU183" t="s">
        <v>3</v>
      </c>
      <c r="GV183">
        <f t="shared" si="196"/>
        <v>0</v>
      </c>
      <c r="GW183">
        <v>1</v>
      </c>
      <c r="GX183">
        <f t="shared" si="197"/>
        <v>0</v>
      </c>
      <c r="HA183">
        <v>0</v>
      </c>
      <c r="HB183">
        <v>0</v>
      </c>
      <c r="IK183">
        <v>0</v>
      </c>
    </row>
    <row r="184" spans="1:245" x14ac:dyDescent="0.2">
      <c r="A184">
        <v>18</v>
      </c>
      <c r="B184">
        <v>1</v>
      </c>
      <c r="C184">
        <v>283</v>
      </c>
      <c r="E184" t="s">
        <v>473</v>
      </c>
      <c r="F184" t="s">
        <v>474</v>
      </c>
      <c r="G184" t="s">
        <v>475</v>
      </c>
      <c r="H184" t="s">
        <v>436</v>
      </c>
      <c r="I184">
        <f>I183*J184</f>
        <v>0.7</v>
      </c>
      <c r="J184">
        <v>9.9999999999999982</v>
      </c>
      <c r="O184">
        <f t="shared" si="165"/>
        <v>402.06</v>
      </c>
      <c r="P184">
        <f t="shared" si="166"/>
        <v>402.06</v>
      </c>
      <c r="Q184">
        <f t="shared" si="167"/>
        <v>0</v>
      </c>
      <c r="R184">
        <f t="shared" si="168"/>
        <v>0</v>
      </c>
      <c r="S184">
        <f t="shared" si="169"/>
        <v>0</v>
      </c>
      <c r="T184">
        <f t="shared" si="170"/>
        <v>0</v>
      </c>
      <c r="U184">
        <f t="shared" si="171"/>
        <v>0</v>
      </c>
      <c r="V184">
        <f t="shared" si="172"/>
        <v>0</v>
      </c>
      <c r="W184">
        <f t="shared" si="173"/>
        <v>0</v>
      </c>
      <c r="X184">
        <f t="shared" si="174"/>
        <v>0</v>
      </c>
      <c r="Y184">
        <f t="shared" si="175"/>
        <v>0</v>
      </c>
      <c r="AA184">
        <v>39096431</v>
      </c>
      <c r="AB184">
        <f t="shared" si="176"/>
        <v>85.6</v>
      </c>
      <c r="AC184">
        <f t="shared" si="198"/>
        <v>85.6</v>
      </c>
      <c r="AD184">
        <f t="shared" si="199"/>
        <v>0</v>
      </c>
      <c r="AE184">
        <f t="shared" si="200"/>
        <v>0</v>
      </c>
      <c r="AF184">
        <f t="shared" si="201"/>
        <v>0</v>
      </c>
      <c r="AG184">
        <f t="shared" si="177"/>
        <v>0</v>
      </c>
      <c r="AH184">
        <f t="shared" si="202"/>
        <v>0</v>
      </c>
      <c r="AI184">
        <f t="shared" si="203"/>
        <v>0</v>
      </c>
      <c r="AJ184">
        <f t="shared" si="178"/>
        <v>0</v>
      </c>
      <c r="AK184">
        <v>85.6</v>
      </c>
      <c r="AL184">
        <v>85.6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95</v>
      </c>
      <c r="AU184">
        <v>65</v>
      </c>
      <c r="AV184">
        <v>1</v>
      </c>
      <c r="AW184">
        <v>1</v>
      </c>
      <c r="AZ184">
        <v>6.71</v>
      </c>
      <c r="BA184">
        <v>1</v>
      </c>
      <c r="BB184">
        <v>1</v>
      </c>
      <c r="BC184">
        <v>6.71</v>
      </c>
      <c r="BD184" t="s">
        <v>3</v>
      </c>
      <c r="BE184" t="s">
        <v>3</v>
      </c>
      <c r="BF184" t="s">
        <v>3</v>
      </c>
      <c r="BG184" t="s">
        <v>3</v>
      </c>
      <c r="BH184">
        <v>3</v>
      </c>
      <c r="BI184">
        <v>2</v>
      </c>
      <c r="BJ184" t="s">
        <v>476</v>
      </c>
      <c r="BM184">
        <v>108001</v>
      </c>
      <c r="BN184">
        <v>0</v>
      </c>
      <c r="BO184" t="s">
        <v>3</v>
      </c>
      <c r="BP184">
        <v>0</v>
      </c>
      <c r="BQ184">
        <v>3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95</v>
      </c>
      <c r="CA184">
        <v>65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79"/>
        <v>402.06</v>
      </c>
      <c r="CQ184">
        <f t="shared" si="180"/>
        <v>574.37599999999998</v>
      </c>
      <c r="CR184">
        <f t="shared" si="181"/>
        <v>0</v>
      </c>
      <c r="CS184">
        <f t="shared" si="182"/>
        <v>0</v>
      </c>
      <c r="CT184">
        <f t="shared" si="183"/>
        <v>0</v>
      </c>
      <c r="CU184">
        <f t="shared" si="184"/>
        <v>0</v>
      </c>
      <c r="CV184">
        <f t="shared" si="185"/>
        <v>0</v>
      </c>
      <c r="CW184">
        <f t="shared" si="186"/>
        <v>0</v>
      </c>
      <c r="CX184">
        <f t="shared" si="187"/>
        <v>0</v>
      </c>
      <c r="CY184">
        <f t="shared" si="188"/>
        <v>0</v>
      </c>
      <c r="CZ184">
        <f t="shared" si="189"/>
        <v>0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1010</v>
      </c>
      <c r="DV184" t="s">
        <v>436</v>
      </c>
      <c r="DW184" t="s">
        <v>436</v>
      </c>
      <c r="DX184">
        <v>10</v>
      </c>
      <c r="EE184">
        <v>39174386</v>
      </c>
      <c r="EF184">
        <v>3</v>
      </c>
      <c r="EG184" t="s">
        <v>391</v>
      </c>
      <c r="EH184">
        <v>0</v>
      </c>
      <c r="EI184" t="s">
        <v>3</v>
      </c>
      <c r="EJ184">
        <v>2</v>
      </c>
      <c r="EK184">
        <v>108001</v>
      </c>
      <c r="EL184" t="s">
        <v>392</v>
      </c>
      <c r="EM184" t="s">
        <v>393</v>
      </c>
      <c r="EO184" t="s">
        <v>3</v>
      </c>
      <c r="EQ184">
        <v>0</v>
      </c>
      <c r="ER184">
        <v>85.6</v>
      </c>
      <c r="ES184">
        <v>85.6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190"/>
        <v>0</v>
      </c>
      <c r="FS184">
        <v>0</v>
      </c>
      <c r="FX184">
        <v>95</v>
      </c>
      <c r="FY184">
        <v>65</v>
      </c>
      <c r="GA184" t="s">
        <v>3</v>
      </c>
      <c r="GD184">
        <v>0</v>
      </c>
      <c r="GF184">
        <v>-265205787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191"/>
        <v>0</v>
      </c>
      <c r="GM184">
        <f t="shared" si="192"/>
        <v>402.06</v>
      </c>
      <c r="GN184">
        <f t="shared" si="193"/>
        <v>0</v>
      </c>
      <c r="GO184">
        <f t="shared" si="194"/>
        <v>402.06</v>
      </c>
      <c r="GP184">
        <f t="shared" si="195"/>
        <v>0</v>
      </c>
      <c r="GR184">
        <v>0</v>
      </c>
      <c r="GS184">
        <v>3</v>
      </c>
      <c r="GT184">
        <v>0</v>
      </c>
      <c r="GU184" t="s">
        <v>3</v>
      </c>
      <c r="GV184">
        <f t="shared" si="196"/>
        <v>0</v>
      </c>
      <c r="GW184">
        <v>1</v>
      </c>
      <c r="GX184">
        <f t="shared" si="197"/>
        <v>0</v>
      </c>
      <c r="HA184">
        <v>0</v>
      </c>
      <c r="HB184"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ROW(SmtRes!A295)</f>
        <v>295</v>
      </c>
      <c r="D185">
        <f>ROW(EtalonRes!A286)</f>
        <v>286</v>
      </c>
      <c r="E185" t="s">
        <v>477</v>
      </c>
      <c r="F185" t="s">
        <v>478</v>
      </c>
      <c r="G185" t="s">
        <v>479</v>
      </c>
      <c r="H185" t="s">
        <v>39</v>
      </c>
      <c r="I185">
        <f>ROUND(45/100,9)</f>
        <v>0.45</v>
      </c>
      <c r="J185">
        <v>0</v>
      </c>
      <c r="O185">
        <f t="shared" si="165"/>
        <v>1370.65</v>
      </c>
      <c r="P185">
        <f t="shared" si="166"/>
        <v>321.33999999999997</v>
      </c>
      <c r="Q185">
        <f t="shared" si="167"/>
        <v>14.1</v>
      </c>
      <c r="R185">
        <f t="shared" si="168"/>
        <v>1.93</v>
      </c>
      <c r="S185">
        <f t="shared" si="169"/>
        <v>1035.21</v>
      </c>
      <c r="T185">
        <f t="shared" si="170"/>
        <v>0</v>
      </c>
      <c r="U185">
        <f t="shared" si="171"/>
        <v>15.552000000000001</v>
      </c>
      <c r="V185">
        <f t="shared" si="172"/>
        <v>2.2500000000000003E-2</v>
      </c>
      <c r="W185">
        <f t="shared" si="173"/>
        <v>0</v>
      </c>
      <c r="X185">
        <f t="shared" si="174"/>
        <v>985.28</v>
      </c>
      <c r="Y185">
        <f t="shared" si="175"/>
        <v>674.14</v>
      </c>
      <c r="AA185">
        <v>39096431</v>
      </c>
      <c r="AB185">
        <f t="shared" si="176"/>
        <v>453.93</v>
      </c>
      <c r="AC185">
        <f t="shared" si="198"/>
        <v>106.42</v>
      </c>
      <c r="AD185">
        <f t="shared" si="199"/>
        <v>4.67</v>
      </c>
      <c r="AE185">
        <f t="shared" si="200"/>
        <v>0.64</v>
      </c>
      <c r="AF185">
        <f t="shared" si="201"/>
        <v>342.84</v>
      </c>
      <c r="AG185">
        <f t="shared" si="177"/>
        <v>0</v>
      </c>
      <c r="AH185">
        <f t="shared" si="202"/>
        <v>34.56</v>
      </c>
      <c r="AI185">
        <f t="shared" si="203"/>
        <v>0.05</v>
      </c>
      <c r="AJ185">
        <f t="shared" si="178"/>
        <v>0</v>
      </c>
      <c r="AK185">
        <v>453.93</v>
      </c>
      <c r="AL185">
        <v>106.42</v>
      </c>
      <c r="AM185">
        <v>4.67</v>
      </c>
      <c r="AN185">
        <v>0.64</v>
      </c>
      <c r="AO185">
        <v>342.84</v>
      </c>
      <c r="AP185">
        <v>0</v>
      </c>
      <c r="AQ185">
        <v>34.56</v>
      </c>
      <c r="AR185">
        <v>0.05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6.71</v>
      </c>
      <c r="BA185">
        <v>6.71</v>
      </c>
      <c r="BB185">
        <v>6.71</v>
      </c>
      <c r="BC185">
        <v>6.71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2</v>
      </c>
      <c r="BJ185" t="s">
        <v>480</v>
      </c>
      <c r="BM185">
        <v>108001</v>
      </c>
      <c r="BN185">
        <v>0</v>
      </c>
      <c r="BO185" t="s">
        <v>3</v>
      </c>
      <c r="BP185">
        <v>0</v>
      </c>
      <c r="BQ185">
        <v>3</v>
      </c>
      <c r="BR185">
        <v>0</v>
      </c>
      <c r="BS185">
        <v>6.71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95</v>
      </c>
      <c r="CA185">
        <v>65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79"/>
        <v>1370.65</v>
      </c>
      <c r="CQ185">
        <f t="shared" si="180"/>
        <v>714.07820000000004</v>
      </c>
      <c r="CR185">
        <f t="shared" si="181"/>
        <v>31.335699999999999</v>
      </c>
      <c r="CS185">
        <f t="shared" si="182"/>
        <v>4.2944000000000004</v>
      </c>
      <c r="CT185">
        <f t="shared" si="183"/>
        <v>2300.4564</v>
      </c>
      <c r="CU185">
        <f t="shared" si="184"/>
        <v>0</v>
      </c>
      <c r="CV185">
        <f t="shared" si="185"/>
        <v>34.56</v>
      </c>
      <c r="CW185">
        <f t="shared" si="186"/>
        <v>0.05</v>
      </c>
      <c r="CX185">
        <f t="shared" si="187"/>
        <v>0</v>
      </c>
      <c r="CY185">
        <f t="shared" si="188"/>
        <v>985.28300000000002</v>
      </c>
      <c r="CZ185">
        <f t="shared" si="189"/>
        <v>674.14100000000008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39</v>
      </c>
      <c r="DW185" t="s">
        <v>39</v>
      </c>
      <c r="DX185">
        <v>1</v>
      </c>
      <c r="EE185">
        <v>39174386</v>
      </c>
      <c r="EF185">
        <v>3</v>
      </c>
      <c r="EG185" t="s">
        <v>391</v>
      </c>
      <c r="EH185">
        <v>0</v>
      </c>
      <c r="EI185" t="s">
        <v>3</v>
      </c>
      <c r="EJ185">
        <v>2</v>
      </c>
      <c r="EK185">
        <v>108001</v>
      </c>
      <c r="EL185" t="s">
        <v>392</v>
      </c>
      <c r="EM185" t="s">
        <v>393</v>
      </c>
      <c r="EO185" t="s">
        <v>3</v>
      </c>
      <c r="EQ185">
        <v>0</v>
      </c>
      <c r="ER185">
        <v>453.93</v>
      </c>
      <c r="ES185">
        <v>106.42</v>
      </c>
      <c r="ET185">
        <v>4.67</v>
      </c>
      <c r="EU185">
        <v>0.64</v>
      </c>
      <c r="EV185">
        <v>342.84</v>
      </c>
      <c r="EW185">
        <v>34.56</v>
      </c>
      <c r="EX185">
        <v>0.05</v>
      </c>
      <c r="EY185">
        <v>0</v>
      </c>
      <c r="FQ185">
        <v>0</v>
      </c>
      <c r="FR185">
        <f t="shared" si="190"/>
        <v>0</v>
      </c>
      <c r="FS185">
        <v>0</v>
      </c>
      <c r="FX185">
        <v>95</v>
      </c>
      <c r="FY185">
        <v>65</v>
      </c>
      <c r="GA185" t="s">
        <v>3</v>
      </c>
      <c r="GD185">
        <v>0</v>
      </c>
      <c r="GF185">
        <v>1188648583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191"/>
        <v>0</v>
      </c>
      <c r="GM185">
        <f t="shared" si="192"/>
        <v>3030.07</v>
      </c>
      <c r="GN185">
        <f t="shared" si="193"/>
        <v>0</v>
      </c>
      <c r="GO185">
        <f t="shared" si="194"/>
        <v>3030.07</v>
      </c>
      <c r="GP185">
        <f t="shared" si="195"/>
        <v>0</v>
      </c>
      <c r="GR185">
        <v>0</v>
      </c>
      <c r="GS185">
        <v>3</v>
      </c>
      <c r="GT185">
        <v>0</v>
      </c>
      <c r="GU185" t="s">
        <v>3</v>
      </c>
      <c r="GV185">
        <f t="shared" si="196"/>
        <v>0</v>
      </c>
      <c r="GW185">
        <v>1</v>
      </c>
      <c r="GX185">
        <f t="shared" si="197"/>
        <v>0</v>
      </c>
      <c r="HA185">
        <v>0</v>
      </c>
      <c r="HB185">
        <v>0</v>
      </c>
      <c r="IK185">
        <v>0</v>
      </c>
    </row>
    <row r="186" spans="1:245" x14ac:dyDescent="0.2">
      <c r="A186">
        <v>18</v>
      </c>
      <c r="B186">
        <v>1</v>
      </c>
      <c r="C186">
        <v>293</v>
      </c>
      <c r="E186" t="s">
        <v>481</v>
      </c>
      <c r="F186" t="s">
        <v>482</v>
      </c>
      <c r="G186" t="s">
        <v>483</v>
      </c>
      <c r="H186" t="s">
        <v>161</v>
      </c>
      <c r="I186">
        <f>I185*J186</f>
        <v>0.38</v>
      </c>
      <c r="J186">
        <v>0.84444444444444444</v>
      </c>
      <c r="O186">
        <f t="shared" si="165"/>
        <v>2292.27</v>
      </c>
      <c r="P186">
        <f t="shared" si="166"/>
        <v>2292.27</v>
      </c>
      <c r="Q186">
        <f t="shared" si="167"/>
        <v>0</v>
      </c>
      <c r="R186">
        <f t="shared" si="168"/>
        <v>0</v>
      </c>
      <c r="S186">
        <f t="shared" si="169"/>
        <v>0</v>
      </c>
      <c r="T186">
        <f t="shared" si="170"/>
        <v>0</v>
      </c>
      <c r="U186">
        <f t="shared" si="171"/>
        <v>0</v>
      </c>
      <c r="V186">
        <f t="shared" si="172"/>
        <v>0</v>
      </c>
      <c r="W186">
        <f t="shared" si="173"/>
        <v>0</v>
      </c>
      <c r="X186">
        <f t="shared" si="174"/>
        <v>0</v>
      </c>
      <c r="Y186">
        <f t="shared" si="175"/>
        <v>0</v>
      </c>
      <c r="AA186">
        <v>39096431</v>
      </c>
      <c r="AB186">
        <f t="shared" si="176"/>
        <v>899</v>
      </c>
      <c r="AC186">
        <f t="shared" si="198"/>
        <v>899</v>
      </c>
      <c r="AD186">
        <f t="shared" si="199"/>
        <v>0</v>
      </c>
      <c r="AE186">
        <f t="shared" si="200"/>
        <v>0</v>
      </c>
      <c r="AF186">
        <f t="shared" si="201"/>
        <v>0</v>
      </c>
      <c r="AG186">
        <f t="shared" si="177"/>
        <v>0</v>
      </c>
      <c r="AH186">
        <f t="shared" si="202"/>
        <v>0</v>
      </c>
      <c r="AI186">
        <f t="shared" si="203"/>
        <v>0</v>
      </c>
      <c r="AJ186">
        <f t="shared" si="178"/>
        <v>0</v>
      </c>
      <c r="AK186">
        <v>899</v>
      </c>
      <c r="AL186">
        <v>899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95</v>
      </c>
      <c r="AU186">
        <v>65</v>
      </c>
      <c r="AV186">
        <v>1</v>
      </c>
      <c r="AW186">
        <v>1</v>
      </c>
      <c r="AZ186">
        <v>6.71</v>
      </c>
      <c r="BA186">
        <v>1</v>
      </c>
      <c r="BB186">
        <v>1</v>
      </c>
      <c r="BC186">
        <v>6.71</v>
      </c>
      <c r="BD186" t="s">
        <v>3</v>
      </c>
      <c r="BE186" t="s">
        <v>3</v>
      </c>
      <c r="BF186" t="s">
        <v>3</v>
      </c>
      <c r="BG186" t="s">
        <v>3</v>
      </c>
      <c r="BH186">
        <v>3</v>
      </c>
      <c r="BI186">
        <v>2</v>
      </c>
      <c r="BJ186" t="s">
        <v>484</v>
      </c>
      <c r="BM186">
        <v>108001</v>
      </c>
      <c r="BN186">
        <v>0</v>
      </c>
      <c r="BO186" t="s">
        <v>3</v>
      </c>
      <c r="BP186">
        <v>0</v>
      </c>
      <c r="BQ186">
        <v>3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95</v>
      </c>
      <c r="CA186">
        <v>65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179"/>
        <v>2292.27</v>
      </c>
      <c r="CQ186">
        <f t="shared" si="180"/>
        <v>6032.29</v>
      </c>
      <c r="CR186">
        <f t="shared" si="181"/>
        <v>0</v>
      </c>
      <c r="CS186">
        <f t="shared" si="182"/>
        <v>0</v>
      </c>
      <c r="CT186">
        <f t="shared" si="183"/>
        <v>0</v>
      </c>
      <c r="CU186">
        <f t="shared" si="184"/>
        <v>0</v>
      </c>
      <c r="CV186">
        <f t="shared" si="185"/>
        <v>0</v>
      </c>
      <c r="CW186">
        <f t="shared" si="186"/>
        <v>0</v>
      </c>
      <c r="CX186">
        <f t="shared" si="187"/>
        <v>0</v>
      </c>
      <c r="CY186">
        <f t="shared" si="188"/>
        <v>0</v>
      </c>
      <c r="CZ186">
        <f t="shared" si="189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1010</v>
      </c>
      <c r="DV186" t="s">
        <v>161</v>
      </c>
      <c r="DW186" t="s">
        <v>161</v>
      </c>
      <c r="DX186">
        <v>100</v>
      </c>
      <c r="EE186">
        <v>39174386</v>
      </c>
      <c r="EF186">
        <v>3</v>
      </c>
      <c r="EG186" t="s">
        <v>391</v>
      </c>
      <c r="EH186">
        <v>0</v>
      </c>
      <c r="EI186" t="s">
        <v>3</v>
      </c>
      <c r="EJ186">
        <v>2</v>
      </c>
      <c r="EK186">
        <v>108001</v>
      </c>
      <c r="EL186" t="s">
        <v>392</v>
      </c>
      <c r="EM186" t="s">
        <v>393</v>
      </c>
      <c r="EO186" t="s">
        <v>3</v>
      </c>
      <c r="EQ186">
        <v>0</v>
      </c>
      <c r="ER186">
        <v>899</v>
      </c>
      <c r="ES186">
        <v>899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190"/>
        <v>0</v>
      </c>
      <c r="FS186">
        <v>0</v>
      </c>
      <c r="FX186">
        <v>95</v>
      </c>
      <c r="FY186">
        <v>65</v>
      </c>
      <c r="GA186" t="s">
        <v>3</v>
      </c>
      <c r="GD186">
        <v>0</v>
      </c>
      <c r="GF186">
        <v>-2051776460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191"/>
        <v>0</v>
      </c>
      <c r="GM186">
        <f t="shared" si="192"/>
        <v>2292.27</v>
      </c>
      <c r="GN186">
        <f t="shared" si="193"/>
        <v>0</v>
      </c>
      <c r="GO186">
        <f t="shared" si="194"/>
        <v>2292.27</v>
      </c>
      <c r="GP186">
        <f t="shared" si="195"/>
        <v>0</v>
      </c>
      <c r="GR186">
        <v>0</v>
      </c>
      <c r="GS186">
        <v>3</v>
      </c>
      <c r="GT186">
        <v>0</v>
      </c>
      <c r="GU186" t="s">
        <v>3</v>
      </c>
      <c r="GV186">
        <f t="shared" si="196"/>
        <v>0</v>
      </c>
      <c r="GW186">
        <v>1</v>
      </c>
      <c r="GX186">
        <f t="shared" si="197"/>
        <v>0</v>
      </c>
      <c r="HA186">
        <v>0</v>
      </c>
      <c r="HB186">
        <v>0</v>
      </c>
      <c r="IK186">
        <v>0</v>
      </c>
    </row>
    <row r="187" spans="1:245" x14ac:dyDescent="0.2">
      <c r="A187">
        <v>18</v>
      </c>
      <c r="B187">
        <v>1</v>
      </c>
      <c r="C187">
        <v>294</v>
      </c>
      <c r="E187" t="s">
        <v>485</v>
      </c>
      <c r="F187" t="s">
        <v>486</v>
      </c>
      <c r="G187" t="s">
        <v>487</v>
      </c>
      <c r="H187" t="s">
        <v>161</v>
      </c>
      <c r="I187">
        <f>I185*J187</f>
        <v>7.0000000000000007E-2</v>
      </c>
      <c r="J187">
        <v>0.15555555555555556</v>
      </c>
      <c r="O187">
        <f t="shared" si="165"/>
        <v>344.76</v>
      </c>
      <c r="P187">
        <f t="shared" si="166"/>
        <v>344.76</v>
      </c>
      <c r="Q187">
        <f t="shared" si="167"/>
        <v>0</v>
      </c>
      <c r="R187">
        <f t="shared" si="168"/>
        <v>0</v>
      </c>
      <c r="S187">
        <f t="shared" si="169"/>
        <v>0</v>
      </c>
      <c r="T187">
        <f t="shared" si="170"/>
        <v>0</v>
      </c>
      <c r="U187">
        <f t="shared" si="171"/>
        <v>0</v>
      </c>
      <c r="V187">
        <f t="shared" si="172"/>
        <v>0</v>
      </c>
      <c r="W187">
        <f t="shared" si="173"/>
        <v>0</v>
      </c>
      <c r="X187">
        <f t="shared" si="174"/>
        <v>0</v>
      </c>
      <c r="Y187">
        <f t="shared" si="175"/>
        <v>0</v>
      </c>
      <c r="AA187">
        <v>39096431</v>
      </c>
      <c r="AB187">
        <f t="shared" si="176"/>
        <v>734</v>
      </c>
      <c r="AC187">
        <f t="shared" si="198"/>
        <v>734</v>
      </c>
      <c r="AD187">
        <f t="shared" si="199"/>
        <v>0</v>
      </c>
      <c r="AE187">
        <f t="shared" si="200"/>
        <v>0</v>
      </c>
      <c r="AF187">
        <f t="shared" si="201"/>
        <v>0</v>
      </c>
      <c r="AG187">
        <f t="shared" si="177"/>
        <v>0</v>
      </c>
      <c r="AH187">
        <f t="shared" si="202"/>
        <v>0</v>
      </c>
      <c r="AI187">
        <f t="shared" si="203"/>
        <v>0</v>
      </c>
      <c r="AJ187">
        <f t="shared" si="178"/>
        <v>0</v>
      </c>
      <c r="AK187">
        <v>734</v>
      </c>
      <c r="AL187">
        <v>734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6.71</v>
      </c>
      <c r="BA187">
        <v>1</v>
      </c>
      <c r="BB187">
        <v>1</v>
      </c>
      <c r="BC187">
        <v>6.71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2</v>
      </c>
      <c r="BJ187" t="s">
        <v>488</v>
      </c>
      <c r="BM187">
        <v>108001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95</v>
      </c>
      <c r="CA187">
        <v>65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79"/>
        <v>344.76</v>
      </c>
      <c r="CQ187">
        <f t="shared" si="180"/>
        <v>4925.1400000000003</v>
      </c>
      <c r="CR187">
        <f t="shared" si="181"/>
        <v>0</v>
      </c>
      <c r="CS187">
        <f t="shared" si="182"/>
        <v>0</v>
      </c>
      <c r="CT187">
        <f t="shared" si="183"/>
        <v>0</v>
      </c>
      <c r="CU187">
        <f t="shared" si="184"/>
        <v>0</v>
      </c>
      <c r="CV187">
        <f t="shared" si="185"/>
        <v>0</v>
      </c>
      <c r="CW187">
        <f t="shared" si="186"/>
        <v>0</v>
      </c>
      <c r="CX187">
        <f t="shared" si="187"/>
        <v>0</v>
      </c>
      <c r="CY187">
        <f t="shared" si="188"/>
        <v>0</v>
      </c>
      <c r="CZ187">
        <f t="shared" si="189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1010</v>
      </c>
      <c r="DV187" t="s">
        <v>161</v>
      </c>
      <c r="DW187" t="s">
        <v>161</v>
      </c>
      <c r="DX187">
        <v>100</v>
      </c>
      <c r="EE187">
        <v>39174386</v>
      </c>
      <c r="EF187">
        <v>3</v>
      </c>
      <c r="EG187" t="s">
        <v>391</v>
      </c>
      <c r="EH187">
        <v>0</v>
      </c>
      <c r="EI187" t="s">
        <v>3</v>
      </c>
      <c r="EJ187">
        <v>2</v>
      </c>
      <c r="EK187">
        <v>108001</v>
      </c>
      <c r="EL187" t="s">
        <v>392</v>
      </c>
      <c r="EM187" t="s">
        <v>393</v>
      </c>
      <c r="EO187" t="s">
        <v>3</v>
      </c>
      <c r="EQ187">
        <v>0</v>
      </c>
      <c r="ER187">
        <v>734</v>
      </c>
      <c r="ES187">
        <v>734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190"/>
        <v>0</v>
      </c>
      <c r="FS187">
        <v>0</v>
      </c>
      <c r="FX187">
        <v>95</v>
      </c>
      <c r="FY187">
        <v>65</v>
      </c>
      <c r="GA187" t="s">
        <v>3</v>
      </c>
      <c r="GD187">
        <v>0</v>
      </c>
      <c r="GF187">
        <v>375004976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191"/>
        <v>0</v>
      </c>
      <c r="GM187">
        <f t="shared" si="192"/>
        <v>344.76</v>
      </c>
      <c r="GN187">
        <f t="shared" si="193"/>
        <v>0</v>
      </c>
      <c r="GO187">
        <f t="shared" si="194"/>
        <v>344.76</v>
      </c>
      <c r="GP187">
        <f t="shared" si="195"/>
        <v>0</v>
      </c>
      <c r="GR187">
        <v>0</v>
      </c>
      <c r="GS187">
        <v>3</v>
      </c>
      <c r="GT187">
        <v>0</v>
      </c>
      <c r="GU187" t="s">
        <v>3</v>
      </c>
      <c r="GV187">
        <f t="shared" si="196"/>
        <v>0</v>
      </c>
      <c r="GW187">
        <v>1</v>
      </c>
      <c r="GX187">
        <f t="shared" si="197"/>
        <v>0</v>
      </c>
      <c r="HA187">
        <v>0</v>
      </c>
      <c r="HB187">
        <v>0</v>
      </c>
      <c r="IK187">
        <v>0</v>
      </c>
    </row>
    <row r="188" spans="1:245" x14ac:dyDescent="0.2">
      <c r="A188">
        <v>17</v>
      </c>
      <c r="B188">
        <v>1</v>
      </c>
      <c r="C188">
        <f>ROW(SmtRes!A304)</f>
        <v>304</v>
      </c>
      <c r="D188">
        <f>ROW(EtalonRes!A294)</f>
        <v>294</v>
      </c>
      <c r="E188" t="s">
        <v>489</v>
      </c>
      <c r="F188" t="s">
        <v>490</v>
      </c>
      <c r="G188" t="s">
        <v>491</v>
      </c>
      <c r="H188" t="s">
        <v>356</v>
      </c>
      <c r="I188">
        <v>7</v>
      </c>
      <c r="J188">
        <v>0</v>
      </c>
      <c r="O188">
        <f t="shared" si="165"/>
        <v>1569.74</v>
      </c>
      <c r="P188">
        <f t="shared" si="166"/>
        <v>291.20999999999998</v>
      </c>
      <c r="Q188">
        <f t="shared" si="167"/>
        <v>834.66</v>
      </c>
      <c r="R188">
        <f t="shared" si="168"/>
        <v>117.89</v>
      </c>
      <c r="S188">
        <f t="shared" si="169"/>
        <v>443.87</v>
      </c>
      <c r="T188">
        <f t="shared" si="170"/>
        <v>0</v>
      </c>
      <c r="U188">
        <f t="shared" si="171"/>
        <v>6.3</v>
      </c>
      <c r="V188">
        <f t="shared" si="172"/>
        <v>1.4000000000000001</v>
      </c>
      <c r="W188">
        <f t="shared" si="173"/>
        <v>0</v>
      </c>
      <c r="X188">
        <f t="shared" si="174"/>
        <v>533.66999999999996</v>
      </c>
      <c r="Y188">
        <f t="shared" si="175"/>
        <v>365.14</v>
      </c>
      <c r="AA188">
        <v>39096431</v>
      </c>
      <c r="AB188">
        <f t="shared" si="176"/>
        <v>33.42</v>
      </c>
      <c r="AC188">
        <f t="shared" si="198"/>
        <v>6.2</v>
      </c>
      <c r="AD188">
        <f t="shared" si="199"/>
        <v>17.77</v>
      </c>
      <c r="AE188">
        <f t="shared" si="200"/>
        <v>2.5099999999999998</v>
      </c>
      <c r="AF188">
        <f t="shared" si="201"/>
        <v>9.4499999999999993</v>
      </c>
      <c r="AG188">
        <f t="shared" si="177"/>
        <v>0</v>
      </c>
      <c r="AH188">
        <f t="shared" si="202"/>
        <v>0.9</v>
      </c>
      <c r="AI188">
        <f t="shared" si="203"/>
        <v>0.2</v>
      </c>
      <c r="AJ188">
        <f t="shared" si="178"/>
        <v>0</v>
      </c>
      <c r="AK188">
        <v>33.42</v>
      </c>
      <c r="AL188">
        <v>6.2</v>
      </c>
      <c r="AM188">
        <v>17.77</v>
      </c>
      <c r="AN188">
        <v>2.5099999999999998</v>
      </c>
      <c r="AO188">
        <v>9.4499999999999993</v>
      </c>
      <c r="AP188">
        <v>0</v>
      </c>
      <c r="AQ188">
        <v>0.9</v>
      </c>
      <c r="AR188">
        <v>0.2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6.71</v>
      </c>
      <c r="BA188">
        <v>6.71</v>
      </c>
      <c r="BB188">
        <v>6.71</v>
      </c>
      <c r="BC188">
        <v>6.71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2</v>
      </c>
      <c r="BJ188" t="s">
        <v>492</v>
      </c>
      <c r="BM188">
        <v>108001</v>
      </c>
      <c r="BN188">
        <v>0</v>
      </c>
      <c r="BO188" t="s">
        <v>3</v>
      </c>
      <c r="BP188">
        <v>0</v>
      </c>
      <c r="BQ188">
        <v>3</v>
      </c>
      <c r="BR188">
        <v>0</v>
      </c>
      <c r="BS188">
        <v>6.71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95</v>
      </c>
      <c r="CA188">
        <v>65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79"/>
        <v>1569.7399999999998</v>
      </c>
      <c r="CQ188">
        <f t="shared" si="180"/>
        <v>41.602000000000004</v>
      </c>
      <c r="CR188">
        <f t="shared" si="181"/>
        <v>119.2367</v>
      </c>
      <c r="CS188">
        <f t="shared" si="182"/>
        <v>16.842099999999999</v>
      </c>
      <c r="CT188">
        <f t="shared" si="183"/>
        <v>63.409499999999994</v>
      </c>
      <c r="CU188">
        <f t="shared" si="184"/>
        <v>0</v>
      </c>
      <c r="CV188">
        <f t="shared" si="185"/>
        <v>0.9</v>
      </c>
      <c r="CW188">
        <f t="shared" si="186"/>
        <v>0.2</v>
      </c>
      <c r="CX188">
        <f t="shared" si="187"/>
        <v>0</v>
      </c>
      <c r="CY188">
        <f t="shared" si="188"/>
        <v>533.67200000000003</v>
      </c>
      <c r="CZ188">
        <f t="shared" si="189"/>
        <v>365.14400000000001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1013</v>
      </c>
      <c r="DV188" t="s">
        <v>356</v>
      </c>
      <c r="DW188" t="s">
        <v>356</v>
      </c>
      <c r="DX188">
        <v>1</v>
      </c>
      <c r="EE188">
        <v>39174386</v>
      </c>
      <c r="EF188">
        <v>3</v>
      </c>
      <c r="EG188" t="s">
        <v>391</v>
      </c>
      <c r="EH188">
        <v>0</v>
      </c>
      <c r="EI188" t="s">
        <v>3</v>
      </c>
      <c r="EJ188">
        <v>2</v>
      </c>
      <c r="EK188">
        <v>108001</v>
      </c>
      <c r="EL188" t="s">
        <v>392</v>
      </c>
      <c r="EM188" t="s">
        <v>393</v>
      </c>
      <c r="EO188" t="s">
        <v>3</v>
      </c>
      <c r="EQ188">
        <v>0</v>
      </c>
      <c r="ER188">
        <v>33.42</v>
      </c>
      <c r="ES188">
        <v>6.2</v>
      </c>
      <c r="ET188">
        <v>17.77</v>
      </c>
      <c r="EU188">
        <v>2.5099999999999998</v>
      </c>
      <c r="EV188">
        <v>9.4499999999999993</v>
      </c>
      <c r="EW188">
        <v>0.9</v>
      </c>
      <c r="EX188">
        <v>0.2</v>
      </c>
      <c r="EY188">
        <v>0</v>
      </c>
      <c r="FQ188">
        <v>0</v>
      </c>
      <c r="FR188">
        <f t="shared" si="190"/>
        <v>0</v>
      </c>
      <c r="FS188">
        <v>0</v>
      </c>
      <c r="FX188">
        <v>95</v>
      </c>
      <c r="FY188">
        <v>65</v>
      </c>
      <c r="GA188" t="s">
        <v>3</v>
      </c>
      <c r="GD188">
        <v>0</v>
      </c>
      <c r="GF188">
        <v>-1815094428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191"/>
        <v>0</v>
      </c>
      <c r="GM188">
        <f t="shared" si="192"/>
        <v>2468.5500000000002</v>
      </c>
      <c r="GN188">
        <f t="shared" si="193"/>
        <v>0</v>
      </c>
      <c r="GO188">
        <f t="shared" si="194"/>
        <v>2468.5500000000002</v>
      </c>
      <c r="GP188">
        <f t="shared" si="195"/>
        <v>0</v>
      </c>
      <c r="GR188">
        <v>0</v>
      </c>
      <c r="GS188">
        <v>3</v>
      </c>
      <c r="GT188">
        <v>0</v>
      </c>
      <c r="GU188" t="s">
        <v>3</v>
      </c>
      <c r="GV188">
        <f t="shared" si="196"/>
        <v>0</v>
      </c>
      <c r="GW188">
        <v>1</v>
      </c>
      <c r="GX188">
        <f t="shared" si="197"/>
        <v>0</v>
      </c>
      <c r="HA188">
        <v>0</v>
      </c>
      <c r="HB188">
        <v>0</v>
      </c>
      <c r="IK188">
        <v>0</v>
      </c>
    </row>
    <row r="189" spans="1:245" x14ac:dyDescent="0.2">
      <c r="A189">
        <v>18</v>
      </c>
      <c r="B189">
        <v>1</v>
      </c>
      <c r="C189">
        <v>303</v>
      </c>
      <c r="E189" t="s">
        <v>493</v>
      </c>
      <c r="F189" t="s">
        <v>494</v>
      </c>
      <c r="G189" t="s">
        <v>495</v>
      </c>
      <c r="H189" t="s">
        <v>436</v>
      </c>
      <c r="I189">
        <f>I188*J189</f>
        <v>0.7</v>
      </c>
      <c r="J189">
        <v>9.9999999999999992E-2</v>
      </c>
      <c r="O189">
        <f t="shared" si="165"/>
        <v>885.38</v>
      </c>
      <c r="P189">
        <f t="shared" si="166"/>
        <v>885.38</v>
      </c>
      <c r="Q189">
        <f t="shared" si="167"/>
        <v>0</v>
      </c>
      <c r="R189">
        <f t="shared" si="168"/>
        <v>0</v>
      </c>
      <c r="S189">
        <f t="shared" si="169"/>
        <v>0</v>
      </c>
      <c r="T189">
        <f t="shared" si="170"/>
        <v>0</v>
      </c>
      <c r="U189">
        <f t="shared" si="171"/>
        <v>0</v>
      </c>
      <c r="V189">
        <f t="shared" si="172"/>
        <v>0</v>
      </c>
      <c r="W189">
        <f t="shared" si="173"/>
        <v>0</v>
      </c>
      <c r="X189">
        <f t="shared" si="174"/>
        <v>0</v>
      </c>
      <c r="Y189">
        <f t="shared" si="175"/>
        <v>0</v>
      </c>
      <c r="AA189">
        <v>39096431</v>
      </c>
      <c r="AB189">
        <f t="shared" si="176"/>
        <v>188.5</v>
      </c>
      <c r="AC189">
        <f t="shared" si="198"/>
        <v>188.5</v>
      </c>
      <c r="AD189">
        <f t="shared" si="199"/>
        <v>0</v>
      </c>
      <c r="AE189">
        <f t="shared" si="200"/>
        <v>0</v>
      </c>
      <c r="AF189">
        <f t="shared" si="201"/>
        <v>0</v>
      </c>
      <c r="AG189">
        <f t="shared" si="177"/>
        <v>0</v>
      </c>
      <c r="AH189">
        <f t="shared" si="202"/>
        <v>0</v>
      </c>
      <c r="AI189">
        <f t="shared" si="203"/>
        <v>0</v>
      </c>
      <c r="AJ189">
        <f t="shared" si="178"/>
        <v>0</v>
      </c>
      <c r="AK189">
        <v>188.5</v>
      </c>
      <c r="AL189">
        <v>188.5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6.71</v>
      </c>
      <c r="BA189">
        <v>1</v>
      </c>
      <c r="BB189">
        <v>1</v>
      </c>
      <c r="BC189">
        <v>6.71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2</v>
      </c>
      <c r="BJ189" t="s">
        <v>496</v>
      </c>
      <c r="BM189">
        <v>108001</v>
      </c>
      <c r="BN189">
        <v>0</v>
      </c>
      <c r="BO189" t="s">
        <v>3</v>
      </c>
      <c r="BP189">
        <v>0</v>
      </c>
      <c r="BQ189">
        <v>3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179"/>
        <v>885.38</v>
      </c>
      <c r="CQ189">
        <f t="shared" si="180"/>
        <v>1264.835</v>
      </c>
      <c r="CR189">
        <f t="shared" si="181"/>
        <v>0</v>
      </c>
      <c r="CS189">
        <f t="shared" si="182"/>
        <v>0</v>
      </c>
      <c r="CT189">
        <f t="shared" si="183"/>
        <v>0</v>
      </c>
      <c r="CU189">
        <f t="shared" si="184"/>
        <v>0</v>
      </c>
      <c r="CV189">
        <f t="shared" si="185"/>
        <v>0</v>
      </c>
      <c r="CW189">
        <f t="shared" si="186"/>
        <v>0</v>
      </c>
      <c r="CX189">
        <f t="shared" si="187"/>
        <v>0</v>
      </c>
      <c r="CY189">
        <f t="shared" si="188"/>
        <v>0</v>
      </c>
      <c r="CZ189">
        <f t="shared" si="189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436</v>
      </c>
      <c r="DW189" t="s">
        <v>436</v>
      </c>
      <c r="DX189">
        <v>10</v>
      </c>
      <c r="EE189">
        <v>39174386</v>
      </c>
      <c r="EF189">
        <v>3</v>
      </c>
      <c r="EG189" t="s">
        <v>391</v>
      </c>
      <c r="EH189">
        <v>0</v>
      </c>
      <c r="EI189" t="s">
        <v>3</v>
      </c>
      <c r="EJ189">
        <v>2</v>
      </c>
      <c r="EK189">
        <v>108001</v>
      </c>
      <c r="EL189" t="s">
        <v>392</v>
      </c>
      <c r="EM189" t="s">
        <v>393</v>
      </c>
      <c r="EO189" t="s">
        <v>3</v>
      </c>
      <c r="EQ189">
        <v>0</v>
      </c>
      <c r="ER189">
        <v>188.5</v>
      </c>
      <c r="ES189">
        <v>188.5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90"/>
        <v>0</v>
      </c>
      <c r="FS189">
        <v>0</v>
      </c>
      <c r="FX189">
        <v>95</v>
      </c>
      <c r="FY189">
        <v>65</v>
      </c>
      <c r="GA189" t="s">
        <v>3</v>
      </c>
      <c r="GD189">
        <v>0</v>
      </c>
      <c r="GF189">
        <v>-1428264759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191"/>
        <v>0</v>
      </c>
      <c r="GM189">
        <f t="shared" si="192"/>
        <v>885.38</v>
      </c>
      <c r="GN189">
        <f t="shared" si="193"/>
        <v>0</v>
      </c>
      <c r="GO189">
        <f t="shared" si="194"/>
        <v>885.38</v>
      </c>
      <c r="GP189">
        <f t="shared" si="195"/>
        <v>0</v>
      </c>
      <c r="GR189">
        <v>0</v>
      </c>
      <c r="GS189">
        <v>3</v>
      </c>
      <c r="GT189">
        <v>0</v>
      </c>
      <c r="GU189" t="s">
        <v>3</v>
      </c>
      <c r="GV189">
        <f t="shared" si="196"/>
        <v>0</v>
      </c>
      <c r="GW189">
        <v>1</v>
      </c>
      <c r="GX189">
        <f t="shared" si="197"/>
        <v>0</v>
      </c>
      <c r="HA189">
        <v>0</v>
      </c>
      <c r="HB189">
        <v>0</v>
      </c>
      <c r="IK189">
        <v>0</v>
      </c>
    </row>
    <row r="190" spans="1:245" x14ac:dyDescent="0.2">
      <c r="A190">
        <v>17</v>
      </c>
      <c r="B190">
        <v>1</v>
      </c>
      <c r="C190">
        <f>ROW(SmtRes!A323)</f>
        <v>323</v>
      </c>
      <c r="D190">
        <f>ROW(EtalonRes!A308)</f>
        <v>308</v>
      </c>
      <c r="E190" t="s">
        <v>497</v>
      </c>
      <c r="F190" t="s">
        <v>498</v>
      </c>
      <c r="G190" t="s">
        <v>499</v>
      </c>
      <c r="H190" t="s">
        <v>356</v>
      </c>
      <c r="I190">
        <v>47</v>
      </c>
      <c r="J190">
        <v>0</v>
      </c>
      <c r="O190">
        <f t="shared" si="165"/>
        <v>11347.01</v>
      </c>
      <c r="P190">
        <f t="shared" si="166"/>
        <v>6335.78</v>
      </c>
      <c r="Q190">
        <f t="shared" si="167"/>
        <v>331.14</v>
      </c>
      <c r="R190">
        <f t="shared" si="168"/>
        <v>0</v>
      </c>
      <c r="S190">
        <f t="shared" si="169"/>
        <v>4680.09</v>
      </c>
      <c r="T190">
        <f t="shared" si="170"/>
        <v>0</v>
      </c>
      <c r="U190">
        <f t="shared" si="171"/>
        <v>73.320000000000007</v>
      </c>
      <c r="V190">
        <f t="shared" si="172"/>
        <v>0</v>
      </c>
      <c r="W190">
        <f t="shared" si="173"/>
        <v>0</v>
      </c>
      <c r="X190">
        <f t="shared" si="174"/>
        <v>4446.09</v>
      </c>
      <c r="Y190">
        <f t="shared" si="175"/>
        <v>3042.06</v>
      </c>
      <c r="AA190">
        <v>39096431</v>
      </c>
      <c r="AB190">
        <f t="shared" si="176"/>
        <v>35.979999999999997</v>
      </c>
      <c r="AC190">
        <f t="shared" si="198"/>
        <v>20.09</v>
      </c>
      <c r="AD190">
        <f t="shared" si="199"/>
        <v>1.05</v>
      </c>
      <c r="AE190">
        <f t="shared" si="200"/>
        <v>0</v>
      </c>
      <c r="AF190">
        <f t="shared" si="201"/>
        <v>14.84</v>
      </c>
      <c r="AG190">
        <f t="shared" si="177"/>
        <v>0</v>
      </c>
      <c r="AH190">
        <f t="shared" si="202"/>
        <v>1.56</v>
      </c>
      <c r="AI190">
        <f t="shared" si="203"/>
        <v>0</v>
      </c>
      <c r="AJ190">
        <f t="shared" si="178"/>
        <v>0</v>
      </c>
      <c r="AK190">
        <v>35.979999999999997</v>
      </c>
      <c r="AL190">
        <v>20.09</v>
      </c>
      <c r="AM190">
        <v>1.05</v>
      </c>
      <c r="AN190">
        <v>0</v>
      </c>
      <c r="AO190">
        <v>14.84</v>
      </c>
      <c r="AP190">
        <v>0</v>
      </c>
      <c r="AQ190">
        <v>1.56</v>
      </c>
      <c r="AR190">
        <v>0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6.71</v>
      </c>
      <c r="BA190">
        <v>6.71</v>
      </c>
      <c r="BB190">
        <v>6.71</v>
      </c>
      <c r="BC190">
        <v>6.71</v>
      </c>
      <c r="BD190" t="s">
        <v>3</v>
      </c>
      <c r="BE190" t="s">
        <v>3</v>
      </c>
      <c r="BF190" t="s">
        <v>3</v>
      </c>
      <c r="BG190" t="s">
        <v>3</v>
      </c>
      <c r="BH190">
        <v>0</v>
      </c>
      <c r="BI190">
        <v>2</v>
      </c>
      <c r="BJ190" t="s">
        <v>500</v>
      </c>
      <c r="BM190">
        <v>108001</v>
      </c>
      <c r="BN190">
        <v>0</v>
      </c>
      <c r="BO190" t="s">
        <v>3</v>
      </c>
      <c r="BP190">
        <v>0</v>
      </c>
      <c r="BQ190">
        <v>3</v>
      </c>
      <c r="BR190">
        <v>0</v>
      </c>
      <c r="BS190">
        <v>6.71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95</v>
      </c>
      <c r="CA190">
        <v>65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79"/>
        <v>11347.01</v>
      </c>
      <c r="CQ190">
        <f t="shared" si="180"/>
        <v>134.8039</v>
      </c>
      <c r="CR190">
        <f t="shared" si="181"/>
        <v>7.0455000000000005</v>
      </c>
      <c r="CS190">
        <f t="shared" si="182"/>
        <v>0</v>
      </c>
      <c r="CT190">
        <f t="shared" si="183"/>
        <v>99.576399999999992</v>
      </c>
      <c r="CU190">
        <f t="shared" si="184"/>
        <v>0</v>
      </c>
      <c r="CV190">
        <f t="shared" si="185"/>
        <v>1.56</v>
      </c>
      <c r="CW190">
        <f t="shared" si="186"/>
        <v>0</v>
      </c>
      <c r="CX190">
        <f t="shared" si="187"/>
        <v>0</v>
      </c>
      <c r="CY190">
        <f t="shared" si="188"/>
        <v>4446.0855000000001</v>
      </c>
      <c r="CZ190">
        <f t="shared" si="189"/>
        <v>3042.0585000000005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356</v>
      </c>
      <c r="DW190" t="s">
        <v>356</v>
      </c>
      <c r="DX190">
        <v>1</v>
      </c>
      <c r="EE190">
        <v>39174386</v>
      </c>
      <c r="EF190">
        <v>3</v>
      </c>
      <c r="EG190" t="s">
        <v>391</v>
      </c>
      <c r="EH190">
        <v>0</v>
      </c>
      <c r="EI190" t="s">
        <v>3</v>
      </c>
      <c r="EJ190">
        <v>2</v>
      </c>
      <c r="EK190">
        <v>108001</v>
      </c>
      <c r="EL190" t="s">
        <v>392</v>
      </c>
      <c r="EM190" t="s">
        <v>393</v>
      </c>
      <c r="EO190" t="s">
        <v>3</v>
      </c>
      <c r="EQ190">
        <v>0</v>
      </c>
      <c r="ER190">
        <v>35.979999999999997</v>
      </c>
      <c r="ES190">
        <v>20.09</v>
      </c>
      <c r="ET190">
        <v>1.05</v>
      </c>
      <c r="EU190">
        <v>0</v>
      </c>
      <c r="EV190">
        <v>14.84</v>
      </c>
      <c r="EW190">
        <v>1.56</v>
      </c>
      <c r="EX190">
        <v>0</v>
      </c>
      <c r="EY190">
        <v>0</v>
      </c>
      <c r="FQ190">
        <v>0</v>
      </c>
      <c r="FR190">
        <f t="shared" si="190"/>
        <v>0</v>
      </c>
      <c r="FS190">
        <v>0</v>
      </c>
      <c r="FX190">
        <v>95</v>
      </c>
      <c r="FY190">
        <v>65</v>
      </c>
      <c r="GA190" t="s">
        <v>3</v>
      </c>
      <c r="GD190">
        <v>0</v>
      </c>
      <c r="GF190">
        <v>942868882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191"/>
        <v>0</v>
      </c>
      <c r="GM190">
        <f t="shared" si="192"/>
        <v>18835.16</v>
      </c>
      <c r="GN190">
        <f t="shared" si="193"/>
        <v>0</v>
      </c>
      <c r="GO190">
        <f t="shared" si="194"/>
        <v>18835.16</v>
      </c>
      <c r="GP190">
        <f t="shared" si="195"/>
        <v>0</v>
      </c>
      <c r="GR190">
        <v>0</v>
      </c>
      <c r="GS190">
        <v>3</v>
      </c>
      <c r="GT190">
        <v>0</v>
      </c>
      <c r="GU190" t="s">
        <v>3</v>
      </c>
      <c r="GV190">
        <f t="shared" si="196"/>
        <v>0</v>
      </c>
      <c r="GW190">
        <v>1</v>
      </c>
      <c r="GX190">
        <f t="shared" si="197"/>
        <v>0</v>
      </c>
      <c r="HA190">
        <v>0</v>
      </c>
      <c r="HB190">
        <v>0</v>
      </c>
      <c r="IK190">
        <v>0</v>
      </c>
    </row>
    <row r="191" spans="1:245" x14ac:dyDescent="0.2">
      <c r="A191">
        <v>18</v>
      </c>
      <c r="B191">
        <v>1</v>
      </c>
      <c r="C191">
        <v>319</v>
      </c>
      <c r="E191" t="s">
        <v>501</v>
      </c>
      <c r="F191" t="s">
        <v>502</v>
      </c>
      <c r="G191" t="s">
        <v>503</v>
      </c>
      <c r="H191" t="s">
        <v>46</v>
      </c>
      <c r="I191">
        <f>I190*J191</f>
        <v>19</v>
      </c>
      <c r="J191">
        <v>0.40425531914893614</v>
      </c>
      <c r="O191">
        <f t="shared" si="165"/>
        <v>8475.5400000000009</v>
      </c>
      <c r="P191">
        <f t="shared" si="166"/>
        <v>8475.5400000000009</v>
      </c>
      <c r="Q191">
        <f t="shared" si="167"/>
        <v>0</v>
      </c>
      <c r="R191">
        <f t="shared" si="168"/>
        <v>0</v>
      </c>
      <c r="S191">
        <f t="shared" si="169"/>
        <v>0</v>
      </c>
      <c r="T191">
        <f t="shared" si="170"/>
        <v>0</v>
      </c>
      <c r="U191">
        <f t="shared" si="171"/>
        <v>0</v>
      </c>
      <c r="V191">
        <f t="shared" si="172"/>
        <v>0</v>
      </c>
      <c r="W191">
        <f t="shared" si="173"/>
        <v>0</v>
      </c>
      <c r="X191">
        <f t="shared" si="174"/>
        <v>0</v>
      </c>
      <c r="Y191">
        <f t="shared" si="175"/>
        <v>0</v>
      </c>
      <c r="AA191">
        <v>39096431</v>
      </c>
      <c r="AB191">
        <f t="shared" si="176"/>
        <v>66.48</v>
      </c>
      <c r="AC191">
        <f t="shared" si="198"/>
        <v>66.48</v>
      </c>
      <c r="AD191">
        <f t="shared" si="199"/>
        <v>0</v>
      </c>
      <c r="AE191">
        <f t="shared" si="200"/>
        <v>0</v>
      </c>
      <c r="AF191">
        <f t="shared" si="201"/>
        <v>0</v>
      </c>
      <c r="AG191">
        <f t="shared" si="177"/>
        <v>0</v>
      </c>
      <c r="AH191">
        <f t="shared" si="202"/>
        <v>0</v>
      </c>
      <c r="AI191">
        <f t="shared" si="203"/>
        <v>0</v>
      </c>
      <c r="AJ191">
        <f t="shared" si="178"/>
        <v>0</v>
      </c>
      <c r="AK191">
        <v>66.48</v>
      </c>
      <c r="AL191">
        <v>66.48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6.71</v>
      </c>
      <c r="BA191">
        <v>1</v>
      </c>
      <c r="BB191">
        <v>1</v>
      </c>
      <c r="BC191">
        <v>6.71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2</v>
      </c>
      <c r="BJ191" t="s">
        <v>504</v>
      </c>
      <c r="BM191">
        <v>108001</v>
      </c>
      <c r="BN191">
        <v>0</v>
      </c>
      <c r="BO191" t="s">
        <v>3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95</v>
      </c>
      <c r="CA191">
        <v>65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179"/>
        <v>8475.5400000000009</v>
      </c>
      <c r="CQ191">
        <f t="shared" si="180"/>
        <v>446.08080000000001</v>
      </c>
      <c r="CR191">
        <f t="shared" si="181"/>
        <v>0</v>
      </c>
      <c r="CS191">
        <f t="shared" si="182"/>
        <v>0</v>
      </c>
      <c r="CT191">
        <f t="shared" si="183"/>
        <v>0</v>
      </c>
      <c r="CU191">
        <f t="shared" si="184"/>
        <v>0</v>
      </c>
      <c r="CV191">
        <f t="shared" si="185"/>
        <v>0</v>
      </c>
      <c r="CW191">
        <f t="shared" si="186"/>
        <v>0</v>
      </c>
      <c r="CX191">
        <f t="shared" si="187"/>
        <v>0</v>
      </c>
      <c r="CY191">
        <f t="shared" si="188"/>
        <v>0</v>
      </c>
      <c r="CZ191">
        <f t="shared" si="189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46</v>
      </c>
      <c r="DW191" t="s">
        <v>46</v>
      </c>
      <c r="DX191">
        <v>1</v>
      </c>
      <c r="EE191">
        <v>39174386</v>
      </c>
      <c r="EF191">
        <v>3</v>
      </c>
      <c r="EG191" t="s">
        <v>391</v>
      </c>
      <c r="EH191">
        <v>0</v>
      </c>
      <c r="EI191" t="s">
        <v>3</v>
      </c>
      <c r="EJ191">
        <v>2</v>
      </c>
      <c r="EK191">
        <v>108001</v>
      </c>
      <c r="EL191" t="s">
        <v>392</v>
      </c>
      <c r="EM191" t="s">
        <v>393</v>
      </c>
      <c r="EO191" t="s">
        <v>3</v>
      </c>
      <c r="EQ191">
        <v>0</v>
      </c>
      <c r="ER191">
        <v>66.48</v>
      </c>
      <c r="ES191">
        <v>66.48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90"/>
        <v>0</v>
      </c>
      <c r="FS191">
        <v>0</v>
      </c>
      <c r="FX191">
        <v>95</v>
      </c>
      <c r="FY191">
        <v>65</v>
      </c>
      <c r="GA191" t="s">
        <v>3</v>
      </c>
      <c r="GD191">
        <v>0</v>
      </c>
      <c r="GF191">
        <v>1587256181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191"/>
        <v>0</v>
      </c>
      <c r="GM191">
        <f t="shared" si="192"/>
        <v>8475.5400000000009</v>
      </c>
      <c r="GN191">
        <f t="shared" si="193"/>
        <v>0</v>
      </c>
      <c r="GO191">
        <f t="shared" si="194"/>
        <v>8475.5400000000009</v>
      </c>
      <c r="GP191">
        <f t="shared" si="195"/>
        <v>0</v>
      </c>
      <c r="GR191">
        <v>0</v>
      </c>
      <c r="GS191">
        <v>3</v>
      </c>
      <c r="GT191">
        <v>0</v>
      </c>
      <c r="GU191" t="s">
        <v>3</v>
      </c>
      <c r="GV191">
        <f t="shared" si="196"/>
        <v>0</v>
      </c>
      <c r="GW191">
        <v>1</v>
      </c>
      <c r="GX191">
        <f t="shared" si="197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C192">
        <v>318</v>
      </c>
      <c r="E192" t="s">
        <v>505</v>
      </c>
      <c r="F192" t="s">
        <v>506</v>
      </c>
      <c r="G192" t="s">
        <v>507</v>
      </c>
      <c r="H192" t="s">
        <v>46</v>
      </c>
      <c r="I192">
        <f>I190*J192</f>
        <v>7</v>
      </c>
      <c r="J192">
        <v>0.14893617021276595</v>
      </c>
      <c r="O192">
        <f t="shared" si="165"/>
        <v>3458.4</v>
      </c>
      <c r="P192">
        <f t="shared" si="166"/>
        <v>3458.4</v>
      </c>
      <c r="Q192">
        <f t="shared" si="167"/>
        <v>0</v>
      </c>
      <c r="R192">
        <f t="shared" si="168"/>
        <v>0</v>
      </c>
      <c r="S192">
        <f t="shared" si="169"/>
        <v>0</v>
      </c>
      <c r="T192">
        <f t="shared" si="170"/>
        <v>0</v>
      </c>
      <c r="U192">
        <f t="shared" si="171"/>
        <v>0</v>
      </c>
      <c r="V192">
        <f t="shared" si="172"/>
        <v>0</v>
      </c>
      <c r="W192">
        <f t="shared" si="173"/>
        <v>0</v>
      </c>
      <c r="X192">
        <f t="shared" si="174"/>
        <v>0</v>
      </c>
      <c r="Y192">
        <f t="shared" si="175"/>
        <v>0</v>
      </c>
      <c r="AA192">
        <v>39096431</v>
      </c>
      <c r="AB192">
        <f t="shared" si="176"/>
        <v>73.63</v>
      </c>
      <c r="AC192">
        <f t="shared" si="198"/>
        <v>73.63</v>
      </c>
      <c r="AD192">
        <f t="shared" si="199"/>
        <v>0</v>
      </c>
      <c r="AE192">
        <f t="shared" si="200"/>
        <v>0</v>
      </c>
      <c r="AF192">
        <f t="shared" si="201"/>
        <v>0</v>
      </c>
      <c r="AG192">
        <f t="shared" si="177"/>
        <v>0</v>
      </c>
      <c r="AH192">
        <f t="shared" si="202"/>
        <v>0</v>
      </c>
      <c r="AI192">
        <f t="shared" si="203"/>
        <v>0</v>
      </c>
      <c r="AJ192">
        <f t="shared" si="178"/>
        <v>0</v>
      </c>
      <c r="AK192">
        <v>73.63</v>
      </c>
      <c r="AL192">
        <v>73.63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6.71</v>
      </c>
      <c r="BA192">
        <v>1</v>
      </c>
      <c r="BB192">
        <v>1</v>
      </c>
      <c r="BC192">
        <v>6.71</v>
      </c>
      <c r="BD192" t="s">
        <v>3</v>
      </c>
      <c r="BE192" t="s">
        <v>3</v>
      </c>
      <c r="BF192" t="s">
        <v>3</v>
      </c>
      <c r="BG192" t="s">
        <v>3</v>
      </c>
      <c r="BH192">
        <v>3</v>
      </c>
      <c r="BI192">
        <v>2</v>
      </c>
      <c r="BJ192" t="s">
        <v>508</v>
      </c>
      <c r="BM192">
        <v>108001</v>
      </c>
      <c r="BN192">
        <v>0</v>
      </c>
      <c r="BO192" t="s">
        <v>3</v>
      </c>
      <c r="BP192">
        <v>0</v>
      </c>
      <c r="BQ192">
        <v>3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95</v>
      </c>
      <c r="CA192">
        <v>65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79"/>
        <v>3458.4</v>
      </c>
      <c r="CQ192">
        <f t="shared" si="180"/>
        <v>494.05729999999994</v>
      </c>
      <c r="CR192">
        <f t="shared" si="181"/>
        <v>0</v>
      </c>
      <c r="CS192">
        <f t="shared" si="182"/>
        <v>0</v>
      </c>
      <c r="CT192">
        <f t="shared" si="183"/>
        <v>0</v>
      </c>
      <c r="CU192">
        <f t="shared" si="184"/>
        <v>0</v>
      </c>
      <c r="CV192">
        <f t="shared" si="185"/>
        <v>0</v>
      </c>
      <c r="CW192">
        <f t="shared" si="186"/>
        <v>0</v>
      </c>
      <c r="CX192">
        <f t="shared" si="187"/>
        <v>0</v>
      </c>
      <c r="CY192">
        <f t="shared" si="188"/>
        <v>0</v>
      </c>
      <c r="CZ192">
        <f t="shared" si="189"/>
        <v>0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1010</v>
      </c>
      <c r="DV192" t="s">
        <v>46</v>
      </c>
      <c r="DW192" t="s">
        <v>46</v>
      </c>
      <c r="DX192">
        <v>1</v>
      </c>
      <c r="EE192">
        <v>39174386</v>
      </c>
      <c r="EF192">
        <v>3</v>
      </c>
      <c r="EG192" t="s">
        <v>391</v>
      </c>
      <c r="EH192">
        <v>0</v>
      </c>
      <c r="EI192" t="s">
        <v>3</v>
      </c>
      <c r="EJ192">
        <v>2</v>
      </c>
      <c r="EK192">
        <v>108001</v>
      </c>
      <c r="EL192" t="s">
        <v>392</v>
      </c>
      <c r="EM192" t="s">
        <v>393</v>
      </c>
      <c r="EO192" t="s">
        <v>3</v>
      </c>
      <c r="EQ192">
        <v>0</v>
      </c>
      <c r="ER192">
        <v>73.63</v>
      </c>
      <c r="ES192">
        <v>73.63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190"/>
        <v>0</v>
      </c>
      <c r="FS192">
        <v>0</v>
      </c>
      <c r="FX192">
        <v>95</v>
      </c>
      <c r="FY192">
        <v>65</v>
      </c>
      <c r="GA192" t="s">
        <v>3</v>
      </c>
      <c r="GD192">
        <v>0</v>
      </c>
      <c r="GF192">
        <v>1012048153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191"/>
        <v>0</v>
      </c>
      <c r="GM192">
        <f t="shared" si="192"/>
        <v>3458.4</v>
      </c>
      <c r="GN192">
        <f t="shared" si="193"/>
        <v>0</v>
      </c>
      <c r="GO192">
        <f t="shared" si="194"/>
        <v>3458.4</v>
      </c>
      <c r="GP192">
        <f t="shared" si="195"/>
        <v>0</v>
      </c>
      <c r="GR192">
        <v>0</v>
      </c>
      <c r="GS192">
        <v>3</v>
      </c>
      <c r="GT192">
        <v>0</v>
      </c>
      <c r="GU192" t="s">
        <v>3</v>
      </c>
      <c r="GV192">
        <f t="shared" si="196"/>
        <v>0</v>
      </c>
      <c r="GW192">
        <v>1</v>
      </c>
      <c r="GX192">
        <f t="shared" si="197"/>
        <v>0</v>
      </c>
      <c r="HA192">
        <v>0</v>
      </c>
      <c r="HB192">
        <v>0</v>
      </c>
      <c r="IK192">
        <v>0</v>
      </c>
    </row>
    <row r="193" spans="1:245" x14ac:dyDescent="0.2">
      <c r="A193">
        <v>18</v>
      </c>
      <c r="B193">
        <v>1</v>
      </c>
      <c r="C193">
        <v>321</v>
      </c>
      <c r="E193" t="s">
        <v>509</v>
      </c>
      <c r="F193" t="s">
        <v>510</v>
      </c>
      <c r="G193" t="s">
        <v>511</v>
      </c>
      <c r="H193" t="s">
        <v>46</v>
      </c>
      <c r="I193">
        <f>I190*J193</f>
        <v>7</v>
      </c>
      <c r="J193">
        <v>0.14893617021276595</v>
      </c>
      <c r="O193">
        <f t="shared" si="165"/>
        <v>10864.16</v>
      </c>
      <c r="P193">
        <f t="shared" si="166"/>
        <v>10864.16</v>
      </c>
      <c r="Q193">
        <f t="shared" si="167"/>
        <v>0</v>
      </c>
      <c r="R193">
        <f t="shared" si="168"/>
        <v>0</v>
      </c>
      <c r="S193">
        <f t="shared" si="169"/>
        <v>0</v>
      </c>
      <c r="T193">
        <f t="shared" si="170"/>
        <v>0</v>
      </c>
      <c r="U193">
        <f t="shared" si="171"/>
        <v>0</v>
      </c>
      <c r="V193">
        <f t="shared" si="172"/>
        <v>0</v>
      </c>
      <c r="W193">
        <f t="shared" si="173"/>
        <v>0</v>
      </c>
      <c r="X193">
        <f t="shared" si="174"/>
        <v>0</v>
      </c>
      <c r="Y193">
        <f t="shared" si="175"/>
        <v>0</v>
      </c>
      <c r="AA193">
        <v>39096431</v>
      </c>
      <c r="AB193">
        <f t="shared" si="176"/>
        <v>231.3</v>
      </c>
      <c r="AC193">
        <f t="shared" si="198"/>
        <v>231.3</v>
      </c>
      <c r="AD193">
        <f t="shared" si="199"/>
        <v>0</v>
      </c>
      <c r="AE193">
        <f t="shared" si="200"/>
        <v>0</v>
      </c>
      <c r="AF193">
        <f t="shared" si="201"/>
        <v>0</v>
      </c>
      <c r="AG193">
        <f t="shared" si="177"/>
        <v>0</v>
      </c>
      <c r="AH193">
        <f t="shared" si="202"/>
        <v>0</v>
      </c>
      <c r="AI193">
        <f t="shared" si="203"/>
        <v>0</v>
      </c>
      <c r="AJ193">
        <f t="shared" si="178"/>
        <v>0</v>
      </c>
      <c r="AK193">
        <v>231.3</v>
      </c>
      <c r="AL193">
        <v>231.3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6.71</v>
      </c>
      <c r="BA193">
        <v>1</v>
      </c>
      <c r="BB193">
        <v>1</v>
      </c>
      <c r="BC193">
        <v>6.71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2</v>
      </c>
      <c r="BJ193" t="s">
        <v>512</v>
      </c>
      <c r="BM193">
        <v>108001</v>
      </c>
      <c r="BN193">
        <v>0</v>
      </c>
      <c r="BO193" t="s">
        <v>3</v>
      </c>
      <c r="BP193">
        <v>0</v>
      </c>
      <c r="BQ193">
        <v>3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179"/>
        <v>10864.16</v>
      </c>
      <c r="CQ193">
        <f t="shared" si="180"/>
        <v>1552.0230000000001</v>
      </c>
      <c r="CR193">
        <f t="shared" si="181"/>
        <v>0</v>
      </c>
      <c r="CS193">
        <f t="shared" si="182"/>
        <v>0</v>
      </c>
      <c r="CT193">
        <f t="shared" si="183"/>
        <v>0</v>
      </c>
      <c r="CU193">
        <f t="shared" si="184"/>
        <v>0</v>
      </c>
      <c r="CV193">
        <f t="shared" si="185"/>
        <v>0</v>
      </c>
      <c r="CW193">
        <f t="shared" si="186"/>
        <v>0</v>
      </c>
      <c r="CX193">
        <f t="shared" si="187"/>
        <v>0</v>
      </c>
      <c r="CY193">
        <f t="shared" si="188"/>
        <v>0</v>
      </c>
      <c r="CZ193">
        <f t="shared" si="189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46</v>
      </c>
      <c r="DW193" t="s">
        <v>46</v>
      </c>
      <c r="DX193">
        <v>1</v>
      </c>
      <c r="EE193">
        <v>39174386</v>
      </c>
      <c r="EF193">
        <v>3</v>
      </c>
      <c r="EG193" t="s">
        <v>391</v>
      </c>
      <c r="EH193">
        <v>0</v>
      </c>
      <c r="EI193" t="s">
        <v>3</v>
      </c>
      <c r="EJ193">
        <v>2</v>
      </c>
      <c r="EK193">
        <v>108001</v>
      </c>
      <c r="EL193" t="s">
        <v>392</v>
      </c>
      <c r="EM193" t="s">
        <v>393</v>
      </c>
      <c r="EO193" t="s">
        <v>3</v>
      </c>
      <c r="EQ193">
        <v>0</v>
      </c>
      <c r="ER193">
        <v>231.3</v>
      </c>
      <c r="ES193">
        <v>231.3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190"/>
        <v>0</v>
      </c>
      <c r="FS193">
        <v>0</v>
      </c>
      <c r="FX193">
        <v>95</v>
      </c>
      <c r="FY193">
        <v>65</v>
      </c>
      <c r="GA193" t="s">
        <v>3</v>
      </c>
      <c r="GD193">
        <v>0</v>
      </c>
      <c r="GF193">
        <v>-476651515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191"/>
        <v>0</v>
      </c>
      <c r="GM193">
        <f t="shared" si="192"/>
        <v>10864.16</v>
      </c>
      <c r="GN193">
        <f t="shared" si="193"/>
        <v>0</v>
      </c>
      <c r="GO193">
        <f t="shared" si="194"/>
        <v>10864.16</v>
      </c>
      <c r="GP193">
        <f t="shared" si="195"/>
        <v>0</v>
      </c>
      <c r="GR193">
        <v>0</v>
      </c>
      <c r="GS193">
        <v>3</v>
      </c>
      <c r="GT193">
        <v>0</v>
      </c>
      <c r="GU193" t="s">
        <v>3</v>
      </c>
      <c r="GV193">
        <f t="shared" si="196"/>
        <v>0</v>
      </c>
      <c r="GW193">
        <v>1</v>
      </c>
      <c r="GX193">
        <f t="shared" si="197"/>
        <v>0</v>
      </c>
      <c r="HA193">
        <v>0</v>
      </c>
      <c r="HB193">
        <v>0</v>
      </c>
      <c r="IK193">
        <v>0</v>
      </c>
    </row>
    <row r="194" spans="1:245" x14ac:dyDescent="0.2">
      <c r="A194">
        <v>18</v>
      </c>
      <c r="B194">
        <v>1</v>
      </c>
      <c r="C194">
        <v>322</v>
      </c>
      <c r="E194" t="s">
        <v>513</v>
      </c>
      <c r="F194" t="s">
        <v>514</v>
      </c>
      <c r="G194" t="s">
        <v>515</v>
      </c>
      <c r="H194" t="s">
        <v>46</v>
      </c>
      <c r="I194">
        <f>I190*J194</f>
        <v>7</v>
      </c>
      <c r="J194">
        <v>0.14893617021276595</v>
      </c>
      <c r="O194">
        <f t="shared" si="165"/>
        <v>14192.46</v>
      </c>
      <c r="P194">
        <f t="shared" si="166"/>
        <v>14192.46</v>
      </c>
      <c r="Q194">
        <f t="shared" si="167"/>
        <v>0</v>
      </c>
      <c r="R194">
        <f t="shared" si="168"/>
        <v>0</v>
      </c>
      <c r="S194">
        <f t="shared" si="169"/>
        <v>0</v>
      </c>
      <c r="T194">
        <f t="shared" si="170"/>
        <v>0</v>
      </c>
      <c r="U194">
        <f t="shared" si="171"/>
        <v>0</v>
      </c>
      <c r="V194">
        <f t="shared" si="172"/>
        <v>0</v>
      </c>
      <c r="W194">
        <f t="shared" si="173"/>
        <v>0</v>
      </c>
      <c r="X194">
        <f t="shared" si="174"/>
        <v>0</v>
      </c>
      <c r="Y194">
        <f t="shared" si="175"/>
        <v>0</v>
      </c>
      <c r="AA194">
        <v>39096431</v>
      </c>
      <c r="AB194">
        <f t="shared" si="176"/>
        <v>302.16000000000003</v>
      </c>
      <c r="AC194">
        <f t="shared" si="198"/>
        <v>302.16000000000003</v>
      </c>
      <c r="AD194">
        <f t="shared" si="199"/>
        <v>0</v>
      </c>
      <c r="AE194">
        <f t="shared" si="200"/>
        <v>0</v>
      </c>
      <c r="AF194">
        <f t="shared" si="201"/>
        <v>0</v>
      </c>
      <c r="AG194">
        <f t="shared" si="177"/>
        <v>0</v>
      </c>
      <c r="AH194">
        <f t="shared" si="202"/>
        <v>0</v>
      </c>
      <c r="AI194">
        <f t="shared" si="203"/>
        <v>0</v>
      </c>
      <c r="AJ194">
        <f t="shared" si="178"/>
        <v>0</v>
      </c>
      <c r="AK194">
        <v>302.16000000000003</v>
      </c>
      <c r="AL194">
        <v>302.16000000000003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95</v>
      </c>
      <c r="AU194">
        <v>65</v>
      </c>
      <c r="AV194">
        <v>1</v>
      </c>
      <c r="AW194">
        <v>1</v>
      </c>
      <c r="AZ194">
        <v>6.71</v>
      </c>
      <c r="BA194">
        <v>1</v>
      </c>
      <c r="BB194">
        <v>1</v>
      </c>
      <c r="BC194">
        <v>6.71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2</v>
      </c>
      <c r="BJ194" t="s">
        <v>516</v>
      </c>
      <c r="BM194">
        <v>108001</v>
      </c>
      <c r="BN194">
        <v>0</v>
      </c>
      <c r="BO194" t="s">
        <v>3</v>
      </c>
      <c r="BP194">
        <v>0</v>
      </c>
      <c r="BQ194">
        <v>3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95</v>
      </c>
      <c r="CA194">
        <v>65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179"/>
        <v>14192.46</v>
      </c>
      <c r="CQ194">
        <f t="shared" si="180"/>
        <v>2027.4936000000002</v>
      </c>
      <c r="CR194">
        <f t="shared" si="181"/>
        <v>0</v>
      </c>
      <c r="CS194">
        <f t="shared" si="182"/>
        <v>0</v>
      </c>
      <c r="CT194">
        <f t="shared" si="183"/>
        <v>0</v>
      </c>
      <c r="CU194">
        <f t="shared" si="184"/>
        <v>0</v>
      </c>
      <c r="CV194">
        <f t="shared" si="185"/>
        <v>0</v>
      </c>
      <c r="CW194">
        <f t="shared" si="186"/>
        <v>0</v>
      </c>
      <c r="CX194">
        <f t="shared" si="187"/>
        <v>0</v>
      </c>
      <c r="CY194">
        <f t="shared" si="188"/>
        <v>0</v>
      </c>
      <c r="CZ194">
        <f t="shared" si="189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1010</v>
      </c>
      <c r="DV194" t="s">
        <v>46</v>
      </c>
      <c r="DW194" t="s">
        <v>46</v>
      </c>
      <c r="DX194">
        <v>1</v>
      </c>
      <c r="EE194">
        <v>39174386</v>
      </c>
      <c r="EF194">
        <v>3</v>
      </c>
      <c r="EG194" t="s">
        <v>391</v>
      </c>
      <c r="EH194">
        <v>0</v>
      </c>
      <c r="EI194" t="s">
        <v>3</v>
      </c>
      <c r="EJ194">
        <v>2</v>
      </c>
      <c r="EK194">
        <v>108001</v>
      </c>
      <c r="EL194" t="s">
        <v>392</v>
      </c>
      <c r="EM194" t="s">
        <v>393</v>
      </c>
      <c r="EO194" t="s">
        <v>3</v>
      </c>
      <c r="EQ194">
        <v>0</v>
      </c>
      <c r="ER194">
        <v>302.16000000000003</v>
      </c>
      <c r="ES194">
        <v>302.16000000000003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90"/>
        <v>0</v>
      </c>
      <c r="FS194">
        <v>0</v>
      </c>
      <c r="FX194">
        <v>95</v>
      </c>
      <c r="FY194">
        <v>65</v>
      </c>
      <c r="GA194" t="s">
        <v>3</v>
      </c>
      <c r="GD194">
        <v>0</v>
      </c>
      <c r="GF194">
        <v>604629841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191"/>
        <v>0</v>
      </c>
      <c r="GM194">
        <f t="shared" si="192"/>
        <v>14192.46</v>
      </c>
      <c r="GN194">
        <f t="shared" si="193"/>
        <v>0</v>
      </c>
      <c r="GO194">
        <f t="shared" si="194"/>
        <v>14192.46</v>
      </c>
      <c r="GP194">
        <f t="shared" si="195"/>
        <v>0</v>
      </c>
      <c r="GR194">
        <v>0</v>
      </c>
      <c r="GS194">
        <v>3</v>
      </c>
      <c r="GT194">
        <v>0</v>
      </c>
      <c r="GU194" t="s">
        <v>3</v>
      </c>
      <c r="GV194">
        <f t="shared" si="196"/>
        <v>0</v>
      </c>
      <c r="GW194">
        <v>1</v>
      </c>
      <c r="GX194">
        <f t="shared" si="197"/>
        <v>0</v>
      </c>
      <c r="HA194">
        <v>0</v>
      </c>
      <c r="HB194">
        <v>0</v>
      </c>
      <c r="IK194">
        <v>0</v>
      </c>
    </row>
    <row r="195" spans="1:245" x14ac:dyDescent="0.2">
      <c r="A195">
        <v>18</v>
      </c>
      <c r="B195">
        <v>1</v>
      </c>
      <c r="C195">
        <v>320</v>
      </c>
      <c r="E195" t="s">
        <v>517</v>
      </c>
      <c r="F195" t="s">
        <v>518</v>
      </c>
      <c r="G195" t="s">
        <v>519</v>
      </c>
      <c r="H195" t="s">
        <v>46</v>
      </c>
      <c r="I195">
        <f>I190*J195</f>
        <v>7</v>
      </c>
      <c r="J195">
        <v>0.14893617021276595</v>
      </c>
      <c r="O195">
        <f t="shared" si="165"/>
        <v>3442.43</v>
      </c>
      <c r="P195">
        <f t="shared" si="166"/>
        <v>3442.43</v>
      </c>
      <c r="Q195">
        <f t="shared" si="167"/>
        <v>0</v>
      </c>
      <c r="R195">
        <f t="shared" si="168"/>
        <v>0</v>
      </c>
      <c r="S195">
        <f t="shared" si="169"/>
        <v>0</v>
      </c>
      <c r="T195">
        <f t="shared" si="170"/>
        <v>0</v>
      </c>
      <c r="U195">
        <f t="shared" si="171"/>
        <v>0</v>
      </c>
      <c r="V195">
        <f t="shared" si="172"/>
        <v>0</v>
      </c>
      <c r="W195">
        <f t="shared" si="173"/>
        <v>0</v>
      </c>
      <c r="X195">
        <f t="shared" si="174"/>
        <v>0</v>
      </c>
      <c r="Y195">
        <f t="shared" si="175"/>
        <v>0</v>
      </c>
      <c r="AA195">
        <v>39096431</v>
      </c>
      <c r="AB195">
        <f t="shared" si="176"/>
        <v>73.290000000000006</v>
      </c>
      <c r="AC195">
        <f t="shared" si="198"/>
        <v>73.290000000000006</v>
      </c>
      <c r="AD195">
        <f t="shared" si="199"/>
        <v>0</v>
      </c>
      <c r="AE195">
        <f t="shared" si="200"/>
        <v>0</v>
      </c>
      <c r="AF195">
        <f t="shared" si="201"/>
        <v>0</v>
      </c>
      <c r="AG195">
        <f t="shared" si="177"/>
        <v>0</v>
      </c>
      <c r="AH195">
        <f t="shared" si="202"/>
        <v>0</v>
      </c>
      <c r="AI195">
        <f t="shared" si="203"/>
        <v>0</v>
      </c>
      <c r="AJ195">
        <f t="shared" si="178"/>
        <v>0</v>
      </c>
      <c r="AK195">
        <v>73.290000000000006</v>
      </c>
      <c r="AL195">
        <v>73.290000000000006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6.71</v>
      </c>
      <c r="BA195">
        <v>1</v>
      </c>
      <c r="BB195">
        <v>1</v>
      </c>
      <c r="BC195">
        <v>6.71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2</v>
      </c>
      <c r="BJ195" t="s">
        <v>520</v>
      </c>
      <c r="BM195">
        <v>108001</v>
      </c>
      <c r="BN195">
        <v>0</v>
      </c>
      <c r="BO195" t="s">
        <v>3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179"/>
        <v>3442.43</v>
      </c>
      <c r="CQ195">
        <f t="shared" si="180"/>
        <v>491.77590000000004</v>
      </c>
      <c r="CR195">
        <f t="shared" si="181"/>
        <v>0</v>
      </c>
      <c r="CS195">
        <f t="shared" si="182"/>
        <v>0</v>
      </c>
      <c r="CT195">
        <f t="shared" si="183"/>
        <v>0</v>
      </c>
      <c r="CU195">
        <f t="shared" si="184"/>
        <v>0</v>
      </c>
      <c r="CV195">
        <f t="shared" si="185"/>
        <v>0</v>
      </c>
      <c r="CW195">
        <f t="shared" si="186"/>
        <v>0</v>
      </c>
      <c r="CX195">
        <f t="shared" si="187"/>
        <v>0</v>
      </c>
      <c r="CY195">
        <f t="shared" si="188"/>
        <v>0</v>
      </c>
      <c r="CZ195">
        <f t="shared" si="189"/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1010</v>
      </c>
      <c r="DV195" t="s">
        <v>46</v>
      </c>
      <c r="DW195" t="s">
        <v>46</v>
      </c>
      <c r="DX195">
        <v>1</v>
      </c>
      <c r="EE195">
        <v>39174386</v>
      </c>
      <c r="EF195">
        <v>3</v>
      </c>
      <c r="EG195" t="s">
        <v>391</v>
      </c>
      <c r="EH195">
        <v>0</v>
      </c>
      <c r="EI195" t="s">
        <v>3</v>
      </c>
      <c r="EJ195">
        <v>2</v>
      </c>
      <c r="EK195">
        <v>108001</v>
      </c>
      <c r="EL195" t="s">
        <v>392</v>
      </c>
      <c r="EM195" t="s">
        <v>393</v>
      </c>
      <c r="EO195" t="s">
        <v>3</v>
      </c>
      <c r="EQ195">
        <v>0</v>
      </c>
      <c r="ER195">
        <v>73.290000000000006</v>
      </c>
      <c r="ES195">
        <v>73.290000000000006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190"/>
        <v>0</v>
      </c>
      <c r="FS195">
        <v>0</v>
      </c>
      <c r="FX195">
        <v>95</v>
      </c>
      <c r="FY195">
        <v>65</v>
      </c>
      <c r="GA195" t="s">
        <v>3</v>
      </c>
      <c r="GD195">
        <v>0</v>
      </c>
      <c r="GF195">
        <v>470103916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191"/>
        <v>0</v>
      </c>
      <c r="GM195">
        <f t="shared" si="192"/>
        <v>3442.43</v>
      </c>
      <c r="GN195">
        <f t="shared" si="193"/>
        <v>0</v>
      </c>
      <c r="GO195">
        <f t="shared" si="194"/>
        <v>3442.43</v>
      </c>
      <c r="GP195">
        <f t="shared" si="195"/>
        <v>0</v>
      </c>
      <c r="GR195">
        <v>0</v>
      </c>
      <c r="GS195">
        <v>3</v>
      </c>
      <c r="GT195">
        <v>0</v>
      </c>
      <c r="GU195" t="s">
        <v>3</v>
      </c>
      <c r="GV195">
        <f t="shared" si="196"/>
        <v>0</v>
      </c>
      <c r="GW195">
        <v>1</v>
      </c>
      <c r="GX195">
        <f t="shared" si="197"/>
        <v>0</v>
      </c>
      <c r="HA195">
        <v>0</v>
      </c>
      <c r="HB195">
        <v>0</v>
      </c>
      <c r="IK195">
        <v>0</v>
      </c>
    </row>
    <row r="196" spans="1:245" x14ac:dyDescent="0.2">
      <c r="A196">
        <v>17</v>
      </c>
      <c r="B196">
        <v>1</v>
      </c>
      <c r="C196">
        <f>ROW(SmtRes!A336)</f>
        <v>336</v>
      </c>
      <c r="D196">
        <f>ROW(EtalonRes!A320)</f>
        <v>320</v>
      </c>
      <c r="E196" t="s">
        <v>521</v>
      </c>
      <c r="F196" t="s">
        <v>522</v>
      </c>
      <c r="G196" t="s">
        <v>523</v>
      </c>
      <c r="H196" t="s">
        <v>39</v>
      </c>
      <c r="I196">
        <v>1.1399999999999999</v>
      </c>
      <c r="J196">
        <v>0</v>
      </c>
      <c r="O196">
        <f t="shared" si="165"/>
        <v>25420.720000000001</v>
      </c>
      <c r="P196">
        <f t="shared" si="166"/>
        <v>7796.04</v>
      </c>
      <c r="Q196">
        <f t="shared" si="167"/>
        <v>1416.29</v>
      </c>
      <c r="R196">
        <f t="shared" si="168"/>
        <v>190.09</v>
      </c>
      <c r="S196">
        <f t="shared" si="169"/>
        <v>16208.39</v>
      </c>
      <c r="T196">
        <f t="shared" si="170"/>
        <v>0</v>
      </c>
      <c r="U196">
        <f t="shared" si="171"/>
        <v>243.50399999999996</v>
      </c>
      <c r="V196">
        <f t="shared" si="172"/>
        <v>2.2571999999999997</v>
      </c>
      <c r="W196">
        <f t="shared" si="173"/>
        <v>0</v>
      </c>
      <c r="X196">
        <f t="shared" si="174"/>
        <v>15578.56</v>
      </c>
      <c r="Y196">
        <f t="shared" si="175"/>
        <v>10659.01</v>
      </c>
      <c r="AA196">
        <v>39096431</v>
      </c>
      <c r="AB196">
        <f t="shared" si="176"/>
        <v>3323.23</v>
      </c>
      <c r="AC196">
        <f t="shared" si="198"/>
        <v>1019.17</v>
      </c>
      <c r="AD196">
        <f t="shared" si="199"/>
        <v>185.15</v>
      </c>
      <c r="AE196">
        <f t="shared" si="200"/>
        <v>24.85</v>
      </c>
      <c r="AF196">
        <f t="shared" si="201"/>
        <v>2118.91</v>
      </c>
      <c r="AG196">
        <f t="shared" si="177"/>
        <v>0</v>
      </c>
      <c r="AH196">
        <f t="shared" si="202"/>
        <v>213.6</v>
      </c>
      <c r="AI196">
        <f t="shared" si="203"/>
        <v>1.98</v>
      </c>
      <c r="AJ196">
        <f t="shared" si="178"/>
        <v>0</v>
      </c>
      <c r="AK196">
        <v>3323.23</v>
      </c>
      <c r="AL196">
        <v>1019.17</v>
      </c>
      <c r="AM196">
        <v>185.15</v>
      </c>
      <c r="AN196">
        <v>24.85</v>
      </c>
      <c r="AO196">
        <v>2118.91</v>
      </c>
      <c r="AP196">
        <v>0</v>
      </c>
      <c r="AQ196">
        <v>213.6</v>
      </c>
      <c r="AR196">
        <v>1.98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6.71</v>
      </c>
      <c r="BA196">
        <v>6.71</v>
      </c>
      <c r="BB196">
        <v>6.71</v>
      </c>
      <c r="BC196">
        <v>6.71</v>
      </c>
      <c r="BD196" t="s">
        <v>3</v>
      </c>
      <c r="BE196" t="s">
        <v>3</v>
      </c>
      <c r="BF196" t="s">
        <v>3</v>
      </c>
      <c r="BG196" t="s">
        <v>3</v>
      </c>
      <c r="BH196">
        <v>0</v>
      </c>
      <c r="BI196">
        <v>2</v>
      </c>
      <c r="BJ196" t="s">
        <v>524</v>
      </c>
      <c r="BM196">
        <v>108001</v>
      </c>
      <c r="BN196">
        <v>0</v>
      </c>
      <c r="BO196" t="s">
        <v>3</v>
      </c>
      <c r="BP196">
        <v>0</v>
      </c>
      <c r="BQ196">
        <v>3</v>
      </c>
      <c r="BR196">
        <v>0</v>
      </c>
      <c r="BS196">
        <v>6.71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95</v>
      </c>
      <c r="CA196">
        <v>65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179"/>
        <v>25420.720000000001</v>
      </c>
      <c r="CQ196">
        <f t="shared" si="180"/>
        <v>6838.6306999999997</v>
      </c>
      <c r="CR196">
        <f t="shared" si="181"/>
        <v>1242.3565000000001</v>
      </c>
      <c r="CS196">
        <f t="shared" si="182"/>
        <v>166.74350000000001</v>
      </c>
      <c r="CT196">
        <f t="shared" si="183"/>
        <v>14217.8861</v>
      </c>
      <c r="CU196">
        <f t="shared" si="184"/>
        <v>0</v>
      </c>
      <c r="CV196">
        <f t="shared" si="185"/>
        <v>213.6</v>
      </c>
      <c r="CW196">
        <f t="shared" si="186"/>
        <v>1.98</v>
      </c>
      <c r="CX196">
        <f t="shared" si="187"/>
        <v>0</v>
      </c>
      <c r="CY196">
        <f t="shared" si="188"/>
        <v>15578.555999999999</v>
      </c>
      <c r="CZ196">
        <f t="shared" si="189"/>
        <v>10659.011999999999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1013</v>
      </c>
      <c r="DV196" t="s">
        <v>39</v>
      </c>
      <c r="DW196" t="s">
        <v>39</v>
      </c>
      <c r="DX196">
        <v>1</v>
      </c>
      <c r="EE196">
        <v>39174386</v>
      </c>
      <c r="EF196">
        <v>3</v>
      </c>
      <c r="EG196" t="s">
        <v>391</v>
      </c>
      <c r="EH196">
        <v>0</v>
      </c>
      <c r="EI196" t="s">
        <v>3</v>
      </c>
      <c r="EJ196">
        <v>2</v>
      </c>
      <c r="EK196">
        <v>108001</v>
      </c>
      <c r="EL196" t="s">
        <v>392</v>
      </c>
      <c r="EM196" t="s">
        <v>393</v>
      </c>
      <c r="EO196" t="s">
        <v>3</v>
      </c>
      <c r="EQ196">
        <v>0</v>
      </c>
      <c r="ER196">
        <v>3323.23</v>
      </c>
      <c r="ES196">
        <v>1019.17</v>
      </c>
      <c r="ET196">
        <v>185.15</v>
      </c>
      <c r="EU196">
        <v>24.85</v>
      </c>
      <c r="EV196">
        <v>2118.91</v>
      </c>
      <c r="EW196">
        <v>213.6</v>
      </c>
      <c r="EX196">
        <v>1.98</v>
      </c>
      <c r="EY196">
        <v>0</v>
      </c>
      <c r="FQ196">
        <v>0</v>
      </c>
      <c r="FR196">
        <f t="shared" si="190"/>
        <v>0</v>
      </c>
      <c r="FS196">
        <v>0</v>
      </c>
      <c r="FX196">
        <v>95</v>
      </c>
      <c r="FY196">
        <v>65</v>
      </c>
      <c r="GA196" t="s">
        <v>3</v>
      </c>
      <c r="GD196">
        <v>0</v>
      </c>
      <c r="GF196">
        <v>2097412756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191"/>
        <v>0</v>
      </c>
      <c r="GM196">
        <f t="shared" si="192"/>
        <v>51658.29</v>
      </c>
      <c r="GN196">
        <f t="shared" si="193"/>
        <v>0</v>
      </c>
      <c r="GO196">
        <f t="shared" si="194"/>
        <v>51658.29</v>
      </c>
      <c r="GP196">
        <f t="shared" si="195"/>
        <v>0</v>
      </c>
      <c r="GR196">
        <v>0</v>
      </c>
      <c r="GS196">
        <v>3</v>
      </c>
      <c r="GT196">
        <v>0</v>
      </c>
      <c r="GU196" t="s">
        <v>3</v>
      </c>
      <c r="GV196">
        <f t="shared" si="196"/>
        <v>0</v>
      </c>
      <c r="GW196">
        <v>1</v>
      </c>
      <c r="GX196">
        <f t="shared" si="197"/>
        <v>0</v>
      </c>
      <c r="HA196">
        <v>0</v>
      </c>
      <c r="HB196">
        <v>0</v>
      </c>
      <c r="IK196">
        <v>0</v>
      </c>
    </row>
    <row r="197" spans="1:245" x14ac:dyDescent="0.2">
      <c r="A197">
        <v>18</v>
      </c>
      <c r="B197">
        <v>1</v>
      </c>
      <c r="C197">
        <v>335</v>
      </c>
      <c r="E197" t="s">
        <v>525</v>
      </c>
      <c r="F197" t="s">
        <v>526</v>
      </c>
      <c r="G197" t="s">
        <v>527</v>
      </c>
      <c r="H197" t="s">
        <v>46</v>
      </c>
      <c r="I197">
        <f>I196*J197</f>
        <v>114</v>
      </c>
      <c r="J197">
        <v>100.00000000000001</v>
      </c>
      <c r="O197">
        <f t="shared" si="165"/>
        <v>647253.98</v>
      </c>
      <c r="P197">
        <f t="shared" si="166"/>
        <v>647253.98</v>
      </c>
      <c r="Q197">
        <f t="shared" si="167"/>
        <v>0</v>
      </c>
      <c r="R197">
        <f t="shared" si="168"/>
        <v>0</v>
      </c>
      <c r="S197">
        <f t="shared" si="169"/>
        <v>0</v>
      </c>
      <c r="T197">
        <f t="shared" si="170"/>
        <v>0</v>
      </c>
      <c r="U197">
        <f t="shared" si="171"/>
        <v>0</v>
      </c>
      <c r="V197">
        <f t="shared" si="172"/>
        <v>0</v>
      </c>
      <c r="W197">
        <f t="shared" si="173"/>
        <v>0</v>
      </c>
      <c r="X197">
        <f t="shared" si="174"/>
        <v>0</v>
      </c>
      <c r="Y197">
        <f t="shared" si="175"/>
        <v>0</v>
      </c>
      <c r="AA197">
        <v>39096431</v>
      </c>
      <c r="AB197">
        <f t="shared" si="176"/>
        <v>846.15</v>
      </c>
      <c r="AC197">
        <f t="shared" si="198"/>
        <v>846.15</v>
      </c>
      <c r="AD197">
        <f t="shared" si="199"/>
        <v>0</v>
      </c>
      <c r="AE197">
        <f t="shared" si="200"/>
        <v>0</v>
      </c>
      <c r="AF197">
        <f t="shared" si="201"/>
        <v>0</v>
      </c>
      <c r="AG197">
        <f t="shared" si="177"/>
        <v>0</v>
      </c>
      <c r="AH197">
        <f t="shared" si="202"/>
        <v>0</v>
      </c>
      <c r="AI197">
        <f t="shared" si="203"/>
        <v>0</v>
      </c>
      <c r="AJ197">
        <f t="shared" si="178"/>
        <v>0</v>
      </c>
      <c r="AK197">
        <v>846.15</v>
      </c>
      <c r="AL197">
        <v>846.15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6.71</v>
      </c>
      <c r="BA197">
        <v>1</v>
      </c>
      <c r="BB197">
        <v>1</v>
      </c>
      <c r="BC197">
        <v>6.71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2</v>
      </c>
      <c r="BJ197" t="s">
        <v>528</v>
      </c>
      <c r="BM197">
        <v>108001</v>
      </c>
      <c r="BN197">
        <v>0</v>
      </c>
      <c r="BO197" t="s">
        <v>3</v>
      </c>
      <c r="BP197">
        <v>0</v>
      </c>
      <c r="BQ197">
        <v>3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179"/>
        <v>647253.98</v>
      </c>
      <c r="CQ197">
        <f t="shared" si="180"/>
        <v>5677.6665000000003</v>
      </c>
      <c r="CR197">
        <f t="shared" si="181"/>
        <v>0</v>
      </c>
      <c r="CS197">
        <f t="shared" si="182"/>
        <v>0</v>
      </c>
      <c r="CT197">
        <f t="shared" si="183"/>
        <v>0</v>
      </c>
      <c r="CU197">
        <f t="shared" si="184"/>
        <v>0</v>
      </c>
      <c r="CV197">
        <f t="shared" si="185"/>
        <v>0</v>
      </c>
      <c r="CW197">
        <f t="shared" si="186"/>
        <v>0</v>
      </c>
      <c r="CX197">
        <f t="shared" si="187"/>
        <v>0</v>
      </c>
      <c r="CY197">
        <f t="shared" si="188"/>
        <v>0</v>
      </c>
      <c r="CZ197">
        <f t="shared" si="189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1010</v>
      </c>
      <c r="DV197" t="s">
        <v>46</v>
      </c>
      <c r="DW197" t="s">
        <v>46</v>
      </c>
      <c r="DX197">
        <v>1</v>
      </c>
      <c r="EE197">
        <v>39174386</v>
      </c>
      <c r="EF197">
        <v>3</v>
      </c>
      <c r="EG197" t="s">
        <v>391</v>
      </c>
      <c r="EH197">
        <v>0</v>
      </c>
      <c r="EI197" t="s">
        <v>3</v>
      </c>
      <c r="EJ197">
        <v>2</v>
      </c>
      <c r="EK197">
        <v>108001</v>
      </c>
      <c r="EL197" t="s">
        <v>392</v>
      </c>
      <c r="EM197" t="s">
        <v>393</v>
      </c>
      <c r="EO197" t="s">
        <v>3</v>
      </c>
      <c r="EQ197">
        <v>0</v>
      </c>
      <c r="ER197">
        <v>846.15</v>
      </c>
      <c r="ES197">
        <v>846.15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190"/>
        <v>0</v>
      </c>
      <c r="FS197">
        <v>0</v>
      </c>
      <c r="FX197">
        <v>95</v>
      </c>
      <c r="FY197">
        <v>65</v>
      </c>
      <c r="GA197" t="s">
        <v>3</v>
      </c>
      <c r="GD197">
        <v>0</v>
      </c>
      <c r="GF197">
        <v>1763272094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191"/>
        <v>0</v>
      </c>
      <c r="GM197">
        <f t="shared" si="192"/>
        <v>647253.98</v>
      </c>
      <c r="GN197">
        <f t="shared" si="193"/>
        <v>0</v>
      </c>
      <c r="GO197">
        <f t="shared" si="194"/>
        <v>647253.98</v>
      </c>
      <c r="GP197">
        <f t="shared" si="195"/>
        <v>0</v>
      </c>
      <c r="GR197">
        <v>0</v>
      </c>
      <c r="GS197">
        <v>3</v>
      </c>
      <c r="GT197">
        <v>0</v>
      </c>
      <c r="GU197" t="s">
        <v>3</v>
      </c>
      <c r="GV197">
        <f t="shared" si="196"/>
        <v>0</v>
      </c>
      <c r="GW197">
        <v>1</v>
      </c>
      <c r="GX197">
        <f t="shared" si="197"/>
        <v>0</v>
      </c>
      <c r="HA197">
        <v>0</v>
      </c>
      <c r="HB197">
        <v>0</v>
      </c>
      <c r="IK197">
        <v>0</v>
      </c>
    </row>
    <row r="198" spans="1:245" x14ac:dyDescent="0.2">
      <c r="A198">
        <v>17</v>
      </c>
      <c r="B198">
        <v>1</v>
      </c>
      <c r="C198">
        <f>ROW(SmtRes!A338)</f>
        <v>338</v>
      </c>
      <c r="D198">
        <f>ROW(EtalonRes!A322)</f>
        <v>322</v>
      </c>
      <c r="E198" t="s">
        <v>529</v>
      </c>
      <c r="F198" t="s">
        <v>530</v>
      </c>
      <c r="G198" t="s">
        <v>531</v>
      </c>
      <c r="H198" t="s">
        <v>356</v>
      </c>
      <c r="I198">
        <v>47</v>
      </c>
      <c r="J198">
        <v>0</v>
      </c>
      <c r="O198">
        <f t="shared" si="165"/>
        <v>2989.16</v>
      </c>
      <c r="P198">
        <f t="shared" si="166"/>
        <v>0</v>
      </c>
      <c r="Q198">
        <f t="shared" si="167"/>
        <v>0</v>
      </c>
      <c r="R198">
        <f t="shared" si="168"/>
        <v>0</v>
      </c>
      <c r="S198">
        <f t="shared" si="169"/>
        <v>2989.16</v>
      </c>
      <c r="T198">
        <f t="shared" si="170"/>
        <v>0</v>
      </c>
      <c r="U198">
        <f t="shared" si="171"/>
        <v>12.032</v>
      </c>
      <c r="V198">
        <f t="shared" si="172"/>
        <v>0</v>
      </c>
      <c r="W198">
        <f t="shared" si="173"/>
        <v>0</v>
      </c>
      <c r="X198">
        <f t="shared" si="174"/>
        <v>1942.95</v>
      </c>
      <c r="Y198">
        <f t="shared" si="175"/>
        <v>1195.6600000000001</v>
      </c>
      <c r="AA198">
        <v>39096431</v>
      </c>
      <c r="AB198">
        <f t="shared" si="176"/>
        <v>3.28</v>
      </c>
      <c r="AC198">
        <f t="shared" si="198"/>
        <v>0</v>
      </c>
      <c r="AD198">
        <f t="shared" si="199"/>
        <v>0</v>
      </c>
      <c r="AE198">
        <f>ROUND((EU198),2)</f>
        <v>0</v>
      </c>
      <c r="AF198">
        <f>ROUND(((EV198*0.8)),2)</f>
        <v>3.28</v>
      </c>
      <c r="AG198">
        <f t="shared" si="177"/>
        <v>0</v>
      </c>
      <c r="AH198">
        <f>((EW198*0.8))</f>
        <v>0.25600000000000001</v>
      </c>
      <c r="AI198">
        <f>(EX198)</f>
        <v>0</v>
      </c>
      <c r="AJ198">
        <f t="shared" si="178"/>
        <v>0</v>
      </c>
      <c r="AK198">
        <v>4.0999999999999996</v>
      </c>
      <c r="AL198">
        <v>0</v>
      </c>
      <c r="AM198">
        <v>0</v>
      </c>
      <c r="AN198">
        <v>0</v>
      </c>
      <c r="AO198">
        <v>4.0999999999999996</v>
      </c>
      <c r="AP198">
        <v>0</v>
      </c>
      <c r="AQ198">
        <v>0.32</v>
      </c>
      <c r="AR198">
        <v>0</v>
      </c>
      <c r="AS198">
        <v>0</v>
      </c>
      <c r="AT198">
        <v>65</v>
      </c>
      <c r="AU198">
        <v>40</v>
      </c>
      <c r="AV198">
        <v>1</v>
      </c>
      <c r="AW198">
        <v>1</v>
      </c>
      <c r="AZ198">
        <v>19.39</v>
      </c>
      <c r="BA198">
        <v>19.39</v>
      </c>
      <c r="BB198">
        <v>1</v>
      </c>
      <c r="BC198">
        <v>1</v>
      </c>
      <c r="BD198" t="s">
        <v>3</v>
      </c>
      <c r="BE198" t="s">
        <v>3</v>
      </c>
      <c r="BF198" t="s">
        <v>3</v>
      </c>
      <c r="BG198" t="s">
        <v>3</v>
      </c>
      <c r="BH198">
        <v>0</v>
      </c>
      <c r="BI198">
        <v>4</v>
      </c>
      <c r="BJ198" t="s">
        <v>532</v>
      </c>
      <c r="BM198">
        <v>200001</v>
      </c>
      <c r="BN198">
        <v>0</v>
      </c>
      <c r="BO198" t="s">
        <v>3</v>
      </c>
      <c r="BP198">
        <v>0</v>
      </c>
      <c r="BQ198">
        <v>4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65</v>
      </c>
      <c r="CA198">
        <v>40</v>
      </c>
      <c r="CF198">
        <v>0</v>
      </c>
      <c r="CG198">
        <v>0</v>
      </c>
      <c r="CM198">
        <v>0</v>
      </c>
      <c r="CN198" t="s">
        <v>533</v>
      </c>
      <c r="CO198">
        <v>0</v>
      </c>
      <c r="CP198">
        <f t="shared" si="179"/>
        <v>2989.16</v>
      </c>
      <c r="CQ198">
        <f t="shared" si="180"/>
        <v>0</v>
      </c>
      <c r="CR198">
        <f t="shared" si="181"/>
        <v>0</v>
      </c>
      <c r="CS198">
        <f t="shared" si="182"/>
        <v>0</v>
      </c>
      <c r="CT198">
        <f t="shared" si="183"/>
        <v>63.599199999999996</v>
      </c>
      <c r="CU198">
        <f t="shared" si="184"/>
        <v>0</v>
      </c>
      <c r="CV198">
        <f t="shared" si="185"/>
        <v>0.25600000000000001</v>
      </c>
      <c r="CW198">
        <f t="shared" si="186"/>
        <v>0</v>
      </c>
      <c r="CX198">
        <f t="shared" si="187"/>
        <v>0</v>
      </c>
      <c r="CY198">
        <f t="shared" si="188"/>
        <v>1942.954</v>
      </c>
      <c r="CZ198">
        <f t="shared" si="189"/>
        <v>1195.664</v>
      </c>
      <c r="DC198" t="s">
        <v>3</v>
      </c>
      <c r="DD198" t="s">
        <v>3</v>
      </c>
      <c r="DE198" t="s">
        <v>3</v>
      </c>
      <c r="DF198" t="s">
        <v>3</v>
      </c>
      <c r="DG198" t="s">
        <v>58</v>
      </c>
      <c r="DH198" t="s">
        <v>3</v>
      </c>
      <c r="DI198" t="s">
        <v>58</v>
      </c>
      <c r="DJ198" t="s">
        <v>3</v>
      </c>
      <c r="DK198" t="s">
        <v>3</v>
      </c>
      <c r="DL198" t="s">
        <v>3</v>
      </c>
      <c r="DM198" t="s">
        <v>3</v>
      </c>
      <c r="DN198">
        <v>0</v>
      </c>
      <c r="DO198">
        <v>0</v>
      </c>
      <c r="DP198">
        <v>1</v>
      </c>
      <c r="DQ198">
        <v>1</v>
      </c>
      <c r="DU198">
        <v>1013</v>
      </c>
      <c r="DV198" t="s">
        <v>356</v>
      </c>
      <c r="DW198" t="s">
        <v>356</v>
      </c>
      <c r="DX198">
        <v>1</v>
      </c>
      <c r="EE198">
        <v>39174428</v>
      </c>
      <c r="EF198">
        <v>4</v>
      </c>
      <c r="EG198" t="s">
        <v>534</v>
      </c>
      <c r="EH198">
        <v>0</v>
      </c>
      <c r="EI198" t="s">
        <v>3</v>
      </c>
      <c r="EJ198">
        <v>4</v>
      </c>
      <c r="EK198">
        <v>200001</v>
      </c>
      <c r="EL198" t="s">
        <v>535</v>
      </c>
      <c r="EM198" t="s">
        <v>536</v>
      </c>
      <c r="EO198" t="s">
        <v>537</v>
      </c>
      <c r="EQ198">
        <v>0</v>
      </c>
      <c r="ER198">
        <v>4.0999999999999996</v>
      </c>
      <c r="ES198">
        <v>0</v>
      </c>
      <c r="ET198">
        <v>0</v>
      </c>
      <c r="EU198">
        <v>0</v>
      </c>
      <c r="EV198">
        <v>4.0999999999999996</v>
      </c>
      <c r="EW198">
        <v>0.32</v>
      </c>
      <c r="EX198">
        <v>0</v>
      </c>
      <c r="EY198">
        <v>0</v>
      </c>
      <c r="FQ198">
        <v>0</v>
      </c>
      <c r="FR198">
        <f t="shared" si="190"/>
        <v>0</v>
      </c>
      <c r="FS198">
        <v>0</v>
      </c>
      <c r="FX198">
        <v>65</v>
      </c>
      <c r="FY198">
        <v>40</v>
      </c>
      <c r="GA198" t="s">
        <v>3</v>
      </c>
      <c r="GD198">
        <v>0</v>
      </c>
      <c r="GF198">
        <v>-1617765494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191"/>
        <v>0</v>
      </c>
      <c r="GM198">
        <f t="shared" si="192"/>
        <v>6127.77</v>
      </c>
      <c r="GN198">
        <f t="shared" si="193"/>
        <v>0</v>
      </c>
      <c r="GO198">
        <f t="shared" si="194"/>
        <v>0</v>
      </c>
      <c r="GP198">
        <f t="shared" si="195"/>
        <v>6127.77</v>
      </c>
      <c r="GR198">
        <v>0</v>
      </c>
      <c r="GS198">
        <v>3</v>
      </c>
      <c r="GT198">
        <v>0</v>
      </c>
      <c r="GU198" t="s">
        <v>3</v>
      </c>
      <c r="GV198">
        <f t="shared" si="196"/>
        <v>0</v>
      </c>
      <c r="GW198">
        <v>1</v>
      </c>
      <c r="GX198">
        <f t="shared" si="197"/>
        <v>0</v>
      </c>
      <c r="HA198">
        <v>0</v>
      </c>
      <c r="HB198">
        <v>0</v>
      </c>
      <c r="IK198">
        <v>0</v>
      </c>
    </row>
    <row r="199" spans="1:245" x14ac:dyDescent="0.2">
      <c r="A199">
        <v>17</v>
      </c>
      <c r="B199">
        <v>1</v>
      </c>
      <c r="C199">
        <f>ROW(SmtRes!A340)</f>
        <v>340</v>
      </c>
      <c r="D199">
        <f>ROW(EtalonRes!A324)</f>
        <v>324</v>
      </c>
      <c r="E199" t="s">
        <v>538</v>
      </c>
      <c r="F199" t="s">
        <v>539</v>
      </c>
      <c r="G199" t="s">
        <v>540</v>
      </c>
      <c r="H199" t="s">
        <v>541</v>
      </c>
      <c r="I199">
        <v>7.0000000000000007E-2</v>
      </c>
      <c r="J199">
        <v>0</v>
      </c>
      <c r="O199">
        <f t="shared" si="165"/>
        <v>180.2</v>
      </c>
      <c r="P199">
        <f t="shared" si="166"/>
        <v>0</v>
      </c>
      <c r="Q199">
        <f t="shared" si="167"/>
        <v>0</v>
      </c>
      <c r="R199">
        <f t="shared" si="168"/>
        <v>0</v>
      </c>
      <c r="S199">
        <f t="shared" si="169"/>
        <v>180.2</v>
      </c>
      <c r="T199">
        <f t="shared" si="170"/>
        <v>0</v>
      </c>
      <c r="U199">
        <f t="shared" si="171"/>
        <v>0.72576000000000018</v>
      </c>
      <c r="V199">
        <f t="shared" si="172"/>
        <v>0</v>
      </c>
      <c r="W199">
        <f t="shared" si="173"/>
        <v>0</v>
      </c>
      <c r="X199">
        <f t="shared" si="174"/>
        <v>117.13</v>
      </c>
      <c r="Y199">
        <f t="shared" si="175"/>
        <v>72.08</v>
      </c>
      <c r="AA199">
        <v>39096431</v>
      </c>
      <c r="AB199">
        <f t="shared" si="176"/>
        <v>132.76</v>
      </c>
      <c r="AC199">
        <f t="shared" si="198"/>
        <v>0</v>
      </c>
      <c r="AD199">
        <f t="shared" si="199"/>
        <v>0</v>
      </c>
      <c r="AE199">
        <f>ROUND((EU199),2)</f>
        <v>0</v>
      </c>
      <c r="AF199">
        <f>ROUND(((EV199*0.8)),2)</f>
        <v>132.76</v>
      </c>
      <c r="AG199">
        <f t="shared" si="177"/>
        <v>0</v>
      </c>
      <c r="AH199">
        <f>((EW199*0.8))</f>
        <v>10.368000000000002</v>
      </c>
      <c r="AI199">
        <f>(EX199)</f>
        <v>0</v>
      </c>
      <c r="AJ199">
        <f t="shared" si="178"/>
        <v>0</v>
      </c>
      <c r="AK199">
        <v>165.95</v>
      </c>
      <c r="AL199">
        <v>0</v>
      </c>
      <c r="AM199">
        <v>0</v>
      </c>
      <c r="AN199">
        <v>0</v>
      </c>
      <c r="AO199">
        <v>165.95</v>
      </c>
      <c r="AP199">
        <v>0</v>
      </c>
      <c r="AQ199">
        <v>12.96</v>
      </c>
      <c r="AR199">
        <v>0</v>
      </c>
      <c r="AS199">
        <v>0</v>
      </c>
      <c r="AT199">
        <v>65</v>
      </c>
      <c r="AU199">
        <v>40</v>
      </c>
      <c r="AV199">
        <v>1</v>
      </c>
      <c r="AW199">
        <v>1</v>
      </c>
      <c r="AZ199">
        <v>19.39</v>
      </c>
      <c r="BA199">
        <v>19.39</v>
      </c>
      <c r="BB199">
        <v>1</v>
      </c>
      <c r="BC199">
        <v>1</v>
      </c>
      <c r="BD199" t="s">
        <v>3</v>
      </c>
      <c r="BE199" t="s">
        <v>3</v>
      </c>
      <c r="BF199" t="s">
        <v>3</v>
      </c>
      <c r="BG199" t="s">
        <v>3</v>
      </c>
      <c r="BH199">
        <v>0</v>
      </c>
      <c r="BI199">
        <v>4</v>
      </c>
      <c r="BJ199" t="s">
        <v>542</v>
      </c>
      <c r="BM199">
        <v>200001</v>
      </c>
      <c r="BN199">
        <v>0</v>
      </c>
      <c r="BO199" t="s">
        <v>3</v>
      </c>
      <c r="BP199">
        <v>0</v>
      </c>
      <c r="BQ199">
        <v>4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65</v>
      </c>
      <c r="CA199">
        <v>40</v>
      </c>
      <c r="CF199">
        <v>0</v>
      </c>
      <c r="CG199">
        <v>0</v>
      </c>
      <c r="CM199">
        <v>0</v>
      </c>
      <c r="CN199" t="s">
        <v>533</v>
      </c>
      <c r="CO199">
        <v>0</v>
      </c>
      <c r="CP199">
        <f t="shared" si="179"/>
        <v>180.2</v>
      </c>
      <c r="CQ199">
        <f t="shared" si="180"/>
        <v>0</v>
      </c>
      <c r="CR199">
        <f t="shared" si="181"/>
        <v>0</v>
      </c>
      <c r="CS199">
        <f t="shared" si="182"/>
        <v>0</v>
      </c>
      <c r="CT199">
        <f t="shared" si="183"/>
        <v>2574.2163999999998</v>
      </c>
      <c r="CU199">
        <f t="shared" si="184"/>
        <v>0</v>
      </c>
      <c r="CV199">
        <f t="shared" si="185"/>
        <v>10.368000000000002</v>
      </c>
      <c r="CW199">
        <f t="shared" si="186"/>
        <v>0</v>
      </c>
      <c r="CX199">
        <f t="shared" si="187"/>
        <v>0</v>
      </c>
      <c r="CY199">
        <f t="shared" si="188"/>
        <v>117.13</v>
      </c>
      <c r="CZ199">
        <f t="shared" si="189"/>
        <v>72.08</v>
      </c>
      <c r="DC199" t="s">
        <v>3</v>
      </c>
      <c r="DD199" t="s">
        <v>3</v>
      </c>
      <c r="DE199" t="s">
        <v>3</v>
      </c>
      <c r="DF199" t="s">
        <v>3</v>
      </c>
      <c r="DG199" t="s">
        <v>58</v>
      </c>
      <c r="DH199" t="s">
        <v>3</v>
      </c>
      <c r="DI199" t="s">
        <v>58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541</v>
      </c>
      <c r="DW199" t="s">
        <v>541</v>
      </c>
      <c r="DX199">
        <v>1</v>
      </c>
      <c r="EE199">
        <v>39174428</v>
      </c>
      <c r="EF199">
        <v>4</v>
      </c>
      <c r="EG199" t="s">
        <v>534</v>
      </c>
      <c r="EH199">
        <v>0</v>
      </c>
      <c r="EI199" t="s">
        <v>3</v>
      </c>
      <c r="EJ199">
        <v>4</v>
      </c>
      <c r="EK199">
        <v>200001</v>
      </c>
      <c r="EL199" t="s">
        <v>535</v>
      </c>
      <c r="EM199" t="s">
        <v>536</v>
      </c>
      <c r="EO199" t="s">
        <v>537</v>
      </c>
      <c r="EQ199">
        <v>0</v>
      </c>
      <c r="ER199">
        <v>165.95</v>
      </c>
      <c r="ES199">
        <v>0</v>
      </c>
      <c r="ET199">
        <v>0</v>
      </c>
      <c r="EU199">
        <v>0</v>
      </c>
      <c r="EV199">
        <v>165.95</v>
      </c>
      <c r="EW199">
        <v>12.96</v>
      </c>
      <c r="EX199">
        <v>0</v>
      </c>
      <c r="EY199">
        <v>0</v>
      </c>
      <c r="FQ199">
        <v>0</v>
      </c>
      <c r="FR199">
        <f t="shared" si="190"/>
        <v>0</v>
      </c>
      <c r="FS199">
        <v>0</v>
      </c>
      <c r="FX199">
        <v>65</v>
      </c>
      <c r="FY199">
        <v>40</v>
      </c>
      <c r="GA199" t="s">
        <v>3</v>
      </c>
      <c r="GD199">
        <v>0</v>
      </c>
      <c r="GF199">
        <v>-931447527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191"/>
        <v>0</v>
      </c>
      <c r="GM199">
        <f t="shared" si="192"/>
        <v>369.41</v>
      </c>
      <c r="GN199">
        <f t="shared" si="193"/>
        <v>0</v>
      </c>
      <c r="GO199">
        <f t="shared" si="194"/>
        <v>0</v>
      </c>
      <c r="GP199">
        <f t="shared" si="195"/>
        <v>369.41</v>
      </c>
      <c r="GR199">
        <v>0</v>
      </c>
      <c r="GS199">
        <v>3</v>
      </c>
      <c r="GT199">
        <v>0</v>
      </c>
      <c r="GU199" t="s">
        <v>3</v>
      </c>
      <c r="GV199">
        <f t="shared" si="196"/>
        <v>0</v>
      </c>
      <c r="GW199">
        <v>1</v>
      </c>
      <c r="GX199">
        <f t="shared" si="197"/>
        <v>0</v>
      </c>
      <c r="HA199">
        <v>0</v>
      </c>
      <c r="HB199">
        <v>0</v>
      </c>
      <c r="IK199">
        <v>0</v>
      </c>
    </row>
    <row r="200" spans="1:245" x14ac:dyDescent="0.2">
      <c r="A200">
        <v>17</v>
      </c>
      <c r="B200">
        <v>1</v>
      </c>
      <c r="C200">
        <f>ROW(SmtRes!A342)</f>
        <v>342</v>
      </c>
      <c r="D200">
        <f>ROW(EtalonRes!A326)</f>
        <v>326</v>
      </c>
      <c r="E200" t="s">
        <v>543</v>
      </c>
      <c r="F200" t="s">
        <v>544</v>
      </c>
      <c r="G200" t="s">
        <v>545</v>
      </c>
      <c r="H200" t="s">
        <v>356</v>
      </c>
      <c r="I200">
        <v>45</v>
      </c>
      <c r="J200">
        <v>0</v>
      </c>
      <c r="O200">
        <f t="shared" si="165"/>
        <v>10906.88</v>
      </c>
      <c r="P200">
        <f t="shared" si="166"/>
        <v>0</v>
      </c>
      <c r="Q200">
        <f t="shared" si="167"/>
        <v>0</v>
      </c>
      <c r="R200">
        <f t="shared" si="168"/>
        <v>0</v>
      </c>
      <c r="S200">
        <f t="shared" si="169"/>
        <v>10906.88</v>
      </c>
      <c r="T200">
        <f t="shared" si="170"/>
        <v>0</v>
      </c>
      <c r="U200">
        <f t="shared" si="171"/>
        <v>43.92</v>
      </c>
      <c r="V200">
        <f t="shared" si="172"/>
        <v>0</v>
      </c>
      <c r="W200">
        <f t="shared" si="173"/>
        <v>0</v>
      </c>
      <c r="X200">
        <f t="shared" si="174"/>
        <v>7089.47</v>
      </c>
      <c r="Y200">
        <f t="shared" si="175"/>
        <v>4362.75</v>
      </c>
      <c r="AA200">
        <v>39096431</v>
      </c>
      <c r="AB200">
        <f t="shared" si="176"/>
        <v>12.5</v>
      </c>
      <c r="AC200">
        <f t="shared" si="198"/>
        <v>0</v>
      </c>
      <c r="AD200">
        <f t="shared" si="199"/>
        <v>0</v>
      </c>
      <c r="AE200">
        <f>ROUND((EU200),2)</f>
        <v>0</v>
      </c>
      <c r="AF200">
        <f>ROUND(((EV200*0.8)),2)</f>
        <v>12.5</v>
      </c>
      <c r="AG200">
        <f t="shared" si="177"/>
        <v>0</v>
      </c>
      <c r="AH200">
        <f>((EW200*0.8))</f>
        <v>0.97599999999999998</v>
      </c>
      <c r="AI200">
        <f>(EX200)</f>
        <v>0</v>
      </c>
      <c r="AJ200">
        <f t="shared" si="178"/>
        <v>0</v>
      </c>
      <c r="AK200">
        <v>15.62</v>
      </c>
      <c r="AL200">
        <v>0</v>
      </c>
      <c r="AM200">
        <v>0</v>
      </c>
      <c r="AN200">
        <v>0</v>
      </c>
      <c r="AO200">
        <v>15.62</v>
      </c>
      <c r="AP200">
        <v>0</v>
      </c>
      <c r="AQ200">
        <v>1.22</v>
      </c>
      <c r="AR200">
        <v>0</v>
      </c>
      <c r="AS200">
        <v>0</v>
      </c>
      <c r="AT200">
        <v>65</v>
      </c>
      <c r="AU200">
        <v>40</v>
      </c>
      <c r="AV200">
        <v>1</v>
      </c>
      <c r="AW200">
        <v>1</v>
      </c>
      <c r="AZ200">
        <v>19.39</v>
      </c>
      <c r="BA200">
        <v>19.39</v>
      </c>
      <c r="BB200">
        <v>1</v>
      </c>
      <c r="BC200">
        <v>1</v>
      </c>
      <c r="BD200" t="s">
        <v>3</v>
      </c>
      <c r="BE200" t="s">
        <v>3</v>
      </c>
      <c r="BF200" t="s">
        <v>3</v>
      </c>
      <c r="BG200" t="s">
        <v>3</v>
      </c>
      <c r="BH200">
        <v>0</v>
      </c>
      <c r="BI200">
        <v>4</v>
      </c>
      <c r="BJ200" t="s">
        <v>546</v>
      </c>
      <c r="BM200">
        <v>200001</v>
      </c>
      <c r="BN200">
        <v>0</v>
      </c>
      <c r="BO200" t="s">
        <v>3</v>
      </c>
      <c r="BP200">
        <v>0</v>
      </c>
      <c r="BQ200">
        <v>4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65</v>
      </c>
      <c r="CA200">
        <v>40</v>
      </c>
      <c r="CF200">
        <v>0</v>
      </c>
      <c r="CG200">
        <v>0</v>
      </c>
      <c r="CM200">
        <v>0</v>
      </c>
      <c r="CN200" t="s">
        <v>533</v>
      </c>
      <c r="CO200">
        <v>0</v>
      </c>
      <c r="CP200">
        <f t="shared" si="179"/>
        <v>10906.88</v>
      </c>
      <c r="CQ200">
        <f t="shared" si="180"/>
        <v>0</v>
      </c>
      <c r="CR200">
        <f t="shared" si="181"/>
        <v>0</v>
      </c>
      <c r="CS200">
        <f t="shared" si="182"/>
        <v>0</v>
      </c>
      <c r="CT200">
        <f t="shared" si="183"/>
        <v>242.375</v>
      </c>
      <c r="CU200">
        <f t="shared" si="184"/>
        <v>0</v>
      </c>
      <c r="CV200">
        <f t="shared" si="185"/>
        <v>0.97599999999999998</v>
      </c>
      <c r="CW200">
        <f t="shared" si="186"/>
        <v>0</v>
      </c>
      <c r="CX200">
        <f t="shared" si="187"/>
        <v>0</v>
      </c>
      <c r="CY200">
        <f t="shared" si="188"/>
        <v>7089.4719999999998</v>
      </c>
      <c r="CZ200">
        <f t="shared" si="189"/>
        <v>4362.7519999999995</v>
      </c>
      <c r="DC200" t="s">
        <v>3</v>
      </c>
      <c r="DD200" t="s">
        <v>3</v>
      </c>
      <c r="DE200" t="s">
        <v>3</v>
      </c>
      <c r="DF200" t="s">
        <v>3</v>
      </c>
      <c r="DG200" t="s">
        <v>58</v>
      </c>
      <c r="DH200" t="s">
        <v>3</v>
      </c>
      <c r="DI200" t="s">
        <v>58</v>
      </c>
      <c r="DJ200" t="s">
        <v>3</v>
      </c>
      <c r="DK200" t="s">
        <v>3</v>
      </c>
      <c r="DL200" t="s">
        <v>3</v>
      </c>
      <c r="DM200" t="s">
        <v>3</v>
      </c>
      <c r="DN200">
        <v>0</v>
      </c>
      <c r="DO200">
        <v>0</v>
      </c>
      <c r="DP200">
        <v>1</v>
      </c>
      <c r="DQ200">
        <v>1</v>
      </c>
      <c r="DU200">
        <v>1013</v>
      </c>
      <c r="DV200" t="s">
        <v>356</v>
      </c>
      <c r="DW200" t="s">
        <v>356</v>
      </c>
      <c r="DX200">
        <v>1</v>
      </c>
      <c r="EE200">
        <v>39174428</v>
      </c>
      <c r="EF200">
        <v>4</v>
      </c>
      <c r="EG200" t="s">
        <v>534</v>
      </c>
      <c r="EH200">
        <v>0</v>
      </c>
      <c r="EI200" t="s">
        <v>3</v>
      </c>
      <c r="EJ200">
        <v>4</v>
      </c>
      <c r="EK200">
        <v>200001</v>
      </c>
      <c r="EL200" t="s">
        <v>535</v>
      </c>
      <c r="EM200" t="s">
        <v>536</v>
      </c>
      <c r="EO200" t="s">
        <v>537</v>
      </c>
      <c r="EQ200">
        <v>0</v>
      </c>
      <c r="ER200">
        <v>15.62</v>
      </c>
      <c r="ES200">
        <v>0</v>
      </c>
      <c r="ET200">
        <v>0</v>
      </c>
      <c r="EU200">
        <v>0</v>
      </c>
      <c r="EV200">
        <v>15.62</v>
      </c>
      <c r="EW200">
        <v>1.22</v>
      </c>
      <c r="EX200">
        <v>0</v>
      </c>
      <c r="EY200">
        <v>0</v>
      </c>
      <c r="FQ200">
        <v>0</v>
      </c>
      <c r="FR200">
        <f t="shared" si="190"/>
        <v>0</v>
      </c>
      <c r="FS200">
        <v>0</v>
      </c>
      <c r="FX200">
        <v>65</v>
      </c>
      <c r="FY200">
        <v>40</v>
      </c>
      <c r="GA200" t="s">
        <v>3</v>
      </c>
      <c r="GD200">
        <v>0</v>
      </c>
      <c r="GF200">
        <v>-829332442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191"/>
        <v>0</v>
      </c>
      <c r="GM200">
        <f t="shared" si="192"/>
        <v>22359.1</v>
      </c>
      <c r="GN200">
        <f t="shared" si="193"/>
        <v>0</v>
      </c>
      <c r="GO200">
        <f t="shared" si="194"/>
        <v>0</v>
      </c>
      <c r="GP200">
        <f t="shared" si="195"/>
        <v>22359.1</v>
      </c>
      <c r="GR200">
        <v>0</v>
      </c>
      <c r="GS200">
        <v>3</v>
      </c>
      <c r="GT200">
        <v>0</v>
      </c>
      <c r="GU200" t="s">
        <v>3</v>
      </c>
      <c r="GV200">
        <f t="shared" si="196"/>
        <v>0</v>
      </c>
      <c r="GW200">
        <v>1</v>
      </c>
      <c r="GX200">
        <f t="shared" si="197"/>
        <v>0</v>
      </c>
      <c r="HA200">
        <v>0</v>
      </c>
      <c r="HB200">
        <v>0</v>
      </c>
      <c r="IK200">
        <v>0</v>
      </c>
    </row>
    <row r="201" spans="1:245" x14ac:dyDescent="0.2">
      <c r="A201">
        <v>17</v>
      </c>
      <c r="B201">
        <v>1</v>
      </c>
      <c r="C201">
        <f>ROW(SmtRes!A344)</f>
        <v>344</v>
      </c>
      <c r="D201">
        <f>ROW(EtalonRes!A328)</f>
        <v>328</v>
      </c>
      <c r="E201" t="s">
        <v>547</v>
      </c>
      <c r="F201" t="s">
        <v>548</v>
      </c>
      <c r="G201" t="s">
        <v>549</v>
      </c>
      <c r="H201" t="s">
        <v>550</v>
      </c>
      <c r="I201">
        <v>47</v>
      </c>
      <c r="J201">
        <v>0</v>
      </c>
      <c r="O201">
        <f t="shared" si="165"/>
        <v>25016.01</v>
      </c>
      <c r="P201">
        <f t="shared" si="166"/>
        <v>0</v>
      </c>
      <c r="Q201">
        <f t="shared" si="167"/>
        <v>0</v>
      </c>
      <c r="R201">
        <f t="shared" si="168"/>
        <v>0</v>
      </c>
      <c r="S201">
        <f t="shared" si="169"/>
        <v>25016.01</v>
      </c>
      <c r="T201">
        <f t="shared" si="170"/>
        <v>0</v>
      </c>
      <c r="U201">
        <f t="shared" si="171"/>
        <v>106.40800000000002</v>
      </c>
      <c r="V201">
        <f t="shared" si="172"/>
        <v>0</v>
      </c>
      <c r="W201">
        <f t="shared" si="173"/>
        <v>0</v>
      </c>
      <c r="X201">
        <f t="shared" si="174"/>
        <v>16260.41</v>
      </c>
      <c r="Y201">
        <f t="shared" si="175"/>
        <v>10006.4</v>
      </c>
      <c r="AA201">
        <v>39096431</v>
      </c>
      <c r="AB201">
        <f t="shared" si="176"/>
        <v>27.45</v>
      </c>
      <c r="AC201">
        <f t="shared" si="198"/>
        <v>0</v>
      </c>
      <c r="AD201">
        <f t="shared" si="199"/>
        <v>0</v>
      </c>
      <c r="AE201">
        <f>ROUND((EU201),2)</f>
        <v>0</v>
      </c>
      <c r="AF201">
        <f>ROUND(((EV201*0.8)),2)</f>
        <v>27.45</v>
      </c>
      <c r="AG201">
        <f t="shared" si="177"/>
        <v>0</v>
      </c>
      <c r="AH201">
        <f>((EW201*0.8))</f>
        <v>2.2640000000000002</v>
      </c>
      <c r="AI201">
        <f>(EX201)</f>
        <v>0</v>
      </c>
      <c r="AJ201">
        <f t="shared" si="178"/>
        <v>0</v>
      </c>
      <c r="AK201">
        <v>34.31</v>
      </c>
      <c r="AL201">
        <v>0</v>
      </c>
      <c r="AM201">
        <v>0</v>
      </c>
      <c r="AN201">
        <v>0</v>
      </c>
      <c r="AO201">
        <v>34.31</v>
      </c>
      <c r="AP201">
        <v>0</v>
      </c>
      <c r="AQ201">
        <v>2.83</v>
      </c>
      <c r="AR201">
        <v>0</v>
      </c>
      <c r="AS201">
        <v>0</v>
      </c>
      <c r="AT201">
        <v>65</v>
      </c>
      <c r="AU201">
        <v>40</v>
      </c>
      <c r="AV201">
        <v>1</v>
      </c>
      <c r="AW201">
        <v>1</v>
      </c>
      <c r="AZ201">
        <v>19.39</v>
      </c>
      <c r="BA201">
        <v>19.39</v>
      </c>
      <c r="BB201">
        <v>1</v>
      </c>
      <c r="BC201">
        <v>1</v>
      </c>
      <c r="BD201" t="s">
        <v>3</v>
      </c>
      <c r="BE201" t="s">
        <v>3</v>
      </c>
      <c r="BF201" t="s">
        <v>3</v>
      </c>
      <c r="BG201" t="s">
        <v>3</v>
      </c>
      <c r="BH201">
        <v>0</v>
      </c>
      <c r="BI201">
        <v>4</v>
      </c>
      <c r="BJ201" t="s">
        <v>551</v>
      </c>
      <c r="BM201">
        <v>200001</v>
      </c>
      <c r="BN201">
        <v>0</v>
      </c>
      <c r="BO201" t="s">
        <v>3</v>
      </c>
      <c r="BP201">
        <v>0</v>
      </c>
      <c r="BQ201">
        <v>4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65</v>
      </c>
      <c r="CA201">
        <v>40</v>
      </c>
      <c r="CF201">
        <v>0</v>
      </c>
      <c r="CG201">
        <v>0</v>
      </c>
      <c r="CM201">
        <v>0</v>
      </c>
      <c r="CN201" t="s">
        <v>533</v>
      </c>
      <c r="CO201">
        <v>0</v>
      </c>
      <c r="CP201">
        <f t="shared" si="179"/>
        <v>25016.01</v>
      </c>
      <c r="CQ201">
        <f t="shared" si="180"/>
        <v>0</v>
      </c>
      <c r="CR201">
        <f t="shared" si="181"/>
        <v>0</v>
      </c>
      <c r="CS201">
        <f t="shared" si="182"/>
        <v>0</v>
      </c>
      <c r="CT201">
        <f t="shared" si="183"/>
        <v>532.25549999999998</v>
      </c>
      <c r="CU201">
        <f t="shared" si="184"/>
        <v>0</v>
      </c>
      <c r="CV201">
        <f t="shared" si="185"/>
        <v>2.2640000000000002</v>
      </c>
      <c r="CW201">
        <f t="shared" si="186"/>
        <v>0</v>
      </c>
      <c r="CX201">
        <f t="shared" si="187"/>
        <v>0</v>
      </c>
      <c r="CY201">
        <f t="shared" si="188"/>
        <v>16260.406499999999</v>
      </c>
      <c r="CZ201">
        <f t="shared" si="189"/>
        <v>10006.403999999999</v>
      </c>
      <c r="DC201" t="s">
        <v>3</v>
      </c>
      <c r="DD201" t="s">
        <v>3</v>
      </c>
      <c r="DE201" t="s">
        <v>3</v>
      </c>
      <c r="DF201" t="s">
        <v>3</v>
      </c>
      <c r="DG201" t="s">
        <v>58</v>
      </c>
      <c r="DH201" t="s">
        <v>3</v>
      </c>
      <c r="DI201" t="s">
        <v>58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1013</v>
      </c>
      <c r="DV201" t="s">
        <v>550</v>
      </c>
      <c r="DW201" t="s">
        <v>550</v>
      </c>
      <c r="DX201">
        <v>1</v>
      </c>
      <c r="EE201">
        <v>39174428</v>
      </c>
      <c r="EF201">
        <v>4</v>
      </c>
      <c r="EG201" t="s">
        <v>534</v>
      </c>
      <c r="EH201">
        <v>0</v>
      </c>
      <c r="EI201" t="s">
        <v>3</v>
      </c>
      <c r="EJ201">
        <v>4</v>
      </c>
      <c r="EK201">
        <v>200001</v>
      </c>
      <c r="EL201" t="s">
        <v>535</v>
      </c>
      <c r="EM201" t="s">
        <v>536</v>
      </c>
      <c r="EO201" t="s">
        <v>537</v>
      </c>
      <c r="EQ201">
        <v>0</v>
      </c>
      <c r="ER201">
        <v>34.31</v>
      </c>
      <c r="ES201">
        <v>0</v>
      </c>
      <c r="ET201">
        <v>0</v>
      </c>
      <c r="EU201">
        <v>0</v>
      </c>
      <c r="EV201">
        <v>34.31</v>
      </c>
      <c r="EW201">
        <v>2.83</v>
      </c>
      <c r="EX201">
        <v>0</v>
      </c>
      <c r="EY201">
        <v>0</v>
      </c>
      <c r="FQ201">
        <v>0</v>
      </c>
      <c r="FR201">
        <f t="shared" si="190"/>
        <v>0</v>
      </c>
      <c r="FS201">
        <v>0</v>
      </c>
      <c r="FX201">
        <v>65</v>
      </c>
      <c r="FY201">
        <v>40</v>
      </c>
      <c r="GA201" t="s">
        <v>3</v>
      </c>
      <c r="GD201">
        <v>0</v>
      </c>
      <c r="GF201">
        <v>-181593394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191"/>
        <v>0</v>
      </c>
      <c r="GM201">
        <f t="shared" si="192"/>
        <v>51282.82</v>
      </c>
      <c r="GN201">
        <f t="shared" si="193"/>
        <v>0</v>
      </c>
      <c r="GO201">
        <f t="shared" si="194"/>
        <v>0</v>
      </c>
      <c r="GP201">
        <f t="shared" si="195"/>
        <v>51282.82</v>
      </c>
      <c r="GR201">
        <v>0</v>
      </c>
      <c r="GS201">
        <v>3</v>
      </c>
      <c r="GT201">
        <v>0</v>
      </c>
      <c r="GU201" t="s">
        <v>3</v>
      </c>
      <c r="GV201">
        <f t="shared" si="196"/>
        <v>0</v>
      </c>
      <c r="GW201">
        <v>1</v>
      </c>
      <c r="GX201">
        <f t="shared" si="197"/>
        <v>0</v>
      </c>
      <c r="HA201">
        <v>0</v>
      </c>
      <c r="HB201">
        <v>0</v>
      </c>
      <c r="IK201">
        <v>0</v>
      </c>
    </row>
    <row r="203" spans="1:245" x14ac:dyDescent="0.2">
      <c r="A203" s="2">
        <v>51</v>
      </c>
      <c r="B203" s="2">
        <f>B160</f>
        <v>1</v>
      </c>
      <c r="C203" s="2">
        <f>A160</f>
        <v>4</v>
      </c>
      <c r="D203" s="2">
        <f>ROW(A160)</f>
        <v>160</v>
      </c>
      <c r="E203" s="2"/>
      <c r="F203" s="2" t="str">
        <f>IF(F160&lt;&gt;"",F160,"")</f>
        <v>Новый раздел</v>
      </c>
      <c r="G203" s="2" t="str">
        <f>IF(G160&lt;&gt;"",G160,"")</f>
        <v>3 Электромонтажные работы</v>
      </c>
      <c r="H203" s="2">
        <v>0</v>
      </c>
      <c r="I203" s="2"/>
      <c r="J203" s="2"/>
      <c r="K203" s="2"/>
      <c r="L203" s="2"/>
      <c r="M203" s="2"/>
      <c r="N203" s="2"/>
      <c r="O203" s="2">
        <f t="shared" ref="O203:T203" si="204">ROUND(AB203,2)</f>
        <v>858723.99</v>
      </c>
      <c r="P203" s="2">
        <f t="shared" si="204"/>
        <v>771590.43</v>
      </c>
      <c r="Q203" s="2">
        <f t="shared" si="204"/>
        <v>3210.18</v>
      </c>
      <c r="R203" s="2">
        <f t="shared" si="204"/>
        <v>396.72</v>
      </c>
      <c r="S203" s="2">
        <f t="shared" si="204"/>
        <v>83923.38</v>
      </c>
      <c r="T203" s="2">
        <f t="shared" si="204"/>
        <v>0</v>
      </c>
      <c r="U203" s="2">
        <f>AH203</f>
        <v>851.82992000000002</v>
      </c>
      <c r="V203" s="2">
        <f>AI203</f>
        <v>4.7045399999999997</v>
      </c>
      <c r="W203" s="2">
        <f>ROUND(AJ203,2)</f>
        <v>0</v>
      </c>
      <c r="X203" s="2">
        <f>ROUND(AK203,2)</f>
        <v>67554.179999999993</v>
      </c>
      <c r="Y203" s="2">
        <f>ROUND(AL203,2)</f>
        <v>44708.54</v>
      </c>
      <c r="Z203" s="2"/>
      <c r="AA203" s="2"/>
      <c r="AB203" s="2">
        <f>ROUND(SUMIF(AA164:AA201,"=39096431",O164:O201),2)</f>
        <v>858723.99</v>
      </c>
      <c r="AC203" s="2">
        <f>ROUND(SUMIF(AA164:AA201,"=39096431",P164:P201),2)</f>
        <v>771590.43</v>
      </c>
      <c r="AD203" s="2">
        <f>ROUND(SUMIF(AA164:AA201,"=39096431",Q164:Q201),2)</f>
        <v>3210.18</v>
      </c>
      <c r="AE203" s="2">
        <f>ROUND(SUMIF(AA164:AA201,"=39096431",R164:R201),2)</f>
        <v>396.72</v>
      </c>
      <c r="AF203" s="2">
        <f>ROUND(SUMIF(AA164:AA201,"=39096431",S164:S201),2)</f>
        <v>83923.38</v>
      </c>
      <c r="AG203" s="2">
        <f>ROUND(SUMIF(AA164:AA201,"=39096431",T164:T201),2)</f>
        <v>0</v>
      </c>
      <c r="AH203" s="2">
        <f>SUMIF(AA164:AA201,"=39096431",U164:U201)</f>
        <v>851.82992000000002</v>
      </c>
      <c r="AI203" s="2">
        <f>SUMIF(AA164:AA201,"=39096431",V164:V201)</f>
        <v>4.7045399999999997</v>
      </c>
      <c r="AJ203" s="2">
        <f>ROUND(SUMIF(AA164:AA201,"=39096431",W164:W201),2)</f>
        <v>0</v>
      </c>
      <c r="AK203" s="2">
        <f>ROUND(SUMIF(AA164:AA201,"=39096431",X164:X201),2)</f>
        <v>67554.179999999993</v>
      </c>
      <c r="AL203" s="2">
        <f>ROUND(SUMIF(AA164:AA201,"=39096431",Y164:Y201),2)</f>
        <v>44708.54</v>
      </c>
      <c r="AM203" s="2"/>
      <c r="AN203" s="2"/>
      <c r="AO203" s="2">
        <f t="shared" ref="AO203:BC203" si="205">ROUND(BX203,2)</f>
        <v>0</v>
      </c>
      <c r="AP203" s="2">
        <f t="shared" si="205"/>
        <v>0</v>
      </c>
      <c r="AQ203" s="2">
        <f t="shared" si="205"/>
        <v>0</v>
      </c>
      <c r="AR203" s="2">
        <f t="shared" si="205"/>
        <v>970986.71</v>
      </c>
      <c r="AS203" s="2">
        <f t="shared" si="205"/>
        <v>1885.28</v>
      </c>
      <c r="AT203" s="2">
        <f t="shared" si="205"/>
        <v>888962.33</v>
      </c>
      <c r="AU203" s="2">
        <f t="shared" si="205"/>
        <v>80139.100000000006</v>
      </c>
      <c r="AV203" s="2">
        <f t="shared" si="205"/>
        <v>771590.43</v>
      </c>
      <c r="AW203" s="2">
        <f t="shared" si="205"/>
        <v>771590.43</v>
      </c>
      <c r="AX203" s="2">
        <f t="shared" si="205"/>
        <v>0</v>
      </c>
      <c r="AY203" s="2">
        <f t="shared" si="205"/>
        <v>771590.43</v>
      </c>
      <c r="AZ203" s="2">
        <f t="shared" si="205"/>
        <v>0</v>
      </c>
      <c r="BA203" s="2">
        <f t="shared" si="205"/>
        <v>0</v>
      </c>
      <c r="BB203" s="2">
        <f t="shared" si="205"/>
        <v>0</v>
      </c>
      <c r="BC203" s="2">
        <f t="shared" si="205"/>
        <v>0</v>
      </c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>
        <f>ROUND(SUMIF(AA164:AA201,"=39096431",FQ164:FQ201),2)</f>
        <v>0</v>
      </c>
      <c r="BY203" s="2">
        <f>ROUND(SUMIF(AA164:AA201,"=39096431",FR164:FR201),2)</f>
        <v>0</v>
      </c>
      <c r="BZ203" s="2">
        <f>ROUND(SUMIF(AA164:AA201,"=39096431",GL164:GL201),2)</f>
        <v>0</v>
      </c>
      <c r="CA203" s="2">
        <f>ROUND(SUMIF(AA164:AA201,"=39096431",GM164:GM201),2)</f>
        <v>970986.71</v>
      </c>
      <c r="CB203" s="2">
        <f>ROUND(SUMIF(AA164:AA201,"=39096431",GN164:GN201),2)</f>
        <v>1885.28</v>
      </c>
      <c r="CC203" s="2">
        <f>ROUND(SUMIF(AA164:AA201,"=39096431",GO164:GO201),2)</f>
        <v>888962.33</v>
      </c>
      <c r="CD203" s="2">
        <f>ROUND(SUMIF(AA164:AA201,"=39096431",GP164:GP201),2)</f>
        <v>80139.100000000006</v>
      </c>
      <c r="CE203" s="2">
        <f>AC203-BX203</f>
        <v>771590.43</v>
      </c>
      <c r="CF203" s="2">
        <f>AC203-BY203</f>
        <v>771590.43</v>
      </c>
      <c r="CG203" s="2">
        <f>BX203-BZ203</f>
        <v>0</v>
      </c>
      <c r="CH203" s="2">
        <f>AC203-BX203-BY203+BZ203</f>
        <v>771590.43</v>
      </c>
      <c r="CI203" s="2">
        <f>BY203-BZ203</f>
        <v>0</v>
      </c>
      <c r="CJ203" s="2">
        <f>ROUND(SUMIF(AA164:AA201,"=39096431",GX164:GX201),2)</f>
        <v>0</v>
      </c>
      <c r="CK203" s="2">
        <f>ROUND(SUMIF(AA164:AA201,"=39096431",GY164:GY201),2)</f>
        <v>0</v>
      </c>
      <c r="CL203" s="2">
        <f>ROUND(SUMIF(AA164:AA201,"=39096431",GZ164:GZ201),2)</f>
        <v>0</v>
      </c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>
        <v>0</v>
      </c>
    </row>
    <row r="205" spans="1:245" x14ac:dyDescent="0.2">
      <c r="A205" s="4">
        <v>50</v>
      </c>
      <c r="B205" s="4">
        <v>0</v>
      </c>
      <c r="C205" s="4">
        <v>0</v>
      </c>
      <c r="D205" s="4">
        <v>1</v>
      </c>
      <c r="E205" s="4">
        <v>201</v>
      </c>
      <c r="F205" s="4">
        <f>ROUND(Source!O203,O205)</f>
        <v>858723.99</v>
      </c>
      <c r="G205" s="4" t="s">
        <v>280</v>
      </c>
      <c r="H205" s="4" t="s">
        <v>281</v>
      </c>
      <c r="I205" s="4"/>
      <c r="J205" s="4"/>
      <c r="K205" s="4">
        <v>201</v>
      </c>
      <c r="L205" s="4">
        <v>1</v>
      </c>
      <c r="M205" s="4">
        <v>3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45" x14ac:dyDescent="0.2">
      <c r="A206" s="4">
        <v>50</v>
      </c>
      <c r="B206" s="4">
        <v>0</v>
      </c>
      <c r="C206" s="4">
        <v>0</v>
      </c>
      <c r="D206" s="4">
        <v>1</v>
      </c>
      <c r="E206" s="4">
        <v>202</v>
      </c>
      <c r="F206" s="4">
        <f>ROUND(Source!P203,O206)</f>
        <v>771590.43</v>
      </c>
      <c r="G206" s="4" t="s">
        <v>282</v>
      </c>
      <c r="H206" s="4" t="s">
        <v>283</v>
      </c>
      <c r="I206" s="4"/>
      <c r="J206" s="4"/>
      <c r="K206" s="4">
        <v>202</v>
      </c>
      <c r="L206" s="4">
        <v>2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45" x14ac:dyDescent="0.2">
      <c r="A207" s="4">
        <v>50</v>
      </c>
      <c r="B207" s="4">
        <v>0</v>
      </c>
      <c r="C207" s="4">
        <v>0</v>
      </c>
      <c r="D207" s="4">
        <v>1</v>
      </c>
      <c r="E207" s="4">
        <v>222</v>
      </c>
      <c r="F207" s="4">
        <f>ROUND(Source!AO203,O207)</f>
        <v>0</v>
      </c>
      <c r="G207" s="4" t="s">
        <v>284</v>
      </c>
      <c r="H207" s="4" t="s">
        <v>285</v>
      </c>
      <c r="I207" s="4"/>
      <c r="J207" s="4"/>
      <c r="K207" s="4">
        <v>222</v>
      </c>
      <c r="L207" s="4">
        <v>3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45" x14ac:dyDescent="0.2">
      <c r="A208" s="4">
        <v>50</v>
      </c>
      <c r="B208" s="4">
        <v>0</v>
      </c>
      <c r="C208" s="4">
        <v>0</v>
      </c>
      <c r="D208" s="4">
        <v>1</v>
      </c>
      <c r="E208" s="4">
        <v>225</v>
      </c>
      <c r="F208" s="4">
        <f>ROUND(Source!AV203,O208)</f>
        <v>771590.43</v>
      </c>
      <c r="G208" s="4" t="s">
        <v>286</v>
      </c>
      <c r="H208" s="4" t="s">
        <v>287</v>
      </c>
      <c r="I208" s="4"/>
      <c r="J208" s="4"/>
      <c r="K208" s="4">
        <v>225</v>
      </c>
      <c r="L208" s="4">
        <v>4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226</v>
      </c>
      <c r="F209" s="4">
        <f>ROUND(Source!AW203,O209)</f>
        <v>771590.43</v>
      </c>
      <c r="G209" s="4" t="s">
        <v>288</v>
      </c>
      <c r="H209" s="4" t="s">
        <v>289</v>
      </c>
      <c r="I209" s="4"/>
      <c r="J209" s="4"/>
      <c r="K209" s="4">
        <v>226</v>
      </c>
      <c r="L209" s="4">
        <v>5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227</v>
      </c>
      <c r="F210" s="4">
        <f>ROUND(Source!AX203,O210)</f>
        <v>0</v>
      </c>
      <c r="G210" s="4" t="s">
        <v>290</v>
      </c>
      <c r="H210" s="4" t="s">
        <v>291</v>
      </c>
      <c r="I210" s="4"/>
      <c r="J210" s="4"/>
      <c r="K210" s="4">
        <v>227</v>
      </c>
      <c r="L210" s="4">
        <v>6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228</v>
      </c>
      <c r="F211" s="4">
        <f>ROUND(Source!AY203,O211)</f>
        <v>771590.43</v>
      </c>
      <c r="G211" s="4" t="s">
        <v>292</v>
      </c>
      <c r="H211" s="4" t="s">
        <v>293</v>
      </c>
      <c r="I211" s="4"/>
      <c r="J211" s="4"/>
      <c r="K211" s="4">
        <v>228</v>
      </c>
      <c r="L211" s="4">
        <v>7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216</v>
      </c>
      <c r="F212" s="4">
        <f>ROUND(Source!AP203,O212)</f>
        <v>0</v>
      </c>
      <c r="G212" s="4" t="s">
        <v>294</v>
      </c>
      <c r="H212" s="4" t="s">
        <v>295</v>
      </c>
      <c r="I212" s="4"/>
      <c r="J212" s="4"/>
      <c r="K212" s="4">
        <v>216</v>
      </c>
      <c r="L212" s="4">
        <v>8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223</v>
      </c>
      <c r="F213" s="4">
        <f>ROUND(Source!AQ203,O213)</f>
        <v>0</v>
      </c>
      <c r="G213" s="4" t="s">
        <v>296</v>
      </c>
      <c r="H213" s="4" t="s">
        <v>297</v>
      </c>
      <c r="I213" s="4"/>
      <c r="J213" s="4"/>
      <c r="K213" s="4">
        <v>223</v>
      </c>
      <c r="L213" s="4">
        <v>9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229</v>
      </c>
      <c r="F214" s="4">
        <f>ROUND(Source!AZ203,O214)</f>
        <v>0</v>
      </c>
      <c r="G214" s="4" t="s">
        <v>298</v>
      </c>
      <c r="H214" s="4" t="s">
        <v>299</v>
      </c>
      <c r="I214" s="4"/>
      <c r="J214" s="4"/>
      <c r="K214" s="4">
        <v>229</v>
      </c>
      <c r="L214" s="4">
        <v>10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203</v>
      </c>
      <c r="F215" s="4">
        <f>ROUND(Source!Q203,O215)</f>
        <v>3210.18</v>
      </c>
      <c r="G215" s="4" t="s">
        <v>300</v>
      </c>
      <c r="H215" s="4" t="s">
        <v>301</v>
      </c>
      <c r="I215" s="4"/>
      <c r="J215" s="4"/>
      <c r="K215" s="4">
        <v>203</v>
      </c>
      <c r="L215" s="4">
        <v>11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231</v>
      </c>
      <c r="F216" s="4">
        <f>ROUND(Source!BB203,O216)</f>
        <v>0</v>
      </c>
      <c r="G216" s="4" t="s">
        <v>302</v>
      </c>
      <c r="H216" s="4" t="s">
        <v>303</v>
      </c>
      <c r="I216" s="4"/>
      <c r="J216" s="4"/>
      <c r="K216" s="4">
        <v>231</v>
      </c>
      <c r="L216" s="4">
        <v>12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204</v>
      </c>
      <c r="F217" s="4">
        <f>ROUND(Source!R203,O217)</f>
        <v>396.72</v>
      </c>
      <c r="G217" s="4" t="s">
        <v>304</v>
      </c>
      <c r="H217" s="4" t="s">
        <v>305</v>
      </c>
      <c r="I217" s="4"/>
      <c r="J217" s="4"/>
      <c r="K217" s="4">
        <v>204</v>
      </c>
      <c r="L217" s="4">
        <v>13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205</v>
      </c>
      <c r="F218" s="4">
        <f>ROUND(Source!S203,O218)</f>
        <v>83923.38</v>
      </c>
      <c r="G218" s="4" t="s">
        <v>306</v>
      </c>
      <c r="H218" s="4" t="s">
        <v>307</v>
      </c>
      <c r="I218" s="4"/>
      <c r="J218" s="4"/>
      <c r="K218" s="4">
        <v>205</v>
      </c>
      <c r="L218" s="4">
        <v>14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232</v>
      </c>
      <c r="F219" s="4">
        <f>ROUND(Source!BC203,O219)</f>
        <v>0</v>
      </c>
      <c r="G219" s="4" t="s">
        <v>308</v>
      </c>
      <c r="H219" s="4" t="s">
        <v>309</v>
      </c>
      <c r="I219" s="4"/>
      <c r="J219" s="4"/>
      <c r="K219" s="4">
        <v>232</v>
      </c>
      <c r="L219" s="4">
        <v>15</v>
      </c>
      <c r="M219" s="4">
        <v>3</v>
      </c>
      <c r="N219" s="4" t="s">
        <v>3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214</v>
      </c>
      <c r="F220" s="4">
        <f>ROUND(Source!AS203,O220)</f>
        <v>1885.28</v>
      </c>
      <c r="G220" s="4" t="s">
        <v>310</v>
      </c>
      <c r="H220" s="4" t="s">
        <v>311</v>
      </c>
      <c r="I220" s="4"/>
      <c r="J220" s="4"/>
      <c r="K220" s="4">
        <v>214</v>
      </c>
      <c r="L220" s="4">
        <v>16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215</v>
      </c>
      <c r="F221" s="4">
        <f>ROUND(Source!AT203,O221)</f>
        <v>888962.33</v>
      </c>
      <c r="G221" s="4" t="s">
        <v>312</v>
      </c>
      <c r="H221" s="4" t="s">
        <v>313</v>
      </c>
      <c r="I221" s="4"/>
      <c r="J221" s="4"/>
      <c r="K221" s="4">
        <v>215</v>
      </c>
      <c r="L221" s="4">
        <v>17</v>
      </c>
      <c r="M221" s="4">
        <v>3</v>
      </c>
      <c r="N221" s="4" t="s">
        <v>3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217</v>
      </c>
      <c r="F222" s="4">
        <f>ROUND(Source!AU203,O222)</f>
        <v>80139.100000000006</v>
      </c>
      <c r="G222" s="4" t="s">
        <v>314</v>
      </c>
      <c r="H222" s="4" t="s">
        <v>315</v>
      </c>
      <c r="I222" s="4"/>
      <c r="J222" s="4"/>
      <c r="K222" s="4">
        <v>217</v>
      </c>
      <c r="L222" s="4">
        <v>18</v>
      </c>
      <c r="M222" s="4">
        <v>3</v>
      </c>
      <c r="N222" s="4" t="s">
        <v>3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230</v>
      </c>
      <c r="F223" s="4">
        <f>ROUND(Source!BA203,O223)</f>
        <v>0</v>
      </c>
      <c r="G223" s="4" t="s">
        <v>316</v>
      </c>
      <c r="H223" s="4" t="s">
        <v>317</v>
      </c>
      <c r="I223" s="4"/>
      <c r="J223" s="4"/>
      <c r="K223" s="4">
        <v>230</v>
      </c>
      <c r="L223" s="4">
        <v>19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206</v>
      </c>
      <c r="F224" s="4">
        <f>ROUND(Source!T203,O224)</f>
        <v>0</v>
      </c>
      <c r="G224" s="4" t="s">
        <v>318</v>
      </c>
      <c r="H224" s="4" t="s">
        <v>319</v>
      </c>
      <c r="I224" s="4"/>
      <c r="J224" s="4"/>
      <c r="K224" s="4">
        <v>206</v>
      </c>
      <c r="L224" s="4">
        <v>20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45" x14ac:dyDescent="0.2">
      <c r="A225" s="4">
        <v>50</v>
      </c>
      <c r="B225" s="4">
        <v>0</v>
      </c>
      <c r="C225" s="4">
        <v>0</v>
      </c>
      <c r="D225" s="4">
        <v>1</v>
      </c>
      <c r="E225" s="4">
        <v>207</v>
      </c>
      <c r="F225" s="4">
        <f>Source!U203</f>
        <v>851.82992000000002</v>
      </c>
      <c r="G225" s="4" t="s">
        <v>320</v>
      </c>
      <c r="H225" s="4" t="s">
        <v>321</v>
      </c>
      <c r="I225" s="4"/>
      <c r="J225" s="4"/>
      <c r="K225" s="4">
        <v>207</v>
      </c>
      <c r="L225" s="4">
        <v>21</v>
      </c>
      <c r="M225" s="4">
        <v>3</v>
      </c>
      <c r="N225" s="4" t="s">
        <v>3</v>
      </c>
      <c r="O225" s="4">
        <v>-1</v>
      </c>
      <c r="P225" s="4"/>
      <c r="Q225" s="4"/>
      <c r="R225" s="4"/>
      <c r="S225" s="4"/>
      <c r="T225" s="4"/>
      <c r="U225" s="4"/>
      <c r="V225" s="4"/>
      <c r="W225" s="4"/>
    </row>
    <row r="226" spans="1:245" x14ac:dyDescent="0.2">
      <c r="A226" s="4">
        <v>50</v>
      </c>
      <c r="B226" s="4">
        <v>0</v>
      </c>
      <c r="C226" s="4">
        <v>0</v>
      </c>
      <c r="D226" s="4">
        <v>1</v>
      </c>
      <c r="E226" s="4">
        <v>208</v>
      </c>
      <c r="F226" s="4">
        <f>Source!V203</f>
        <v>4.7045399999999997</v>
      </c>
      <c r="G226" s="4" t="s">
        <v>322</v>
      </c>
      <c r="H226" s="4" t="s">
        <v>323</v>
      </c>
      <c r="I226" s="4"/>
      <c r="J226" s="4"/>
      <c r="K226" s="4">
        <v>208</v>
      </c>
      <c r="L226" s="4">
        <v>22</v>
      </c>
      <c r="M226" s="4">
        <v>3</v>
      </c>
      <c r="N226" s="4" t="s">
        <v>3</v>
      </c>
      <c r="O226" s="4">
        <v>-1</v>
      </c>
      <c r="P226" s="4"/>
      <c r="Q226" s="4"/>
      <c r="R226" s="4"/>
      <c r="S226" s="4"/>
      <c r="T226" s="4"/>
      <c r="U226" s="4"/>
      <c r="V226" s="4"/>
      <c r="W226" s="4"/>
    </row>
    <row r="227" spans="1:245" x14ac:dyDescent="0.2">
      <c r="A227" s="4">
        <v>50</v>
      </c>
      <c r="B227" s="4">
        <v>0</v>
      </c>
      <c r="C227" s="4">
        <v>0</v>
      </c>
      <c r="D227" s="4">
        <v>1</v>
      </c>
      <c r="E227" s="4">
        <v>209</v>
      </c>
      <c r="F227" s="4">
        <f>ROUND(Source!W203,O227)</f>
        <v>0</v>
      </c>
      <c r="G227" s="4" t="s">
        <v>324</v>
      </c>
      <c r="H227" s="4" t="s">
        <v>325</v>
      </c>
      <c r="I227" s="4"/>
      <c r="J227" s="4"/>
      <c r="K227" s="4">
        <v>209</v>
      </c>
      <c r="L227" s="4">
        <v>23</v>
      </c>
      <c r="M227" s="4">
        <v>3</v>
      </c>
      <c r="N227" s="4" t="s">
        <v>3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45" x14ac:dyDescent="0.2">
      <c r="A228" s="4">
        <v>50</v>
      </c>
      <c r="B228" s="4">
        <v>0</v>
      </c>
      <c r="C228" s="4">
        <v>0</v>
      </c>
      <c r="D228" s="4">
        <v>1</v>
      </c>
      <c r="E228" s="4">
        <v>210</v>
      </c>
      <c r="F228" s="4">
        <f>ROUND(Source!X203,O228)</f>
        <v>67554.179999999993</v>
      </c>
      <c r="G228" s="4" t="s">
        <v>326</v>
      </c>
      <c r="H228" s="4" t="s">
        <v>327</v>
      </c>
      <c r="I228" s="4"/>
      <c r="J228" s="4"/>
      <c r="K228" s="4">
        <v>210</v>
      </c>
      <c r="L228" s="4">
        <v>24</v>
      </c>
      <c r="M228" s="4">
        <v>3</v>
      </c>
      <c r="N228" s="4" t="s">
        <v>3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45" x14ac:dyDescent="0.2">
      <c r="A229" s="4">
        <v>50</v>
      </c>
      <c r="B229" s="4">
        <v>0</v>
      </c>
      <c r="C229" s="4">
        <v>0</v>
      </c>
      <c r="D229" s="4">
        <v>1</v>
      </c>
      <c r="E229" s="4">
        <v>211</v>
      </c>
      <c r="F229" s="4">
        <f>ROUND(Source!Y203,O229)</f>
        <v>44708.54</v>
      </c>
      <c r="G229" s="4" t="s">
        <v>328</v>
      </c>
      <c r="H229" s="4" t="s">
        <v>329</v>
      </c>
      <c r="I229" s="4"/>
      <c r="J229" s="4"/>
      <c r="K229" s="4">
        <v>211</v>
      </c>
      <c r="L229" s="4">
        <v>25</v>
      </c>
      <c r="M229" s="4">
        <v>3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45" x14ac:dyDescent="0.2">
      <c r="A230" s="4">
        <v>50</v>
      </c>
      <c r="B230" s="4">
        <v>0</v>
      </c>
      <c r="C230" s="4">
        <v>0</v>
      </c>
      <c r="D230" s="4">
        <v>1</v>
      </c>
      <c r="E230" s="4">
        <v>224</v>
      </c>
      <c r="F230" s="4">
        <f>ROUND(Source!AR203,O230)</f>
        <v>970986.71</v>
      </c>
      <c r="G230" s="4" t="s">
        <v>330</v>
      </c>
      <c r="H230" s="4" t="s">
        <v>331</v>
      </c>
      <c r="I230" s="4"/>
      <c r="J230" s="4"/>
      <c r="K230" s="4">
        <v>224</v>
      </c>
      <c r="L230" s="4">
        <v>26</v>
      </c>
      <c r="M230" s="4">
        <v>3</v>
      </c>
      <c r="N230" s="4" t="s">
        <v>3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45" x14ac:dyDescent="0.2">
      <c r="A231" s="4">
        <v>50</v>
      </c>
      <c r="B231" s="4">
        <v>1</v>
      </c>
      <c r="C231" s="4">
        <v>0</v>
      </c>
      <c r="D231" s="4">
        <v>2</v>
      </c>
      <c r="E231" s="4">
        <v>0</v>
      </c>
      <c r="F231" s="4">
        <f>ROUND(F230,O231)</f>
        <v>970986.71</v>
      </c>
      <c r="G231" s="4" t="s">
        <v>552</v>
      </c>
      <c r="H231" s="4" t="s">
        <v>553</v>
      </c>
      <c r="I231" s="4"/>
      <c r="J231" s="4"/>
      <c r="K231" s="4">
        <v>212</v>
      </c>
      <c r="L231" s="4">
        <v>27</v>
      </c>
      <c r="M231" s="4">
        <v>0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45" x14ac:dyDescent="0.2">
      <c r="A232" s="4">
        <v>50</v>
      </c>
      <c r="B232" s="4">
        <v>1</v>
      </c>
      <c r="C232" s="4">
        <v>0</v>
      </c>
      <c r="D232" s="4">
        <v>2</v>
      </c>
      <c r="E232" s="4">
        <v>0</v>
      </c>
      <c r="F232" s="4">
        <f>ROUND(F231*0.18,O232)</f>
        <v>174777.61</v>
      </c>
      <c r="G232" s="4" t="s">
        <v>554</v>
      </c>
      <c r="H232" s="4" t="s">
        <v>555</v>
      </c>
      <c r="I232" s="4"/>
      <c r="J232" s="4"/>
      <c r="K232" s="4">
        <v>212</v>
      </c>
      <c r="L232" s="4">
        <v>28</v>
      </c>
      <c r="M232" s="4">
        <v>0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45" x14ac:dyDescent="0.2">
      <c r="A233" s="4">
        <v>50</v>
      </c>
      <c r="B233" s="4">
        <v>1</v>
      </c>
      <c r="C233" s="4">
        <v>0</v>
      </c>
      <c r="D233" s="4">
        <v>2</v>
      </c>
      <c r="E233" s="4">
        <v>213</v>
      </c>
      <c r="F233" s="4">
        <f>ROUND(F231+F232,O233)</f>
        <v>1145764.32</v>
      </c>
      <c r="G233" s="4" t="s">
        <v>556</v>
      </c>
      <c r="H233" s="4" t="s">
        <v>330</v>
      </c>
      <c r="I233" s="4"/>
      <c r="J233" s="4"/>
      <c r="K233" s="4">
        <v>212</v>
      </c>
      <c r="L233" s="4">
        <v>29</v>
      </c>
      <c r="M233" s="4">
        <v>0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5" spans="1:245" x14ac:dyDescent="0.2">
      <c r="A235" s="1">
        <v>4</v>
      </c>
      <c r="B235" s="1">
        <v>1</v>
      </c>
      <c r="C235" s="1"/>
      <c r="D235" s="1">
        <f>ROW(A250)</f>
        <v>250</v>
      </c>
      <c r="E235" s="1"/>
      <c r="F235" s="1" t="s">
        <v>12</v>
      </c>
      <c r="G235" s="1" t="s">
        <v>557</v>
      </c>
      <c r="H235" s="1" t="s">
        <v>3</v>
      </c>
      <c r="I235" s="1">
        <v>0</v>
      </c>
      <c r="J235" s="1"/>
      <c r="K235" s="1">
        <v>-1</v>
      </c>
      <c r="L235" s="1"/>
      <c r="M235" s="1"/>
      <c r="N235" s="1"/>
      <c r="O235" s="1"/>
      <c r="P235" s="1"/>
      <c r="Q235" s="1"/>
      <c r="R235" s="1"/>
      <c r="S235" s="1"/>
      <c r="T235" s="1"/>
      <c r="U235" s="1" t="s">
        <v>3</v>
      </c>
      <c r="V235" s="1">
        <v>0</v>
      </c>
      <c r="W235" s="1"/>
      <c r="X235" s="1"/>
      <c r="Y235" s="1"/>
      <c r="Z235" s="1"/>
      <c r="AA235" s="1"/>
      <c r="AB235" s="1" t="s">
        <v>3</v>
      </c>
      <c r="AC235" s="1" t="s">
        <v>3</v>
      </c>
      <c r="AD235" s="1" t="s">
        <v>3</v>
      </c>
      <c r="AE235" s="1" t="s">
        <v>3</v>
      </c>
      <c r="AF235" s="1" t="s">
        <v>3</v>
      </c>
      <c r="AG235" s="1" t="s">
        <v>3</v>
      </c>
      <c r="AH235" s="1"/>
      <c r="AI235" s="1"/>
      <c r="AJ235" s="1"/>
      <c r="AK235" s="1"/>
      <c r="AL235" s="1"/>
      <c r="AM235" s="1"/>
      <c r="AN235" s="1"/>
      <c r="AO235" s="1"/>
      <c r="AP235" s="1" t="s">
        <v>3</v>
      </c>
      <c r="AQ235" s="1" t="s">
        <v>3</v>
      </c>
      <c r="AR235" s="1" t="s">
        <v>3</v>
      </c>
      <c r="AS235" s="1"/>
      <c r="AT235" s="1"/>
      <c r="AU235" s="1"/>
      <c r="AV235" s="1"/>
      <c r="AW235" s="1"/>
      <c r="AX235" s="1"/>
      <c r="AY235" s="1"/>
      <c r="AZ235" s="1" t="s">
        <v>3</v>
      </c>
      <c r="BA235" s="1"/>
      <c r="BB235" s="1" t="s">
        <v>3</v>
      </c>
      <c r="BC235" s="1" t="s">
        <v>3</v>
      </c>
      <c r="BD235" s="1" t="s">
        <v>3</v>
      </c>
      <c r="BE235" s="1" t="s">
        <v>3</v>
      </c>
      <c r="BF235" s="1" t="s">
        <v>3</v>
      </c>
      <c r="BG235" s="1" t="s">
        <v>3</v>
      </c>
      <c r="BH235" s="1" t="s">
        <v>3</v>
      </c>
      <c r="BI235" s="1" t="s">
        <v>3</v>
      </c>
      <c r="BJ235" s="1" t="s">
        <v>3</v>
      </c>
      <c r="BK235" s="1" t="s">
        <v>3</v>
      </c>
      <c r="BL235" s="1" t="s">
        <v>3</v>
      </c>
      <c r="BM235" s="1" t="s">
        <v>3</v>
      </c>
      <c r="BN235" s="1" t="s">
        <v>3</v>
      </c>
      <c r="BO235" s="1" t="s">
        <v>3</v>
      </c>
      <c r="BP235" s="1" t="s">
        <v>3</v>
      </c>
      <c r="BQ235" s="1"/>
      <c r="BR235" s="1"/>
      <c r="BS235" s="1"/>
      <c r="BT235" s="1"/>
      <c r="BU235" s="1"/>
      <c r="BV235" s="1"/>
      <c r="BW235" s="1"/>
      <c r="BX235" s="1">
        <v>0</v>
      </c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>
        <v>0</v>
      </c>
    </row>
    <row r="237" spans="1:245" x14ac:dyDescent="0.2">
      <c r="A237" s="2">
        <v>52</v>
      </c>
      <c r="B237" s="2">
        <f t="shared" ref="B237:G237" si="206">B250</f>
        <v>1</v>
      </c>
      <c r="C237" s="2">
        <f t="shared" si="206"/>
        <v>4</v>
      </c>
      <c r="D237" s="2">
        <f t="shared" si="206"/>
        <v>235</v>
      </c>
      <c r="E237" s="2">
        <f t="shared" si="206"/>
        <v>0</v>
      </c>
      <c r="F237" s="2" t="str">
        <f t="shared" si="206"/>
        <v>Новый раздел</v>
      </c>
      <c r="G237" s="2" t="str">
        <f t="shared" si="206"/>
        <v>4 АПС</v>
      </c>
      <c r="H237" s="2"/>
      <c r="I237" s="2"/>
      <c r="J237" s="2"/>
      <c r="K237" s="2"/>
      <c r="L237" s="2"/>
      <c r="M237" s="2"/>
      <c r="N237" s="2"/>
      <c r="O237" s="2">
        <f t="shared" ref="O237:AT237" si="207">O250</f>
        <v>29100</v>
      </c>
      <c r="P237" s="2">
        <f t="shared" si="207"/>
        <v>24074.61</v>
      </c>
      <c r="Q237" s="2">
        <f t="shared" si="207"/>
        <v>18.100000000000001</v>
      </c>
      <c r="R237" s="2">
        <f t="shared" si="207"/>
        <v>2.5499999999999998</v>
      </c>
      <c r="S237" s="2">
        <f t="shared" si="207"/>
        <v>5007.29</v>
      </c>
      <c r="T237" s="2">
        <f t="shared" si="207"/>
        <v>0</v>
      </c>
      <c r="U237" s="2">
        <f t="shared" si="207"/>
        <v>77.584400000000016</v>
      </c>
      <c r="V237" s="2">
        <f t="shared" si="207"/>
        <v>3.04E-2</v>
      </c>
      <c r="W237" s="2">
        <f t="shared" si="207"/>
        <v>0</v>
      </c>
      <c r="X237" s="2">
        <f t="shared" si="207"/>
        <v>4128.47</v>
      </c>
      <c r="Y237" s="2">
        <f t="shared" si="207"/>
        <v>3046.1</v>
      </c>
      <c r="Z237" s="2">
        <f t="shared" si="207"/>
        <v>0</v>
      </c>
      <c r="AA237" s="2">
        <f t="shared" si="207"/>
        <v>0</v>
      </c>
      <c r="AB237" s="2">
        <f t="shared" si="207"/>
        <v>29100</v>
      </c>
      <c r="AC237" s="2">
        <f t="shared" si="207"/>
        <v>24074.61</v>
      </c>
      <c r="AD237" s="2">
        <f t="shared" si="207"/>
        <v>18.100000000000001</v>
      </c>
      <c r="AE237" s="2">
        <f t="shared" si="207"/>
        <v>2.5499999999999998</v>
      </c>
      <c r="AF237" s="2">
        <f t="shared" si="207"/>
        <v>5007.29</v>
      </c>
      <c r="AG237" s="2">
        <f t="shared" si="207"/>
        <v>0</v>
      </c>
      <c r="AH237" s="2">
        <f t="shared" si="207"/>
        <v>77.584400000000016</v>
      </c>
      <c r="AI237" s="2">
        <f t="shared" si="207"/>
        <v>3.04E-2</v>
      </c>
      <c r="AJ237" s="2">
        <f t="shared" si="207"/>
        <v>0</v>
      </c>
      <c r="AK237" s="2">
        <f t="shared" si="207"/>
        <v>4128.47</v>
      </c>
      <c r="AL237" s="2">
        <f t="shared" si="207"/>
        <v>3046.1</v>
      </c>
      <c r="AM237" s="2">
        <f t="shared" si="207"/>
        <v>0</v>
      </c>
      <c r="AN237" s="2">
        <f t="shared" si="207"/>
        <v>0</v>
      </c>
      <c r="AO237" s="2">
        <f t="shared" si="207"/>
        <v>0</v>
      </c>
      <c r="AP237" s="2">
        <f t="shared" si="207"/>
        <v>0</v>
      </c>
      <c r="AQ237" s="2">
        <f t="shared" si="207"/>
        <v>0</v>
      </c>
      <c r="AR237" s="2">
        <f t="shared" si="207"/>
        <v>36274.57</v>
      </c>
      <c r="AS237" s="2">
        <f t="shared" si="207"/>
        <v>0</v>
      </c>
      <c r="AT237" s="2">
        <f t="shared" si="207"/>
        <v>36274.57</v>
      </c>
      <c r="AU237" s="2">
        <f t="shared" ref="AU237:BZ237" si="208">AU250</f>
        <v>0</v>
      </c>
      <c r="AV237" s="2">
        <f t="shared" si="208"/>
        <v>24074.61</v>
      </c>
      <c r="AW237" s="2">
        <f t="shared" si="208"/>
        <v>24074.61</v>
      </c>
      <c r="AX237" s="2">
        <f t="shared" si="208"/>
        <v>0</v>
      </c>
      <c r="AY237" s="2">
        <f t="shared" si="208"/>
        <v>24074.61</v>
      </c>
      <c r="AZ237" s="2">
        <f t="shared" si="208"/>
        <v>0</v>
      </c>
      <c r="BA237" s="2">
        <f t="shared" si="208"/>
        <v>0</v>
      </c>
      <c r="BB237" s="2">
        <f t="shared" si="208"/>
        <v>0</v>
      </c>
      <c r="BC237" s="2">
        <f t="shared" si="208"/>
        <v>0</v>
      </c>
      <c r="BD237" s="2">
        <f t="shared" si="208"/>
        <v>0</v>
      </c>
      <c r="BE237" s="2">
        <f t="shared" si="208"/>
        <v>0</v>
      </c>
      <c r="BF237" s="2">
        <f t="shared" si="208"/>
        <v>0</v>
      </c>
      <c r="BG237" s="2">
        <f t="shared" si="208"/>
        <v>0</v>
      </c>
      <c r="BH237" s="2">
        <f t="shared" si="208"/>
        <v>0</v>
      </c>
      <c r="BI237" s="2">
        <f t="shared" si="208"/>
        <v>0</v>
      </c>
      <c r="BJ237" s="2">
        <f t="shared" si="208"/>
        <v>0</v>
      </c>
      <c r="BK237" s="2">
        <f t="shared" si="208"/>
        <v>0</v>
      </c>
      <c r="BL237" s="2">
        <f t="shared" si="208"/>
        <v>0</v>
      </c>
      <c r="BM237" s="2">
        <f t="shared" si="208"/>
        <v>0</v>
      </c>
      <c r="BN237" s="2">
        <f t="shared" si="208"/>
        <v>0</v>
      </c>
      <c r="BO237" s="2">
        <f t="shared" si="208"/>
        <v>0</v>
      </c>
      <c r="BP237" s="2">
        <f t="shared" si="208"/>
        <v>0</v>
      </c>
      <c r="BQ237" s="2">
        <f t="shared" si="208"/>
        <v>0</v>
      </c>
      <c r="BR237" s="2">
        <f t="shared" si="208"/>
        <v>0</v>
      </c>
      <c r="BS237" s="2">
        <f t="shared" si="208"/>
        <v>0</v>
      </c>
      <c r="BT237" s="2">
        <f t="shared" si="208"/>
        <v>0</v>
      </c>
      <c r="BU237" s="2">
        <f t="shared" si="208"/>
        <v>0</v>
      </c>
      <c r="BV237" s="2">
        <f t="shared" si="208"/>
        <v>0</v>
      </c>
      <c r="BW237" s="2">
        <f t="shared" si="208"/>
        <v>0</v>
      </c>
      <c r="BX237" s="2">
        <f t="shared" si="208"/>
        <v>0</v>
      </c>
      <c r="BY237" s="2">
        <f t="shared" si="208"/>
        <v>0</v>
      </c>
      <c r="BZ237" s="2">
        <f t="shared" si="208"/>
        <v>0</v>
      </c>
      <c r="CA237" s="2">
        <f t="shared" ref="CA237:DF237" si="209">CA250</f>
        <v>36274.57</v>
      </c>
      <c r="CB237" s="2">
        <f t="shared" si="209"/>
        <v>0</v>
      </c>
      <c r="CC237" s="2">
        <f t="shared" si="209"/>
        <v>36274.57</v>
      </c>
      <c r="CD237" s="2">
        <f t="shared" si="209"/>
        <v>0</v>
      </c>
      <c r="CE237" s="2">
        <f t="shared" si="209"/>
        <v>24074.61</v>
      </c>
      <c r="CF237" s="2">
        <f t="shared" si="209"/>
        <v>24074.61</v>
      </c>
      <c r="CG237" s="2">
        <f t="shared" si="209"/>
        <v>0</v>
      </c>
      <c r="CH237" s="2">
        <f t="shared" si="209"/>
        <v>24074.61</v>
      </c>
      <c r="CI237" s="2">
        <f t="shared" si="209"/>
        <v>0</v>
      </c>
      <c r="CJ237" s="2">
        <f t="shared" si="209"/>
        <v>0</v>
      </c>
      <c r="CK237" s="2">
        <f t="shared" si="209"/>
        <v>0</v>
      </c>
      <c r="CL237" s="2">
        <f t="shared" si="209"/>
        <v>0</v>
      </c>
      <c r="CM237" s="2">
        <f t="shared" si="209"/>
        <v>0</v>
      </c>
      <c r="CN237" s="2">
        <f t="shared" si="209"/>
        <v>0</v>
      </c>
      <c r="CO237" s="2">
        <f t="shared" si="209"/>
        <v>0</v>
      </c>
      <c r="CP237" s="2">
        <f t="shared" si="209"/>
        <v>0</v>
      </c>
      <c r="CQ237" s="2">
        <f t="shared" si="209"/>
        <v>0</v>
      </c>
      <c r="CR237" s="2">
        <f t="shared" si="209"/>
        <v>0</v>
      </c>
      <c r="CS237" s="2">
        <f t="shared" si="209"/>
        <v>0</v>
      </c>
      <c r="CT237" s="2">
        <f t="shared" si="209"/>
        <v>0</v>
      </c>
      <c r="CU237" s="2">
        <f t="shared" si="209"/>
        <v>0</v>
      </c>
      <c r="CV237" s="2">
        <f t="shared" si="209"/>
        <v>0</v>
      </c>
      <c r="CW237" s="2">
        <f t="shared" si="209"/>
        <v>0</v>
      </c>
      <c r="CX237" s="2">
        <f t="shared" si="209"/>
        <v>0</v>
      </c>
      <c r="CY237" s="2">
        <f t="shared" si="209"/>
        <v>0</v>
      </c>
      <c r="CZ237" s="2">
        <f t="shared" si="209"/>
        <v>0</v>
      </c>
      <c r="DA237" s="2">
        <f t="shared" si="209"/>
        <v>0</v>
      </c>
      <c r="DB237" s="2">
        <f t="shared" si="209"/>
        <v>0</v>
      </c>
      <c r="DC237" s="2">
        <f t="shared" si="209"/>
        <v>0</v>
      </c>
      <c r="DD237" s="2">
        <f t="shared" si="209"/>
        <v>0</v>
      </c>
      <c r="DE237" s="2">
        <f t="shared" si="209"/>
        <v>0</v>
      </c>
      <c r="DF237" s="2">
        <f t="shared" si="209"/>
        <v>0</v>
      </c>
      <c r="DG237" s="3">
        <f t="shared" ref="DG237:EL237" si="210">DG250</f>
        <v>0</v>
      </c>
      <c r="DH237" s="3">
        <f t="shared" si="210"/>
        <v>0</v>
      </c>
      <c r="DI237" s="3">
        <f t="shared" si="210"/>
        <v>0</v>
      </c>
      <c r="DJ237" s="3">
        <f t="shared" si="210"/>
        <v>0</v>
      </c>
      <c r="DK237" s="3">
        <f t="shared" si="210"/>
        <v>0</v>
      </c>
      <c r="DL237" s="3">
        <f t="shared" si="210"/>
        <v>0</v>
      </c>
      <c r="DM237" s="3">
        <f t="shared" si="210"/>
        <v>0</v>
      </c>
      <c r="DN237" s="3">
        <f t="shared" si="210"/>
        <v>0</v>
      </c>
      <c r="DO237" s="3">
        <f t="shared" si="210"/>
        <v>0</v>
      </c>
      <c r="DP237" s="3">
        <f t="shared" si="210"/>
        <v>0</v>
      </c>
      <c r="DQ237" s="3">
        <f t="shared" si="210"/>
        <v>0</v>
      </c>
      <c r="DR237" s="3">
        <f t="shared" si="210"/>
        <v>0</v>
      </c>
      <c r="DS237" s="3">
        <f t="shared" si="210"/>
        <v>0</v>
      </c>
      <c r="DT237" s="3">
        <f t="shared" si="210"/>
        <v>0</v>
      </c>
      <c r="DU237" s="3">
        <f t="shared" si="210"/>
        <v>0</v>
      </c>
      <c r="DV237" s="3">
        <f t="shared" si="210"/>
        <v>0</v>
      </c>
      <c r="DW237" s="3">
        <f t="shared" si="210"/>
        <v>0</v>
      </c>
      <c r="DX237" s="3">
        <f t="shared" si="210"/>
        <v>0</v>
      </c>
      <c r="DY237" s="3">
        <f t="shared" si="210"/>
        <v>0</v>
      </c>
      <c r="DZ237" s="3">
        <f t="shared" si="210"/>
        <v>0</v>
      </c>
      <c r="EA237" s="3">
        <f t="shared" si="210"/>
        <v>0</v>
      </c>
      <c r="EB237" s="3">
        <f t="shared" si="210"/>
        <v>0</v>
      </c>
      <c r="EC237" s="3">
        <f t="shared" si="210"/>
        <v>0</v>
      </c>
      <c r="ED237" s="3">
        <f t="shared" si="210"/>
        <v>0</v>
      </c>
      <c r="EE237" s="3">
        <f t="shared" si="210"/>
        <v>0</v>
      </c>
      <c r="EF237" s="3">
        <f t="shared" si="210"/>
        <v>0</v>
      </c>
      <c r="EG237" s="3">
        <f t="shared" si="210"/>
        <v>0</v>
      </c>
      <c r="EH237" s="3">
        <f t="shared" si="210"/>
        <v>0</v>
      </c>
      <c r="EI237" s="3">
        <f t="shared" si="210"/>
        <v>0</v>
      </c>
      <c r="EJ237" s="3">
        <f t="shared" si="210"/>
        <v>0</v>
      </c>
      <c r="EK237" s="3">
        <f t="shared" si="210"/>
        <v>0</v>
      </c>
      <c r="EL237" s="3">
        <f t="shared" si="210"/>
        <v>0</v>
      </c>
      <c r="EM237" s="3">
        <f t="shared" ref="EM237:FR237" si="211">EM250</f>
        <v>0</v>
      </c>
      <c r="EN237" s="3">
        <f t="shared" si="211"/>
        <v>0</v>
      </c>
      <c r="EO237" s="3">
        <f t="shared" si="211"/>
        <v>0</v>
      </c>
      <c r="EP237" s="3">
        <f t="shared" si="211"/>
        <v>0</v>
      </c>
      <c r="EQ237" s="3">
        <f t="shared" si="211"/>
        <v>0</v>
      </c>
      <c r="ER237" s="3">
        <f t="shared" si="211"/>
        <v>0</v>
      </c>
      <c r="ES237" s="3">
        <f t="shared" si="211"/>
        <v>0</v>
      </c>
      <c r="ET237" s="3">
        <f t="shared" si="211"/>
        <v>0</v>
      </c>
      <c r="EU237" s="3">
        <f t="shared" si="211"/>
        <v>0</v>
      </c>
      <c r="EV237" s="3">
        <f t="shared" si="211"/>
        <v>0</v>
      </c>
      <c r="EW237" s="3">
        <f t="shared" si="211"/>
        <v>0</v>
      </c>
      <c r="EX237" s="3">
        <f t="shared" si="211"/>
        <v>0</v>
      </c>
      <c r="EY237" s="3">
        <f t="shared" si="211"/>
        <v>0</v>
      </c>
      <c r="EZ237" s="3">
        <f t="shared" si="211"/>
        <v>0</v>
      </c>
      <c r="FA237" s="3">
        <f t="shared" si="211"/>
        <v>0</v>
      </c>
      <c r="FB237" s="3">
        <f t="shared" si="211"/>
        <v>0</v>
      </c>
      <c r="FC237" s="3">
        <f t="shared" si="211"/>
        <v>0</v>
      </c>
      <c r="FD237" s="3">
        <f t="shared" si="211"/>
        <v>0</v>
      </c>
      <c r="FE237" s="3">
        <f t="shared" si="211"/>
        <v>0</v>
      </c>
      <c r="FF237" s="3">
        <f t="shared" si="211"/>
        <v>0</v>
      </c>
      <c r="FG237" s="3">
        <f t="shared" si="211"/>
        <v>0</v>
      </c>
      <c r="FH237" s="3">
        <f t="shared" si="211"/>
        <v>0</v>
      </c>
      <c r="FI237" s="3">
        <f t="shared" si="211"/>
        <v>0</v>
      </c>
      <c r="FJ237" s="3">
        <f t="shared" si="211"/>
        <v>0</v>
      </c>
      <c r="FK237" s="3">
        <f t="shared" si="211"/>
        <v>0</v>
      </c>
      <c r="FL237" s="3">
        <f t="shared" si="211"/>
        <v>0</v>
      </c>
      <c r="FM237" s="3">
        <f t="shared" si="211"/>
        <v>0</v>
      </c>
      <c r="FN237" s="3">
        <f t="shared" si="211"/>
        <v>0</v>
      </c>
      <c r="FO237" s="3">
        <f t="shared" si="211"/>
        <v>0</v>
      </c>
      <c r="FP237" s="3">
        <f t="shared" si="211"/>
        <v>0</v>
      </c>
      <c r="FQ237" s="3">
        <f t="shared" si="211"/>
        <v>0</v>
      </c>
      <c r="FR237" s="3">
        <f t="shared" si="211"/>
        <v>0</v>
      </c>
      <c r="FS237" s="3">
        <f t="shared" ref="FS237:GX237" si="212">FS250</f>
        <v>0</v>
      </c>
      <c r="FT237" s="3">
        <f t="shared" si="212"/>
        <v>0</v>
      </c>
      <c r="FU237" s="3">
        <f t="shared" si="212"/>
        <v>0</v>
      </c>
      <c r="FV237" s="3">
        <f t="shared" si="212"/>
        <v>0</v>
      </c>
      <c r="FW237" s="3">
        <f t="shared" si="212"/>
        <v>0</v>
      </c>
      <c r="FX237" s="3">
        <f t="shared" si="212"/>
        <v>0</v>
      </c>
      <c r="FY237" s="3">
        <f t="shared" si="212"/>
        <v>0</v>
      </c>
      <c r="FZ237" s="3">
        <f t="shared" si="212"/>
        <v>0</v>
      </c>
      <c r="GA237" s="3">
        <f t="shared" si="212"/>
        <v>0</v>
      </c>
      <c r="GB237" s="3">
        <f t="shared" si="212"/>
        <v>0</v>
      </c>
      <c r="GC237" s="3">
        <f t="shared" si="212"/>
        <v>0</v>
      </c>
      <c r="GD237" s="3">
        <f t="shared" si="212"/>
        <v>0</v>
      </c>
      <c r="GE237" s="3">
        <f t="shared" si="212"/>
        <v>0</v>
      </c>
      <c r="GF237" s="3">
        <f t="shared" si="212"/>
        <v>0</v>
      </c>
      <c r="GG237" s="3">
        <f t="shared" si="212"/>
        <v>0</v>
      </c>
      <c r="GH237" s="3">
        <f t="shared" si="212"/>
        <v>0</v>
      </c>
      <c r="GI237" s="3">
        <f t="shared" si="212"/>
        <v>0</v>
      </c>
      <c r="GJ237" s="3">
        <f t="shared" si="212"/>
        <v>0</v>
      </c>
      <c r="GK237" s="3">
        <f t="shared" si="212"/>
        <v>0</v>
      </c>
      <c r="GL237" s="3">
        <f t="shared" si="212"/>
        <v>0</v>
      </c>
      <c r="GM237" s="3">
        <f t="shared" si="212"/>
        <v>0</v>
      </c>
      <c r="GN237" s="3">
        <f t="shared" si="212"/>
        <v>0</v>
      </c>
      <c r="GO237" s="3">
        <f t="shared" si="212"/>
        <v>0</v>
      </c>
      <c r="GP237" s="3">
        <f t="shared" si="212"/>
        <v>0</v>
      </c>
      <c r="GQ237" s="3">
        <f t="shared" si="212"/>
        <v>0</v>
      </c>
      <c r="GR237" s="3">
        <f t="shared" si="212"/>
        <v>0</v>
      </c>
      <c r="GS237" s="3">
        <f t="shared" si="212"/>
        <v>0</v>
      </c>
      <c r="GT237" s="3">
        <f t="shared" si="212"/>
        <v>0</v>
      </c>
      <c r="GU237" s="3">
        <f t="shared" si="212"/>
        <v>0</v>
      </c>
      <c r="GV237" s="3">
        <f t="shared" si="212"/>
        <v>0</v>
      </c>
      <c r="GW237" s="3">
        <f t="shared" si="212"/>
        <v>0</v>
      </c>
      <c r="GX237" s="3">
        <f t="shared" si="212"/>
        <v>0</v>
      </c>
    </row>
    <row r="239" spans="1:245" x14ac:dyDescent="0.2">
      <c r="A239">
        <v>17</v>
      </c>
      <c r="B239">
        <v>1</v>
      </c>
      <c r="C239">
        <f>ROW(SmtRes!A351)</f>
        <v>351</v>
      </c>
      <c r="D239">
        <f>ROW(EtalonRes!A335)</f>
        <v>335</v>
      </c>
      <c r="E239" t="s">
        <v>558</v>
      </c>
      <c r="F239" t="s">
        <v>559</v>
      </c>
      <c r="G239" t="s">
        <v>560</v>
      </c>
      <c r="H239" t="s">
        <v>356</v>
      </c>
      <c r="I239">
        <v>26</v>
      </c>
      <c r="J239">
        <v>0</v>
      </c>
      <c r="O239">
        <f t="shared" ref="O239:O248" si="213">ROUND(CP239,2)</f>
        <v>422.19</v>
      </c>
      <c r="P239">
        <f t="shared" ref="P239:P248" si="214">ROUND(CQ239*I239,2)</f>
        <v>0</v>
      </c>
      <c r="Q239">
        <f t="shared" ref="Q239:Q248" si="215">ROUND(CR239*I239,2)</f>
        <v>0</v>
      </c>
      <c r="R239">
        <f t="shared" ref="R239:R248" si="216">ROUND(CS239*I239,2)</f>
        <v>0</v>
      </c>
      <c r="S239">
        <f t="shared" ref="S239:S248" si="217">ROUND(CT239*I239,2)</f>
        <v>422.19</v>
      </c>
      <c r="T239">
        <f t="shared" ref="T239:T248" si="218">ROUND(CU239*I239,2)</f>
        <v>0</v>
      </c>
      <c r="U239">
        <f t="shared" ref="U239:U248" si="219">CV239*I239</f>
        <v>6.5519999999999996</v>
      </c>
      <c r="V239">
        <f t="shared" ref="V239:V248" si="220">CW239*I239</f>
        <v>0</v>
      </c>
      <c r="W239">
        <f t="shared" ref="W239:W248" si="221">ROUND(CX239*I239,2)</f>
        <v>0</v>
      </c>
      <c r="X239">
        <f t="shared" ref="X239:X248" si="222">ROUND(CY239,2)</f>
        <v>337.75</v>
      </c>
      <c r="Y239">
        <f t="shared" ref="Y239:Y248" si="223">ROUND(CZ239,2)</f>
        <v>253.31</v>
      </c>
      <c r="AA239">
        <v>39096431</v>
      </c>
      <c r="AB239">
        <f t="shared" ref="AB239:AB248" si="224">ROUND((AC239+AD239+AF239),2)</f>
        <v>2.42</v>
      </c>
      <c r="AC239">
        <f>ROUND(((ES239*0)),2)</f>
        <v>0</v>
      </c>
      <c r="AD239">
        <f>ROUND(((((ET239*0.3))-((EU239*0.3)))+AE239),2)</f>
        <v>0</v>
      </c>
      <c r="AE239">
        <f>ROUND(((EU239*0.3)),2)</f>
        <v>0</v>
      </c>
      <c r="AF239">
        <f>ROUND(((EV239*0.3)),2)</f>
        <v>2.42</v>
      </c>
      <c r="AG239">
        <f t="shared" ref="AG239:AG248" si="225">ROUND((AP239),2)</f>
        <v>0</v>
      </c>
      <c r="AH239">
        <f>((EW239*0.3))</f>
        <v>0.252</v>
      </c>
      <c r="AI239">
        <f>((EX239*0.3))</f>
        <v>0</v>
      </c>
      <c r="AJ239">
        <f t="shared" ref="AJ239:AJ248" si="226">ROUND((AS239),2)</f>
        <v>0</v>
      </c>
      <c r="AK239">
        <v>9.36</v>
      </c>
      <c r="AL239">
        <v>1.28</v>
      </c>
      <c r="AM239">
        <v>0</v>
      </c>
      <c r="AN239">
        <v>0</v>
      </c>
      <c r="AO239">
        <v>8.08</v>
      </c>
      <c r="AP239">
        <v>0</v>
      </c>
      <c r="AQ239">
        <v>0.84</v>
      </c>
      <c r="AR239">
        <v>0</v>
      </c>
      <c r="AS239">
        <v>0</v>
      </c>
      <c r="AT239">
        <v>80</v>
      </c>
      <c r="AU239">
        <v>60</v>
      </c>
      <c r="AV239">
        <v>1</v>
      </c>
      <c r="AW239">
        <v>1</v>
      </c>
      <c r="AZ239">
        <v>6.71</v>
      </c>
      <c r="BA239">
        <v>6.71</v>
      </c>
      <c r="BB239">
        <v>6.71</v>
      </c>
      <c r="BC239">
        <v>6.71</v>
      </c>
      <c r="BD239" t="s">
        <v>3</v>
      </c>
      <c r="BE239" t="s">
        <v>3</v>
      </c>
      <c r="BF239" t="s">
        <v>3</v>
      </c>
      <c r="BG239" t="s">
        <v>3</v>
      </c>
      <c r="BH239">
        <v>0</v>
      </c>
      <c r="BI239">
        <v>2</v>
      </c>
      <c r="BJ239" t="s">
        <v>561</v>
      </c>
      <c r="BM239">
        <v>110011</v>
      </c>
      <c r="BN239">
        <v>0</v>
      </c>
      <c r="BO239" t="s">
        <v>3</v>
      </c>
      <c r="BP239">
        <v>0</v>
      </c>
      <c r="BQ239">
        <v>3</v>
      </c>
      <c r="BR239">
        <v>0</v>
      </c>
      <c r="BS239">
        <v>6.71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80</v>
      </c>
      <c r="CA239">
        <v>60</v>
      </c>
      <c r="CF239">
        <v>0</v>
      </c>
      <c r="CG239">
        <v>0</v>
      </c>
      <c r="CM239">
        <v>0</v>
      </c>
      <c r="CN239" t="s">
        <v>971</v>
      </c>
      <c r="CO239">
        <v>0</v>
      </c>
      <c r="CP239">
        <f t="shared" ref="CP239:CP248" si="227">(P239+Q239+S239)</f>
        <v>422.19</v>
      </c>
      <c r="CQ239">
        <f t="shared" ref="CQ239:CQ248" si="228">AC239*BC239</f>
        <v>0</v>
      </c>
      <c r="CR239">
        <f t="shared" ref="CR239:CR248" si="229">AD239*BB239</f>
        <v>0</v>
      </c>
      <c r="CS239">
        <f t="shared" ref="CS239:CS248" si="230">AE239*BS239</f>
        <v>0</v>
      </c>
      <c r="CT239">
        <f t="shared" ref="CT239:CT248" si="231">AF239*BA239</f>
        <v>16.238199999999999</v>
      </c>
      <c r="CU239">
        <f t="shared" ref="CU239:CU248" si="232">AG239</f>
        <v>0</v>
      </c>
      <c r="CV239">
        <f t="shared" ref="CV239:CV248" si="233">AH239</f>
        <v>0.252</v>
      </c>
      <c r="CW239">
        <f t="shared" ref="CW239:CW248" si="234">AI239</f>
        <v>0</v>
      </c>
      <c r="CX239">
        <f t="shared" ref="CX239:CX248" si="235">AJ239</f>
        <v>0</v>
      </c>
      <c r="CY239">
        <f t="shared" ref="CY239:CY248" si="236">(((S239+R239)*AT239)/100)</f>
        <v>337.75199999999995</v>
      </c>
      <c r="CZ239">
        <f t="shared" ref="CZ239:CZ248" si="237">(((S239+R239)*AU239)/100)</f>
        <v>253.31400000000002</v>
      </c>
      <c r="DC239" t="s">
        <v>3</v>
      </c>
      <c r="DD239" t="s">
        <v>57</v>
      </c>
      <c r="DE239" t="s">
        <v>390</v>
      </c>
      <c r="DF239" t="s">
        <v>390</v>
      </c>
      <c r="DG239" t="s">
        <v>390</v>
      </c>
      <c r="DH239" t="s">
        <v>3</v>
      </c>
      <c r="DI239" t="s">
        <v>390</v>
      </c>
      <c r="DJ239" t="s">
        <v>390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356</v>
      </c>
      <c r="DW239" t="s">
        <v>356</v>
      </c>
      <c r="DX239">
        <v>1</v>
      </c>
      <c r="EE239">
        <v>39174433</v>
      </c>
      <c r="EF239">
        <v>3</v>
      </c>
      <c r="EG239" t="s">
        <v>391</v>
      </c>
      <c r="EH239">
        <v>0</v>
      </c>
      <c r="EI239" t="s">
        <v>3</v>
      </c>
      <c r="EJ239">
        <v>2</v>
      </c>
      <c r="EK239">
        <v>110011</v>
      </c>
      <c r="EL239" t="s">
        <v>431</v>
      </c>
      <c r="EM239" t="s">
        <v>432</v>
      </c>
      <c r="EO239" t="s">
        <v>394</v>
      </c>
      <c r="EQ239">
        <v>0</v>
      </c>
      <c r="ER239">
        <v>9.36</v>
      </c>
      <c r="ES239">
        <v>1.28</v>
      </c>
      <c r="ET239">
        <v>0</v>
      </c>
      <c r="EU239">
        <v>0</v>
      </c>
      <c r="EV239">
        <v>8.08</v>
      </c>
      <c r="EW239">
        <v>0.84</v>
      </c>
      <c r="EX239">
        <v>0</v>
      </c>
      <c r="EY239">
        <v>0</v>
      </c>
      <c r="FQ239">
        <v>0</v>
      </c>
      <c r="FR239">
        <f t="shared" ref="FR239:FR248" si="238">ROUND(IF(AND(BH239=3,BI239=3),P239,0),2)</f>
        <v>0</v>
      </c>
      <c r="FS239">
        <v>0</v>
      </c>
      <c r="FX239">
        <v>80</v>
      </c>
      <c r="FY239">
        <v>60</v>
      </c>
      <c r="GA239" t="s">
        <v>3</v>
      </c>
      <c r="GD239">
        <v>0</v>
      </c>
      <c r="GF239">
        <v>-364108998</v>
      </c>
      <c r="GG239">
        <v>1</v>
      </c>
      <c r="GH239">
        <v>1</v>
      </c>
      <c r="GI239">
        <v>4</v>
      </c>
      <c r="GJ239">
        <v>0</v>
      </c>
      <c r="GK239">
        <f>ROUND(R239*(R12)/100,2)</f>
        <v>0</v>
      </c>
      <c r="GL239">
        <f t="shared" ref="GL239:GL248" si="239">ROUND(IF(AND(BH239=3,BI239=3,FS239&lt;&gt;0),P239,0),2)</f>
        <v>0</v>
      </c>
      <c r="GM239">
        <f t="shared" ref="GM239:GM248" si="240">ROUND(O239+X239+Y239+GK239,2)+GX239</f>
        <v>1013.25</v>
      </c>
      <c r="GN239">
        <f t="shared" ref="GN239:GN248" si="241">IF(OR(BI239=0,BI239=1),ROUND(O239+X239+Y239+GK239,2),0)</f>
        <v>0</v>
      </c>
      <c r="GO239">
        <f t="shared" ref="GO239:GO248" si="242">IF(BI239=2,ROUND(O239+X239+Y239+GK239,2),0)</f>
        <v>1013.25</v>
      </c>
      <c r="GP239">
        <f t="shared" ref="GP239:GP248" si="243">IF(BI239=4,ROUND(O239+X239+Y239+GK239,2)+GX239,0)</f>
        <v>0</v>
      </c>
      <c r="GR239">
        <v>0</v>
      </c>
      <c r="GS239">
        <v>3</v>
      </c>
      <c r="GT239">
        <v>0</v>
      </c>
      <c r="GU239" t="s">
        <v>3</v>
      </c>
      <c r="GV239">
        <f t="shared" ref="GV239:GV248" si="244">ROUND(GT239,2)</f>
        <v>0</v>
      </c>
      <c r="GW239">
        <v>1</v>
      </c>
      <c r="GX239">
        <f t="shared" ref="GX239:GX248" si="245">ROUND(GV239*GW239*I239,2)</f>
        <v>0</v>
      </c>
      <c r="HA239">
        <v>0</v>
      </c>
      <c r="HB239">
        <v>0</v>
      </c>
      <c r="IK239">
        <v>0</v>
      </c>
    </row>
    <row r="240" spans="1:245" x14ac:dyDescent="0.2">
      <c r="A240">
        <v>17</v>
      </c>
      <c r="B240">
        <v>1</v>
      </c>
      <c r="C240">
        <f>ROW(SmtRes!A359)</f>
        <v>359</v>
      </c>
      <c r="D240">
        <f>ROW(EtalonRes!A342)</f>
        <v>342</v>
      </c>
      <c r="E240" t="s">
        <v>562</v>
      </c>
      <c r="F240" t="s">
        <v>559</v>
      </c>
      <c r="G240" t="s">
        <v>563</v>
      </c>
      <c r="H240" t="s">
        <v>356</v>
      </c>
      <c r="I240">
        <v>52</v>
      </c>
      <c r="J240">
        <v>0</v>
      </c>
      <c r="O240">
        <f t="shared" si="213"/>
        <v>3265.89</v>
      </c>
      <c r="P240">
        <f t="shared" si="214"/>
        <v>446.62</v>
      </c>
      <c r="Q240">
        <f t="shared" si="215"/>
        <v>0</v>
      </c>
      <c r="R240">
        <f t="shared" si="216"/>
        <v>0</v>
      </c>
      <c r="S240">
        <f t="shared" si="217"/>
        <v>2819.27</v>
      </c>
      <c r="T240">
        <f t="shared" si="218"/>
        <v>0</v>
      </c>
      <c r="U240">
        <f t="shared" si="219"/>
        <v>43.68</v>
      </c>
      <c r="V240">
        <f t="shared" si="220"/>
        <v>0</v>
      </c>
      <c r="W240">
        <f t="shared" si="221"/>
        <v>0</v>
      </c>
      <c r="X240">
        <f t="shared" si="222"/>
        <v>2255.42</v>
      </c>
      <c r="Y240">
        <f t="shared" si="223"/>
        <v>1691.56</v>
      </c>
      <c r="AA240">
        <v>39096431</v>
      </c>
      <c r="AB240">
        <f t="shared" si="224"/>
        <v>9.36</v>
      </c>
      <c r="AC240">
        <f t="shared" ref="AC240:AC248" si="246">ROUND((ES240),2)</f>
        <v>1.28</v>
      </c>
      <c r="AD240">
        <f t="shared" ref="AD240:AD248" si="247">ROUND((((ET240)-(EU240))+AE240),2)</f>
        <v>0</v>
      </c>
      <c r="AE240">
        <f t="shared" ref="AE240:AE248" si="248">ROUND((EU240),2)</f>
        <v>0</v>
      </c>
      <c r="AF240">
        <f t="shared" ref="AF240:AF248" si="249">ROUND((EV240),2)</f>
        <v>8.08</v>
      </c>
      <c r="AG240">
        <f t="shared" si="225"/>
        <v>0</v>
      </c>
      <c r="AH240">
        <f t="shared" ref="AH240:AH248" si="250">(EW240)</f>
        <v>0.84</v>
      </c>
      <c r="AI240">
        <f t="shared" ref="AI240:AI248" si="251">(EX240)</f>
        <v>0</v>
      </c>
      <c r="AJ240">
        <f t="shared" si="226"/>
        <v>0</v>
      </c>
      <c r="AK240">
        <v>9.36</v>
      </c>
      <c r="AL240">
        <v>1.28</v>
      </c>
      <c r="AM240">
        <v>0</v>
      </c>
      <c r="AN240">
        <v>0</v>
      </c>
      <c r="AO240">
        <v>8.08</v>
      </c>
      <c r="AP240">
        <v>0</v>
      </c>
      <c r="AQ240">
        <v>0.84</v>
      </c>
      <c r="AR240">
        <v>0</v>
      </c>
      <c r="AS240">
        <v>0</v>
      </c>
      <c r="AT240">
        <v>80</v>
      </c>
      <c r="AU240">
        <v>60</v>
      </c>
      <c r="AV240">
        <v>1</v>
      </c>
      <c r="AW240">
        <v>1</v>
      </c>
      <c r="AZ240">
        <v>6.71</v>
      </c>
      <c r="BA240">
        <v>6.71</v>
      </c>
      <c r="BB240">
        <v>6.71</v>
      </c>
      <c r="BC240">
        <v>6.71</v>
      </c>
      <c r="BD240" t="s">
        <v>3</v>
      </c>
      <c r="BE240" t="s">
        <v>3</v>
      </c>
      <c r="BF240" t="s">
        <v>3</v>
      </c>
      <c r="BG240" t="s">
        <v>3</v>
      </c>
      <c r="BH240">
        <v>0</v>
      </c>
      <c r="BI240">
        <v>2</v>
      </c>
      <c r="BJ240" t="s">
        <v>561</v>
      </c>
      <c r="BM240">
        <v>110011</v>
      </c>
      <c r="BN240">
        <v>0</v>
      </c>
      <c r="BO240" t="s">
        <v>3</v>
      </c>
      <c r="BP240">
        <v>0</v>
      </c>
      <c r="BQ240">
        <v>3</v>
      </c>
      <c r="BR240">
        <v>0</v>
      </c>
      <c r="BS240">
        <v>6.71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80</v>
      </c>
      <c r="CA240">
        <v>60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227"/>
        <v>3265.89</v>
      </c>
      <c r="CQ240">
        <f t="shared" si="228"/>
        <v>8.5888000000000009</v>
      </c>
      <c r="CR240">
        <f t="shared" si="229"/>
        <v>0</v>
      </c>
      <c r="CS240">
        <f t="shared" si="230"/>
        <v>0</v>
      </c>
      <c r="CT240">
        <f t="shared" si="231"/>
        <v>54.216799999999999</v>
      </c>
      <c r="CU240">
        <f t="shared" si="232"/>
        <v>0</v>
      </c>
      <c r="CV240">
        <f t="shared" si="233"/>
        <v>0.84</v>
      </c>
      <c r="CW240">
        <f t="shared" si="234"/>
        <v>0</v>
      </c>
      <c r="CX240">
        <f t="shared" si="235"/>
        <v>0</v>
      </c>
      <c r="CY240">
        <f t="shared" si="236"/>
        <v>2255.4160000000002</v>
      </c>
      <c r="CZ240">
        <f t="shared" si="237"/>
        <v>1691.5620000000001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1013</v>
      </c>
      <c r="DV240" t="s">
        <v>356</v>
      </c>
      <c r="DW240" t="s">
        <v>356</v>
      </c>
      <c r="DX240">
        <v>1</v>
      </c>
      <c r="EE240">
        <v>39174433</v>
      </c>
      <c r="EF240">
        <v>3</v>
      </c>
      <c r="EG240" t="s">
        <v>391</v>
      </c>
      <c r="EH240">
        <v>0</v>
      </c>
      <c r="EI240" t="s">
        <v>3</v>
      </c>
      <c r="EJ240">
        <v>2</v>
      </c>
      <c r="EK240">
        <v>110011</v>
      </c>
      <c r="EL240" t="s">
        <v>431</v>
      </c>
      <c r="EM240" t="s">
        <v>432</v>
      </c>
      <c r="EO240" t="s">
        <v>3</v>
      </c>
      <c r="EQ240">
        <v>0</v>
      </c>
      <c r="ER240">
        <v>9.36</v>
      </c>
      <c r="ES240">
        <v>1.28</v>
      </c>
      <c r="ET240">
        <v>0</v>
      </c>
      <c r="EU240">
        <v>0</v>
      </c>
      <c r="EV240">
        <v>8.08</v>
      </c>
      <c r="EW240">
        <v>0.84</v>
      </c>
      <c r="EX240">
        <v>0</v>
      </c>
      <c r="EY240">
        <v>0</v>
      </c>
      <c r="FQ240">
        <v>0</v>
      </c>
      <c r="FR240">
        <f t="shared" si="238"/>
        <v>0</v>
      </c>
      <c r="FS240">
        <v>0</v>
      </c>
      <c r="FX240">
        <v>80</v>
      </c>
      <c r="FY240">
        <v>60</v>
      </c>
      <c r="GA240" t="s">
        <v>3</v>
      </c>
      <c r="GD240">
        <v>0</v>
      </c>
      <c r="GF240">
        <v>-675514791</v>
      </c>
      <c r="GG240">
        <v>1</v>
      </c>
      <c r="GH240">
        <v>1</v>
      </c>
      <c r="GI240">
        <v>4</v>
      </c>
      <c r="GJ240">
        <v>0</v>
      </c>
      <c r="GK240">
        <f>ROUND(R240*(R12)/100,2)</f>
        <v>0</v>
      </c>
      <c r="GL240">
        <f t="shared" si="239"/>
        <v>0</v>
      </c>
      <c r="GM240">
        <f t="shared" si="240"/>
        <v>7212.87</v>
      </c>
      <c r="GN240">
        <f t="shared" si="241"/>
        <v>0</v>
      </c>
      <c r="GO240">
        <f t="shared" si="242"/>
        <v>7212.87</v>
      </c>
      <c r="GP240">
        <f t="shared" si="243"/>
        <v>0</v>
      </c>
      <c r="GR240">
        <v>0</v>
      </c>
      <c r="GS240">
        <v>3</v>
      </c>
      <c r="GT240">
        <v>0</v>
      </c>
      <c r="GU240" t="s">
        <v>3</v>
      </c>
      <c r="GV240">
        <f t="shared" si="244"/>
        <v>0</v>
      </c>
      <c r="GW240">
        <v>1</v>
      </c>
      <c r="GX240">
        <f t="shared" si="245"/>
        <v>0</v>
      </c>
      <c r="HA240">
        <v>0</v>
      </c>
      <c r="HB240">
        <v>0</v>
      </c>
      <c r="IK240">
        <v>0</v>
      </c>
    </row>
    <row r="241" spans="1:245" x14ac:dyDescent="0.2">
      <c r="A241">
        <v>18</v>
      </c>
      <c r="B241">
        <v>1</v>
      </c>
      <c r="C241">
        <v>358</v>
      </c>
      <c r="E241" t="s">
        <v>564</v>
      </c>
      <c r="F241" t="s">
        <v>565</v>
      </c>
      <c r="G241" t="s">
        <v>566</v>
      </c>
      <c r="H241" t="s">
        <v>436</v>
      </c>
      <c r="I241">
        <f>I240*J241</f>
        <v>5.2</v>
      </c>
      <c r="J241">
        <v>0.1</v>
      </c>
      <c r="O241">
        <f t="shared" si="213"/>
        <v>10023.77</v>
      </c>
      <c r="P241">
        <f t="shared" si="214"/>
        <v>10023.77</v>
      </c>
      <c r="Q241">
        <f t="shared" si="215"/>
        <v>0</v>
      </c>
      <c r="R241">
        <f t="shared" si="216"/>
        <v>0</v>
      </c>
      <c r="S241">
        <f t="shared" si="217"/>
        <v>0</v>
      </c>
      <c r="T241">
        <f t="shared" si="218"/>
        <v>0</v>
      </c>
      <c r="U241">
        <f t="shared" si="219"/>
        <v>0</v>
      </c>
      <c r="V241">
        <f t="shared" si="220"/>
        <v>0</v>
      </c>
      <c r="W241">
        <f t="shared" si="221"/>
        <v>0</v>
      </c>
      <c r="X241">
        <f t="shared" si="222"/>
        <v>0</v>
      </c>
      <c r="Y241">
        <f t="shared" si="223"/>
        <v>0</v>
      </c>
      <c r="AA241">
        <v>39096431</v>
      </c>
      <c r="AB241">
        <f t="shared" si="224"/>
        <v>287.27999999999997</v>
      </c>
      <c r="AC241">
        <f t="shared" si="246"/>
        <v>287.27999999999997</v>
      </c>
      <c r="AD241">
        <f t="shared" si="247"/>
        <v>0</v>
      </c>
      <c r="AE241">
        <f t="shared" si="248"/>
        <v>0</v>
      </c>
      <c r="AF241">
        <f t="shared" si="249"/>
        <v>0</v>
      </c>
      <c r="AG241">
        <f t="shared" si="225"/>
        <v>0</v>
      </c>
      <c r="AH241">
        <f t="shared" si="250"/>
        <v>0</v>
      </c>
      <c r="AI241">
        <f t="shared" si="251"/>
        <v>0</v>
      </c>
      <c r="AJ241">
        <f t="shared" si="226"/>
        <v>0</v>
      </c>
      <c r="AK241">
        <v>287.27999999999997</v>
      </c>
      <c r="AL241">
        <v>287.27999999999997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80</v>
      </c>
      <c r="AU241">
        <v>60</v>
      </c>
      <c r="AV241">
        <v>1</v>
      </c>
      <c r="AW241">
        <v>1</v>
      </c>
      <c r="AZ241">
        <v>6.71</v>
      </c>
      <c r="BA241">
        <v>1</v>
      </c>
      <c r="BB241">
        <v>1</v>
      </c>
      <c r="BC241">
        <v>6.71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2</v>
      </c>
      <c r="BJ241" t="s">
        <v>567</v>
      </c>
      <c r="BM241">
        <v>110011</v>
      </c>
      <c r="BN241">
        <v>0</v>
      </c>
      <c r="BO241" t="s">
        <v>3</v>
      </c>
      <c r="BP241">
        <v>0</v>
      </c>
      <c r="BQ241">
        <v>3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80</v>
      </c>
      <c r="CA241">
        <v>60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27"/>
        <v>10023.77</v>
      </c>
      <c r="CQ241">
        <f t="shared" si="228"/>
        <v>1927.6487999999997</v>
      </c>
      <c r="CR241">
        <f t="shared" si="229"/>
        <v>0</v>
      </c>
      <c r="CS241">
        <f t="shared" si="230"/>
        <v>0</v>
      </c>
      <c r="CT241">
        <f t="shared" si="231"/>
        <v>0</v>
      </c>
      <c r="CU241">
        <f t="shared" si="232"/>
        <v>0</v>
      </c>
      <c r="CV241">
        <f t="shared" si="233"/>
        <v>0</v>
      </c>
      <c r="CW241">
        <f t="shared" si="234"/>
        <v>0</v>
      </c>
      <c r="CX241">
        <f t="shared" si="235"/>
        <v>0</v>
      </c>
      <c r="CY241">
        <f t="shared" si="236"/>
        <v>0</v>
      </c>
      <c r="CZ241">
        <f t="shared" si="237"/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1010</v>
      </c>
      <c r="DV241" t="s">
        <v>436</v>
      </c>
      <c r="DW241" t="s">
        <v>436</v>
      </c>
      <c r="DX241">
        <v>10</v>
      </c>
      <c r="EE241">
        <v>39174433</v>
      </c>
      <c r="EF241">
        <v>3</v>
      </c>
      <c r="EG241" t="s">
        <v>391</v>
      </c>
      <c r="EH241">
        <v>0</v>
      </c>
      <c r="EI241" t="s">
        <v>3</v>
      </c>
      <c r="EJ241">
        <v>2</v>
      </c>
      <c r="EK241">
        <v>110011</v>
      </c>
      <c r="EL241" t="s">
        <v>431</v>
      </c>
      <c r="EM241" t="s">
        <v>432</v>
      </c>
      <c r="EO241" t="s">
        <v>3</v>
      </c>
      <c r="EQ241">
        <v>0</v>
      </c>
      <c r="ER241">
        <v>287.27999999999997</v>
      </c>
      <c r="ES241">
        <v>287.27999999999997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238"/>
        <v>0</v>
      </c>
      <c r="FS241">
        <v>0</v>
      </c>
      <c r="FX241">
        <v>80</v>
      </c>
      <c r="FY241">
        <v>60</v>
      </c>
      <c r="GA241" t="s">
        <v>3</v>
      </c>
      <c r="GD241">
        <v>0</v>
      </c>
      <c r="GF241">
        <v>-1633447119</v>
      </c>
      <c r="GG241">
        <v>1</v>
      </c>
      <c r="GH241">
        <v>1</v>
      </c>
      <c r="GI241">
        <v>4</v>
      </c>
      <c r="GJ241">
        <v>0</v>
      </c>
      <c r="GK241">
        <f>ROUND(R241*(R12)/100,2)</f>
        <v>0</v>
      </c>
      <c r="GL241">
        <f t="shared" si="239"/>
        <v>0</v>
      </c>
      <c r="GM241">
        <f t="shared" si="240"/>
        <v>10023.77</v>
      </c>
      <c r="GN241">
        <f t="shared" si="241"/>
        <v>0</v>
      </c>
      <c r="GO241">
        <f t="shared" si="242"/>
        <v>10023.77</v>
      </c>
      <c r="GP241">
        <f t="shared" si="243"/>
        <v>0</v>
      </c>
      <c r="GR241">
        <v>0</v>
      </c>
      <c r="GS241">
        <v>3</v>
      </c>
      <c r="GT241">
        <v>0</v>
      </c>
      <c r="GU241" t="s">
        <v>3</v>
      </c>
      <c r="GV241">
        <f t="shared" si="244"/>
        <v>0</v>
      </c>
      <c r="GW241">
        <v>1</v>
      </c>
      <c r="GX241">
        <f t="shared" si="245"/>
        <v>0</v>
      </c>
      <c r="HA241">
        <v>0</v>
      </c>
      <c r="HB241">
        <v>0</v>
      </c>
      <c r="IK241">
        <v>0</v>
      </c>
    </row>
    <row r="242" spans="1:245" x14ac:dyDescent="0.2">
      <c r="A242">
        <v>17</v>
      </c>
      <c r="B242">
        <v>1</v>
      </c>
      <c r="C242">
        <f>ROW(SmtRes!A365)</f>
        <v>365</v>
      </c>
      <c r="D242">
        <f>ROW(EtalonRes!A347)</f>
        <v>347</v>
      </c>
      <c r="E242" t="s">
        <v>568</v>
      </c>
      <c r="F242" t="s">
        <v>569</v>
      </c>
      <c r="G242" t="s">
        <v>570</v>
      </c>
      <c r="H242" t="s">
        <v>571</v>
      </c>
      <c r="I242">
        <f>ROUND(26/10,9)</f>
        <v>2.6</v>
      </c>
      <c r="J242">
        <v>0</v>
      </c>
      <c r="O242">
        <f t="shared" si="213"/>
        <v>1154.57</v>
      </c>
      <c r="P242">
        <f t="shared" si="214"/>
        <v>219.99</v>
      </c>
      <c r="Q242">
        <f t="shared" si="215"/>
        <v>0</v>
      </c>
      <c r="R242">
        <f t="shared" si="216"/>
        <v>0</v>
      </c>
      <c r="S242">
        <f t="shared" si="217"/>
        <v>934.58</v>
      </c>
      <c r="T242">
        <f t="shared" si="218"/>
        <v>0</v>
      </c>
      <c r="U242">
        <f t="shared" si="219"/>
        <v>14.040000000000001</v>
      </c>
      <c r="V242">
        <f t="shared" si="220"/>
        <v>0</v>
      </c>
      <c r="W242">
        <f t="shared" si="221"/>
        <v>0</v>
      </c>
      <c r="X242">
        <f t="shared" si="222"/>
        <v>747.66</v>
      </c>
      <c r="Y242">
        <f t="shared" si="223"/>
        <v>560.75</v>
      </c>
      <c r="AA242">
        <v>39096431</v>
      </c>
      <c r="AB242">
        <f t="shared" si="224"/>
        <v>66.180000000000007</v>
      </c>
      <c r="AC242">
        <f t="shared" si="246"/>
        <v>12.61</v>
      </c>
      <c r="AD242">
        <f t="shared" si="247"/>
        <v>0</v>
      </c>
      <c r="AE242">
        <f t="shared" si="248"/>
        <v>0</v>
      </c>
      <c r="AF242">
        <f t="shared" si="249"/>
        <v>53.57</v>
      </c>
      <c r="AG242">
        <f t="shared" si="225"/>
        <v>0</v>
      </c>
      <c r="AH242">
        <f t="shared" si="250"/>
        <v>5.4</v>
      </c>
      <c r="AI242">
        <f t="shared" si="251"/>
        <v>0</v>
      </c>
      <c r="AJ242">
        <f t="shared" si="226"/>
        <v>0</v>
      </c>
      <c r="AK242">
        <v>66.180000000000007</v>
      </c>
      <c r="AL242">
        <v>12.61</v>
      </c>
      <c r="AM242">
        <v>0</v>
      </c>
      <c r="AN242">
        <v>0</v>
      </c>
      <c r="AO242">
        <v>53.57</v>
      </c>
      <c r="AP242">
        <v>0</v>
      </c>
      <c r="AQ242">
        <v>5.4</v>
      </c>
      <c r="AR242">
        <v>0</v>
      </c>
      <c r="AS242">
        <v>0</v>
      </c>
      <c r="AT242">
        <v>80</v>
      </c>
      <c r="AU242">
        <v>60</v>
      </c>
      <c r="AV242">
        <v>1</v>
      </c>
      <c r="AW242">
        <v>1</v>
      </c>
      <c r="AZ242">
        <v>6.71</v>
      </c>
      <c r="BA242">
        <v>6.71</v>
      </c>
      <c r="BB242">
        <v>6.71</v>
      </c>
      <c r="BC242">
        <v>6.71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2</v>
      </c>
      <c r="BJ242" t="s">
        <v>572</v>
      </c>
      <c r="BM242">
        <v>110011</v>
      </c>
      <c r="BN242">
        <v>0</v>
      </c>
      <c r="BO242" t="s">
        <v>3</v>
      </c>
      <c r="BP242">
        <v>0</v>
      </c>
      <c r="BQ242">
        <v>3</v>
      </c>
      <c r="BR242">
        <v>0</v>
      </c>
      <c r="BS242">
        <v>6.71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80</v>
      </c>
      <c r="CA242">
        <v>60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27"/>
        <v>1154.5700000000002</v>
      </c>
      <c r="CQ242">
        <f t="shared" si="228"/>
        <v>84.613099999999989</v>
      </c>
      <c r="CR242">
        <f t="shared" si="229"/>
        <v>0</v>
      </c>
      <c r="CS242">
        <f t="shared" si="230"/>
        <v>0</v>
      </c>
      <c r="CT242">
        <f t="shared" si="231"/>
        <v>359.4547</v>
      </c>
      <c r="CU242">
        <f t="shared" si="232"/>
        <v>0</v>
      </c>
      <c r="CV242">
        <f t="shared" si="233"/>
        <v>5.4</v>
      </c>
      <c r="CW242">
        <f t="shared" si="234"/>
        <v>0</v>
      </c>
      <c r="CX242">
        <f t="shared" si="235"/>
        <v>0</v>
      </c>
      <c r="CY242">
        <f t="shared" si="236"/>
        <v>747.6640000000001</v>
      </c>
      <c r="CZ242">
        <f t="shared" si="237"/>
        <v>560.74800000000005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1013</v>
      </c>
      <c r="DV242" t="s">
        <v>571</v>
      </c>
      <c r="DW242" t="s">
        <v>571</v>
      </c>
      <c r="DX242">
        <v>1</v>
      </c>
      <c r="EE242">
        <v>39174433</v>
      </c>
      <c r="EF242">
        <v>3</v>
      </c>
      <c r="EG242" t="s">
        <v>391</v>
      </c>
      <c r="EH242">
        <v>0</v>
      </c>
      <c r="EI242" t="s">
        <v>3</v>
      </c>
      <c r="EJ242">
        <v>2</v>
      </c>
      <c r="EK242">
        <v>110011</v>
      </c>
      <c r="EL242" t="s">
        <v>431</v>
      </c>
      <c r="EM242" t="s">
        <v>432</v>
      </c>
      <c r="EO242" t="s">
        <v>3</v>
      </c>
      <c r="EQ242">
        <v>0</v>
      </c>
      <c r="ER242">
        <v>66.180000000000007</v>
      </c>
      <c r="ES242">
        <v>12.61</v>
      </c>
      <c r="ET242">
        <v>0</v>
      </c>
      <c r="EU242">
        <v>0</v>
      </c>
      <c r="EV242">
        <v>53.57</v>
      </c>
      <c r="EW242">
        <v>5.4</v>
      </c>
      <c r="EX242">
        <v>0</v>
      </c>
      <c r="EY242">
        <v>0</v>
      </c>
      <c r="FQ242">
        <v>0</v>
      </c>
      <c r="FR242">
        <f t="shared" si="238"/>
        <v>0</v>
      </c>
      <c r="FS242">
        <v>0</v>
      </c>
      <c r="FX242">
        <v>80</v>
      </c>
      <c r="FY242">
        <v>60</v>
      </c>
      <c r="GA242" t="s">
        <v>3</v>
      </c>
      <c r="GD242">
        <v>0</v>
      </c>
      <c r="GF242">
        <v>-1802928035</v>
      </c>
      <c r="GG242">
        <v>1</v>
      </c>
      <c r="GH242">
        <v>1</v>
      </c>
      <c r="GI242">
        <v>4</v>
      </c>
      <c r="GJ242">
        <v>0</v>
      </c>
      <c r="GK242">
        <f>ROUND(R242*(R12)/100,2)</f>
        <v>0</v>
      </c>
      <c r="GL242">
        <f t="shared" si="239"/>
        <v>0</v>
      </c>
      <c r="GM242">
        <f t="shared" si="240"/>
        <v>2462.98</v>
      </c>
      <c r="GN242">
        <f t="shared" si="241"/>
        <v>0</v>
      </c>
      <c r="GO242">
        <f t="shared" si="242"/>
        <v>2462.98</v>
      </c>
      <c r="GP242">
        <f t="shared" si="243"/>
        <v>0</v>
      </c>
      <c r="GR242">
        <v>0</v>
      </c>
      <c r="GS242">
        <v>3</v>
      </c>
      <c r="GT242">
        <v>0</v>
      </c>
      <c r="GU242" t="s">
        <v>3</v>
      </c>
      <c r="GV242">
        <f t="shared" si="244"/>
        <v>0</v>
      </c>
      <c r="GW242">
        <v>1</v>
      </c>
      <c r="GX242">
        <f t="shared" si="245"/>
        <v>0</v>
      </c>
      <c r="HA242">
        <v>0</v>
      </c>
      <c r="HB242">
        <v>0</v>
      </c>
      <c r="IK242">
        <v>0</v>
      </c>
    </row>
    <row r="243" spans="1:245" x14ac:dyDescent="0.2">
      <c r="A243">
        <v>18</v>
      </c>
      <c r="B243">
        <v>1</v>
      </c>
      <c r="C243">
        <v>364</v>
      </c>
      <c r="E243" t="s">
        <v>573</v>
      </c>
      <c r="F243" t="s">
        <v>574</v>
      </c>
      <c r="G243" t="s">
        <v>575</v>
      </c>
      <c r="H243" t="s">
        <v>46</v>
      </c>
      <c r="I243">
        <f>I242*J243</f>
        <v>26</v>
      </c>
      <c r="J243">
        <v>10</v>
      </c>
      <c r="O243">
        <f t="shared" si="213"/>
        <v>10104.719999999999</v>
      </c>
      <c r="P243">
        <f t="shared" si="214"/>
        <v>10104.719999999999</v>
      </c>
      <c r="Q243">
        <f t="shared" si="215"/>
        <v>0</v>
      </c>
      <c r="R243">
        <f t="shared" si="216"/>
        <v>0</v>
      </c>
      <c r="S243">
        <f t="shared" si="217"/>
        <v>0</v>
      </c>
      <c r="T243">
        <f t="shared" si="218"/>
        <v>0</v>
      </c>
      <c r="U243">
        <f t="shared" si="219"/>
        <v>0</v>
      </c>
      <c r="V243">
        <f t="shared" si="220"/>
        <v>0</v>
      </c>
      <c r="W243">
        <f t="shared" si="221"/>
        <v>0</v>
      </c>
      <c r="X243">
        <f t="shared" si="222"/>
        <v>0</v>
      </c>
      <c r="Y243">
        <f t="shared" si="223"/>
        <v>0</v>
      </c>
      <c r="AA243">
        <v>39096431</v>
      </c>
      <c r="AB243">
        <f t="shared" si="224"/>
        <v>57.92</v>
      </c>
      <c r="AC243">
        <f t="shared" si="246"/>
        <v>57.92</v>
      </c>
      <c r="AD243">
        <f t="shared" si="247"/>
        <v>0</v>
      </c>
      <c r="AE243">
        <f t="shared" si="248"/>
        <v>0</v>
      </c>
      <c r="AF243">
        <f t="shared" si="249"/>
        <v>0</v>
      </c>
      <c r="AG243">
        <f t="shared" si="225"/>
        <v>0</v>
      </c>
      <c r="AH243">
        <f t="shared" si="250"/>
        <v>0</v>
      </c>
      <c r="AI243">
        <f t="shared" si="251"/>
        <v>0</v>
      </c>
      <c r="AJ243">
        <f t="shared" si="226"/>
        <v>0</v>
      </c>
      <c r="AK243">
        <v>57.92</v>
      </c>
      <c r="AL243">
        <v>57.92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80</v>
      </c>
      <c r="AU243">
        <v>60</v>
      </c>
      <c r="AV243">
        <v>1</v>
      </c>
      <c r="AW243">
        <v>1</v>
      </c>
      <c r="AZ243">
        <v>6.71</v>
      </c>
      <c r="BA243">
        <v>1</v>
      </c>
      <c r="BB243">
        <v>1</v>
      </c>
      <c r="BC243">
        <v>6.71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2</v>
      </c>
      <c r="BJ243" t="s">
        <v>576</v>
      </c>
      <c r="BM243">
        <v>110011</v>
      </c>
      <c r="BN243">
        <v>0</v>
      </c>
      <c r="BO243" t="s">
        <v>3</v>
      </c>
      <c r="BP243">
        <v>0</v>
      </c>
      <c r="BQ243">
        <v>3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80</v>
      </c>
      <c r="CA243">
        <v>60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27"/>
        <v>10104.719999999999</v>
      </c>
      <c r="CQ243">
        <f t="shared" si="228"/>
        <v>388.64320000000004</v>
      </c>
      <c r="CR243">
        <f t="shared" si="229"/>
        <v>0</v>
      </c>
      <c r="CS243">
        <f t="shared" si="230"/>
        <v>0</v>
      </c>
      <c r="CT243">
        <f t="shared" si="231"/>
        <v>0</v>
      </c>
      <c r="CU243">
        <f t="shared" si="232"/>
        <v>0</v>
      </c>
      <c r="CV243">
        <f t="shared" si="233"/>
        <v>0</v>
      </c>
      <c r="CW243">
        <f t="shared" si="234"/>
        <v>0</v>
      </c>
      <c r="CX243">
        <f t="shared" si="235"/>
        <v>0</v>
      </c>
      <c r="CY243">
        <f t="shared" si="236"/>
        <v>0</v>
      </c>
      <c r="CZ243">
        <f t="shared" si="237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1010</v>
      </c>
      <c r="DV243" t="s">
        <v>46</v>
      </c>
      <c r="DW243" t="s">
        <v>46</v>
      </c>
      <c r="DX243">
        <v>1</v>
      </c>
      <c r="EE243">
        <v>39174433</v>
      </c>
      <c r="EF243">
        <v>3</v>
      </c>
      <c r="EG243" t="s">
        <v>391</v>
      </c>
      <c r="EH243">
        <v>0</v>
      </c>
      <c r="EI243" t="s">
        <v>3</v>
      </c>
      <c r="EJ243">
        <v>2</v>
      </c>
      <c r="EK243">
        <v>110011</v>
      </c>
      <c r="EL243" t="s">
        <v>431</v>
      </c>
      <c r="EM243" t="s">
        <v>432</v>
      </c>
      <c r="EO243" t="s">
        <v>3</v>
      </c>
      <c r="EQ243">
        <v>0</v>
      </c>
      <c r="ER243">
        <v>57.92</v>
      </c>
      <c r="ES243">
        <v>57.92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38"/>
        <v>0</v>
      </c>
      <c r="FS243">
        <v>0</v>
      </c>
      <c r="FX243">
        <v>80</v>
      </c>
      <c r="FY243">
        <v>60</v>
      </c>
      <c r="GA243" t="s">
        <v>3</v>
      </c>
      <c r="GD243">
        <v>0</v>
      </c>
      <c r="GF243">
        <v>-1091684358</v>
      </c>
      <c r="GG243">
        <v>1</v>
      </c>
      <c r="GH243">
        <v>1</v>
      </c>
      <c r="GI243">
        <v>4</v>
      </c>
      <c r="GJ243">
        <v>0</v>
      </c>
      <c r="GK243">
        <f>ROUND(R243*(R12)/100,2)</f>
        <v>0</v>
      </c>
      <c r="GL243">
        <f t="shared" si="239"/>
        <v>0</v>
      </c>
      <c r="GM243">
        <f t="shared" si="240"/>
        <v>10104.719999999999</v>
      </c>
      <c r="GN243">
        <f t="shared" si="241"/>
        <v>0</v>
      </c>
      <c r="GO243">
        <f t="shared" si="242"/>
        <v>10104.719999999999</v>
      </c>
      <c r="GP243">
        <f t="shared" si="243"/>
        <v>0</v>
      </c>
      <c r="GR243">
        <v>0</v>
      </c>
      <c r="GS243">
        <v>3</v>
      </c>
      <c r="GT243">
        <v>0</v>
      </c>
      <c r="GU243" t="s">
        <v>3</v>
      </c>
      <c r="GV243">
        <f t="shared" si="244"/>
        <v>0</v>
      </c>
      <c r="GW243">
        <v>1</v>
      </c>
      <c r="GX243">
        <f t="shared" si="245"/>
        <v>0</v>
      </c>
      <c r="HA243">
        <v>0</v>
      </c>
      <c r="HB243">
        <v>0</v>
      </c>
      <c r="IK243">
        <v>0</v>
      </c>
    </row>
    <row r="244" spans="1:245" x14ac:dyDescent="0.2">
      <c r="A244">
        <v>17</v>
      </c>
      <c r="B244">
        <v>1</v>
      </c>
      <c r="C244">
        <f>ROW(SmtRes!A369)</f>
        <v>369</v>
      </c>
      <c r="D244">
        <f>ROW(EtalonRes!A350)</f>
        <v>350</v>
      </c>
      <c r="E244" t="s">
        <v>577</v>
      </c>
      <c r="F244" t="s">
        <v>447</v>
      </c>
      <c r="G244" t="s">
        <v>448</v>
      </c>
      <c r="H244" t="s">
        <v>27</v>
      </c>
      <c r="I244">
        <v>0.57999999999999996</v>
      </c>
      <c r="J244">
        <v>0</v>
      </c>
      <c r="O244">
        <f t="shared" si="213"/>
        <v>608.4</v>
      </c>
      <c r="P244">
        <f t="shared" si="214"/>
        <v>65.34</v>
      </c>
      <c r="Q244">
        <f t="shared" si="215"/>
        <v>0</v>
      </c>
      <c r="R244">
        <f t="shared" si="216"/>
        <v>0</v>
      </c>
      <c r="S244">
        <f t="shared" si="217"/>
        <v>543.05999999999995</v>
      </c>
      <c r="T244">
        <f t="shared" si="218"/>
        <v>0</v>
      </c>
      <c r="U244">
        <f t="shared" si="219"/>
        <v>8.8159999999999989</v>
      </c>
      <c r="V244">
        <f t="shared" si="220"/>
        <v>0</v>
      </c>
      <c r="W244">
        <f t="shared" si="221"/>
        <v>0</v>
      </c>
      <c r="X244">
        <f t="shared" si="222"/>
        <v>515.91</v>
      </c>
      <c r="Y244">
        <f t="shared" si="223"/>
        <v>352.99</v>
      </c>
      <c r="AA244">
        <v>39096431</v>
      </c>
      <c r="AB244">
        <f t="shared" si="224"/>
        <v>156.33000000000001</v>
      </c>
      <c r="AC244">
        <f t="shared" si="246"/>
        <v>16.79</v>
      </c>
      <c r="AD244">
        <f t="shared" si="247"/>
        <v>0</v>
      </c>
      <c r="AE244">
        <f t="shared" si="248"/>
        <v>0</v>
      </c>
      <c r="AF244">
        <f t="shared" si="249"/>
        <v>139.54</v>
      </c>
      <c r="AG244">
        <f t="shared" si="225"/>
        <v>0</v>
      </c>
      <c r="AH244">
        <f t="shared" si="250"/>
        <v>15.2</v>
      </c>
      <c r="AI244">
        <f t="shared" si="251"/>
        <v>0</v>
      </c>
      <c r="AJ244">
        <f t="shared" si="226"/>
        <v>0</v>
      </c>
      <c r="AK244">
        <v>156.33000000000001</v>
      </c>
      <c r="AL244">
        <v>16.79</v>
      </c>
      <c r="AM244">
        <v>0</v>
      </c>
      <c r="AN244">
        <v>0</v>
      </c>
      <c r="AO244">
        <v>139.54</v>
      </c>
      <c r="AP244">
        <v>0</v>
      </c>
      <c r="AQ244">
        <v>15.2</v>
      </c>
      <c r="AR244">
        <v>0</v>
      </c>
      <c r="AS244">
        <v>0</v>
      </c>
      <c r="AT244">
        <v>95</v>
      </c>
      <c r="AU244">
        <v>65</v>
      </c>
      <c r="AV244">
        <v>1</v>
      </c>
      <c r="AW244">
        <v>1</v>
      </c>
      <c r="AZ244">
        <v>6.71</v>
      </c>
      <c r="BA244">
        <v>6.71</v>
      </c>
      <c r="BB244">
        <v>6.71</v>
      </c>
      <c r="BC244">
        <v>6.71</v>
      </c>
      <c r="BD244" t="s">
        <v>3</v>
      </c>
      <c r="BE244" t="s">
        <v>3</v>
      </c>
      <c r="BF244" t="s">
        <v>3</v>
      </c>
      <c r="BG244" t="s">
        <v>3</v>
      </c>
      <c r="BH244">
        <v>0</v>
      </c>
      <c r="BI244">
        <v>2</v>
      </c>
      <c r="BJ244" t="s">
        <v>449</v>
      </c>
      <c r="BM244">
        <v>108001</v>
      </c>
      <c r="BN244">
        <v>0</v>
      </c>
      <c r="BO244" t="s">
        <v>3</v>
      </c>
      <c r="BP244">
        <v>0</v>
      </c>
      <c r="BQ244">
        <v>3</v>
      </c>
      <c r="BR244">
        <v>0</v>
      </c>
      <c r="BS244">
        <v>6.71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95</v>
      </c>
      <c r="CA244">
        <v>65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27"/>
        <v>608.4</v>
      </c>
      <c r="CQ244">
        <f t="shared" si="228"/>
        <v>112.6609</v>
      </c>
      <c r="CR244">
        <f t="shared" si="229"/>
        <v>0</v>
      </c>
      <c r="CS244">
        <f t="shared" si="230"/>
        <v>0</v>
      </c>
      <c r="CT244">
        <f t="shared" si="231"/>
        <v>936.31339999999989</v>
      </c>
      <c r="CU244">
        <f t="shared" si="232"/>
        <v>0</v>
      </c>
      <c r="CV244">
        <f t="shared" si="233"/>
        <v>15.2</v>
      </c>
      <c r="CW244">
        <f t="shared" si="234"/>
        <v>0</v>
      </c>
      <c r="CX244">
        <f t="shared" si="235"/>
        <v>0</v>
      </c>
      <c r="CY244">
        <f t="shared" si="236"/>
        <v>515.90699999999993</v>
      </c>
      <c r="CZ244">
        <f t="shared" si="237"/>
        <v>352.98899999999992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1003</v>
      </c>
      <c r="DV244" t="s">
        <v>27</v>
      </c>
      <c r="DW244" t="s">
        <v>27</v>
      </c>
      <c r="DX244">
        <v>100</v>
      </c>
      <c r="EE244">
        <v>39174386</v>
      </c>
      <c r="EF244">
        <v>3</v>
      </c>
      <c r="EG244" t="s">
        <v>391</v>
      </c>
      <c r="EH244">
        <v>0</v>
      </c>
      <c r="EI244" t="s">
        <v>3</v>
      </c>
      <c r="EJ244">
        <v>2</v>
      </c>
      <c r="EK244">
        <v>108001</v>
      </c>
      <c r="EL244" t="s">
        <v>392</v>
      </c>
      <c r="EM244" t="s">
        <v>393</v>
      </c>
      <c r="EO244" t="s">
        <v>3</v>
      </c>
      <c r="EQ244">
        <v>0</v>
      </c>
      <c r="ER244">
        <v>156.33000000000001</v>
      </c>
      <c r="ES244">
        <v>16.79</v>
      </c>
      <c r="ET244">
        <v>0</v>
      </c>
      <c r="EU244">
        <v>0</v>
      </c>
      <c r="EV244">
        <v>139.54</v>
      </c>
      <c r="EW244">
        <v>15.2</v>
      </c>
      <c r="EX244">
        <v>0</v>
      </c>
      <c r="EY244">
        <v>0</v>
      </c>
      <c r="FQ244">
        <v>0</v>
      </c>
      <c r="FR244">
        <f t="shared" si="238"/>
        <v>0</v>
      </c>
      <c r="FS244">
        <v>0</v>
      </c>
      <c r="FX244">
        <v>95</v>
      </c>
      <c r="FY244">
        <v>65</v>
      </c>
      <c r="GA244" t="s">
        <v>3</v>
      </c>
      <c r="GD244">
        <v>0</v>
      </c>
      <c r="GF244">
        <v>-596386547</v>
      </c>
      <c r="GG244">
        <v>1</v>
      </c>
      <c r="GH244">
        <v>1</v>
      </c>
      <c r="GI244">
        <v>4</v>
      </c>
      <c r="GJ244">
        <v>0</v>
      </c>
      <c r="GK244">
        <f>ROUND(R244*(R12)/100,2)</f>
        <v>0</v>
      </c>
      <c r="GL244">
        <f t="shared" si="239"/>
        <v>0</v>
      </c>
      <c r="GM244">
        <f t="shared" si="240"/>
        <v>1477.3</v>
      </c>
      <c r="GN244">
        <f t="shared" si="241"/>
        <v>0</v>
      </c>
      <c r="GO244">
        <f t="shared" si="242"/>
        <v>1477.3</v>
      </c>
      <c r="GP244">
        <f t="shared" si="243"/>
        <v>0</v>
      </c>
      <c r="GR244">
        <v>0</v>
      </c>
      <c r="GS244">
        <v>3</v>
      </c>
      <c r="GT244">
        <v>0</v>
      </c>
      <c r="GU244" t="s">
        <v>3</v>
      </c>
      <c r="GV244">
        <f t="shared" si="244"/>
        <v>0</v>
      </c>
      <c r="GW244">
        <v>1</v>
      </c>
      <c r="GX244">
        <f t="shared" si="245"/>
        <v>0</v>
      </c>
      <c r="HA244">
        <v>0</v>
      </c>
      <c r="HB244">
        <v>0</v>
      </c>
      <c r="IK244">
        <v>0</v>
      </c>
    </row>
    <row r="245" spans="1:245" x14ac:dyDescent="0.2">
      <c r="A245">
        <v>18</v>
      </c>
      <c r="B245">
        <v>1</v>
      </c>
      <c r="C245">
        <v>368</v>
      </c>
      <c r="E245" t="s">
        <v>578</v>
      </c>
      <c r="F245" t="s">
        <v>579</v>
      </c>
      <c r="G245" t="s">
        <v>580</v>
      </c>
      <c r="H245" t="s">
        <v>425</v>
      </c>
      <c r="I245">
        <f>I244*J245</f>
        <v>5.8</v>
      </c>
      <c r="J245">
        <v>10</v>
      </c>
      <c r="O245">
        <f t="shared" si="213"/>
        <v>955.05</v>
      </c>
      <c r="P245">
        <f t="shared" si="214"/>
        <v>955.05</v>
      </c>
      <c r="Q245">
        <f t="shared" si="215"/>
        <v>0</v>
      </c>
      <c r="R245">
        <f t="shared" si="216"/>
        <v>0</v>
      </c>
      <c r="S245">
        <f t="shared" si="217"/>
        <v>0</v>
      </c>
      <c r="T245">
        <f t="shared" si="218"/>
        <v>0</v>
      </c>
      <c r="U245">
        <f t="shared" si="219"/>
        <v>0</v>
      </c>
      <c r="V245">
        <f t="shared" si="220"/>
        <v>0</v>
      </c>
      <c r="W245">
        <f t="shared" si="221"/>
        <v>0</v>
      </c>
      <c r="X245">
        <f t="shared" si="222"/>
        <v>0</v>
      </c>
      <c r="Y245">
        <f t="shared" si="223"/>
        <v>0</v>
      </c>
      <c r="AA245">
        <v>39096431</v>
      </c>
      <c r="AB245">
        <f t="shared" si="224"/>
        <v>24.54</v>
      </c>
      <c r="AC245">
        <f t="shared" si="246"/>
        <v>24.54</v>
      </c>
      <c r="AD245">
        <f t="shared" si="247"/>
        <v>0</v>
      </c>
      <c r="AE245">
        <f t="shared" si="248"/>
        <v>0</v>
      </c>
      <c r="AF245">
        <f t="shared" si="249"/>
        <v>0</v>
      </c>
      <c r="AG245">
        <f t="shared" si="225"/>
        <v>0</v>
      </c>
      <c r="AH245">
        <f t="shared" si="250"/>
        <v>0</v>
      </c>
      <c r="AI245">
        <f t="shared" si="251"/>
        <v>0</v>
      </c>
      <c r="AJ245">
        <f t="shared" si="226"/>
        <v>0</v>
      </c>
      <c r="AK245">
        <v>24.54</v>
      </c>
      <c r="AL245">
        <v>24.54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95</v>
      </c>
      <c r="AU245">
        <v>65</v>
      </c>
      <c r="AV245">
        <v>1</v>
      </c>
      <c r="AW245">
        <v>1</v>
      </c>
      <c r="AZ245">
        <v>6.71</v>
      </c>
      <c r="BA245">
        <v>1</v>
      </c>
      <c r="BB245">
        <v>1</v>
      </c>
      <c r="BC245">
        <v>6.71</v>
      </c>
      <c r="BD245" t="s">
        <v>3</v>
      </c>
      <c r="BE245" t="s">
        <v>3</v>
      </c>
      <c r="BF245" t="s">
        <v>3</v>
      </c>
      <c r="BG245" t="s">
        <v>3</v>
      </c>
      <c r="BH245">
        <v>3</v>
      </c>
      <c r="BI245">
        <v>2</v>
      </c>
      <c r="BJ245" t="s">
        <v>581</v>
      </c>
      <c r="BM245">
        <v>108001</v>
      </c>
      <c r="BN245">
        <v>0</v>
      </c>
      <c r="BO245" t="s">
        <v>3</v>
      </c>
      <c r="BP245">
        <v>0</v>
      </c>
      <c r="BQ245">
        <v>3</v>
      </c>
      <c r="BR245">
        <v>0</v>
      </c>
      <c r="BS245">
        <v>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95</v>
      </c>
      <c r="CA245">
        <v>65</v>
      </c>
      <c r="CF245">
        <v>0</v>
      </c>
      <c r="CG245">
        <v>0</v>
      </c>
      <c r="CM245">
        <v>0</v>
      </c>
      <c r="CN245" t="s">
        <v>3</v>
      </c>
      <c r="CO245">
        <v>0</v>
      </c>
      <c r="CP245">
        <f t="shared" si="227"/>
        <v>955.05</v>
      </c>
      <c r="CQ245">
        <f t="shared" si="228"/>
        <v>164.6634</v>
      </c>
      <c r="CR245">
        <f t="shared" si="229"/>
        <v>0</v>
      </c>
      <c r="CS245">
        <f t="shared" si="230"/>
        <v>0</v>
      </c>
      <c r="CT245">
        <f t="shared" si="231"/>
        <v>0</v>
      </c>
      <c r="CU245">
        <f t="shared" si="232"/>
        <v>0</v>
      </c>
      <c r="CV245">
        <f t="shared" si="233"/>
        <v>0</v>
      </c>
      <c r="CW245">
        <f t="shared" si="234"/>
        <v>0</v>
      </c>
      <c r="CX245">
        <f t="shared" si="235"/>
        <v>0</v>
      </c>
      <c r="CY245">
        <f t="shared" si="236"/>
        <v>0</v>
      </c>
      <c r="CZ245">
        <f t="shared" si="237"/>
        <v>0</v>
      </c>
      <c r="DC245" t="s">
        <v>3</v>
      </c>
      <c r="DD245" t="s">
        <v>3</v>
      </c>
      <c r="DE245" t="s">
        <v>3</v>
      </c>
      <c r="DF245" t="s">
        <v>3</v>
      </c>
      <c r="DG245" t="s">
        <v>3</v>
      </c>
      <c r="DH245" t="s">
        <v>3</v>
      </c>
      <c r="DI245" t="s">
        <v>3</v>
      </c>
      <c r="DJ245" t="s">
        <v>3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1003</v>
      </c>
      <c r="DV245" t="s">
        <v>425</v>
      </c>
      <c r="DW245" t="s">
        <v>425</v>
      </c>
      <c r="DX245">
        <v>10</v>
      </c>
      <c r="EE245">
        <v>39174386</v>
      </c>
      <c r="EF245">
        <v>3</v>
      </c>
      <c r="EG245" t="s">
        <v>391</v>
      </c>
      <c r="EH245">
        <v>0</v>
      </c>
      <c r="EI245" t="s">
        <v>3</v>
      </c>
      <c r="EJ245">
        <v>2</v>
      </c>
      <c r="EK245">
        <v>108001</v>
      </c>
      <c r="EL245" t="s">
        <v>392</v>
      </c>
      <c r="EM245" t="s">
        <v>393</v>
      </c>
      <c r="EO245" t="s">
        <v>3</v>
      </c>
      <c r="EQ245">
        <v>0</v>
      </c>
      <c r="ER245">
        <v>24.54</v>
      </c>
      <c r="ES245">
        <v>24.54</v>
      </c>
      <c r="ET245">
        <v>0</v>
      </c>
      <c r="EU245">
        <v>0</v>
      </c>
      <c r="EV245">
        <v>0</v>
      </c>
      <c r="EW245">
        <v>0</v>
      </c>
      <c r="EX245">
        <v>0</v>
      </c>
      <c r="FQ245">
        <v>0</v>
      </c>
      <c r="FR245">
        <f t="shared" si="238"/>
        <v>0</v>
      </c>
      <c r="FS245">
        <v>0</v>
      </c>
      <c r="FX245">
        <v>95</v>
      </c>
      <c r="FY245">
        <v>65</v>
      </c>
      <c r="GA245" t="s">
        <v>3</v>
      </c>
      <c r="GD245">
        <v>0</v>
      </c>
      <c r="GF245">
        <v>1802750156</v>
      </c>
      <c r="GG245">
        <v>1</v>
      </c>
      <c r="GH245">
        <v>1</v>
      </c>
      <c r="GI245">
        <v>4</v>
      </c>
      <c r="GJ245">
        <v>0</v>
      </c>
      <c r="GK245">
        <f>ROUND(R245*(R12)/100,2)</f>
        <v>0</v>
      </c>
      <c r="GL245">
        <f t="shared" si="239"/>
        <v>0</v>
      </c>
      <c r="GM245">
        <f t="shared" si="240"/>
        <v>955.05</v>
      </c>
      <c r="GN245">
        <f t="shared" si="241"/>
        <v>0</v>
      </c>
      <c r="GO245">
        <f t="shared" si="242"/>
        <v>955.05</v>
      </c>
      <c r="GP245">
        <f t="shared" si="243"/>
        <v>0</v>
      </c>
      <c r="GR245">
        <v>0</v>
      </c>
      <c r="GS245">
        <v>3</v>
      </c>
      <c r="GT245">
        <v>0</v>
      </c>
      <c r="GU245" t="s">
        <v>3</v>
      </c>
      <c r="GV245">
        <f t="shared" si="244"/>
        <v>0</v>
      </c>
      <c r="GW245">
        <v>1</v>
      </c>
      <c r="GX245">
        <f t="shared" si="245"/>
        <v>0</v>
      </c>
      <c r="HA245">
        <v>0</v>
      </c>
      <c r="HB245">
        <v>0</v>
      </c>
      <c r="IK245">
        <v>0</v>
      </c>
    </row>
    <row r="246" spans="1:245" x14ac:dyDescent="0.2">
      <c r="A246">
        <v>17</v>
      </c>
      <c r="B246">
        <v>1</v>
      </c>
      <c r="C246">
        <f>ROW(SmtRes!A380)</f>
        <v>380</v>
      </c>
      <c r="D246">
        <f>ROW(EtalonRes!A360)</f>
        <v>360</v>
      </c>
      <c r="E246" t="s">
        <v>582</v>
      </c>
      <c r="F246" t="s">
        <v>583</v>
      </c>
      <c r="G246" t="s">
        <v>584</v>
      </c>
      <c r="H246" t="s">
        <v>27</v>
      </c>
      <c r="I246">
        <f>ROUND(76/100,9)</f>
        <v>0.76</v>
      </c>
      <c r="J246">
        <v>0</v>
      </c>
      <c r="O246">
        <f t="shared" si="213"/>
        <v>350.34</v>
      </c>
      <c r="P246">
        <f t="shared" si="214"/>
        <v>73.84</v>
      </c>
      <c r="Q246">
        <f t="shared" si="215"/>
        <v>18.100000000000001</v>
      </c>
      <c r="R246">
        <f t="shared" si="216"/>
        <v>2.5499999999999998</v>
      </c>
      <c r="S246">
        <f t="shared" si="217"/>
        <v>258.39999999999998</v>
      </c>
      <c r="T246">
        <f t="shared" si="218"/>
        <v>0</v>
      </c>
      <c r="U246">
        <f t="shared" si="219"/>
        <v>4.0964</v>
      </c>
      <c r="V246">
        <f t="shared" si="220"/>
        <v>3.04E-2</v>
      </c>
      <c r="W246">
        <f t="shared" si="221"/>
        <v>0</v>
      </c>
      <c r="X246">
        <f t="shared" si="222"/>
        <v>247.9</v>
      </c>
      <c r="Y246">
        <f t="shared" si="223"/>
        <v>169.62</v>
      </c>
      <c r="AA246">
        <v>39096431</v>
      </c>
      <c r="AB246">
        <f t="shared" si="224"/>
        <v>68.7</v>
      </c>
      <c r="AC246">
        <f t="shared" si="246"/>
        <v>14.48</v>
      </c>
      <c r="AD246">
        <f t="shared" si="247"/>
        <v>3.55</v>
      </c>
      <c r="AE246">
        <f t="shared" si="248"/>
        <v>0.5</v>
      </c>
      <c r="AF246">
        <f t="shared" si="249"/>
        <v>50.67</v>
      </c>
      <c r="AG246">
        <f t="shared" si="225"/>
        <v>0</v>
      </c>
      <c r="AH246">
        <f t="shared" si="250"/>
        <v>5.39</v>
      </c>
      <c r="AI246">
        <f t="shared" si="251"/>
        <v>0.04</v>
      </c>
      <c r="AJ246">
        <f t="shared" si="226"/>
        <v>0</v>
      </c>
      <c r="AK246">
        <v>68.7</v>
      </c>
      <c r="AL246">
        <v>14.48</v>
      </c>
      <c r="AM246">
        <v>3.55</v>
      </c>
      <c r="AN246">
        <v>0.5</v>
      </c>
      <c r="AO246">
        <v>50.67</v>
      </c>
      <c r="AP246">
        <v>0</v>
      </c>
      <c r="AQ246">
        <v>5.39</v>
      </c>
      <c r="AR246">
        <v>0.04</v>
      </c>
      <c r="AS246">
        <v>0</v>
      </c>
      <c r="AT246">
        <v>95</v>
      </c>
      <c r="AU246">
        <v>65</v>
      </c>
      <c r="AV246">
        <v>1</v>
      </c>
      <c r="AW246">
        <v>1</v>
      </c>
      <c r="AZ246">
        <v>6.71</v>
      </c>
      <c r="BA246">
        <v>6.71</v>
      </c>
      <c r="BB246">
        <v>6.71</v>
      </c>
      <c r="BC246">
        <v>6.71</v>
      </c>
      <c r="BD246" t="s">
        <v>3</v>
      </c>
      <c r="BE246" t="s">
        <v>3</v>
      </c>
      <c r="BF246" t="s">
        <v>3</v>
      </c>
      <c r="BG246" t="s">
        <v>3</v>
      </c>
      <c r="BH246">
        <v>0</v>
      </c>
      <c r="BI246">
        <v>2</v>
      </c>
      <c r="BJ246" t="s">
        <v>585</v>
      </c>
      <c r="BM246">
        <v>108001</v>
      </c>
      <c r="BN246">
        <v>0</v>
      </c>
      <c r="BO246" t="s">
        <v>3</v>
      </c>
      <c r="BP246">
        <v>0</v>
      </c>
      <c r="BQ246">
        <v>3</v>
      </c>
      <c r="BR246">
        <v>0</v>
      </c>
      <c r="BS246">
        <v>6.71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95</v>
      </c>
      <c r="CA246">
        <v>65</v>
      </c>
      <c r="CF246">
        <v>0</v>
      </c>
      <c r="CG246">
        <v>0</v>
      </c>
      <c r="CM246">
        <v>0</v>
      </c>
      <c r="CN246" t="s">
        <v>3</v>
      </c>
      <c r="CO246">
        <v>0</v>
      </c>
      <c r="CP246">
        <f t="shared" si="227"/>
        <v>350.34</v>
      </c>
      <c r="CQ246">
        <f t="shared" si="228"/>
        <v>97.160800000000009</v>
      </c>
      <c r="CR246">
        <f t="shared" si="229"/>
        <v>23.820499999999999</v>
      </c>
      <c r="CS246">
        <f t="shared" si="230"/>
        <v>3.355</v>
      </c>
      <c r="CT246">
        <f t="shared" si="231"/>
        <v>339.9957</v>
      </c>
      <c r="CU246">
        <f t="shared" si="232"/>
        <v>0</v>
      </c>
      <c r="CV246">
        <f t="shared" si="233"/>
        <v>5.39</v>
      </c>
      <c r="CW246">
        <f t="shared" si="234"/>
        <v>0.04</v>
      </c>
      <c r="CX246">
        <f t="shared" si="235"/>
        <v>0</v>
      </c>
      <c r="CY246">
        <f t="shared" si="236"/>
        <v>247.9025</v>
      </c>
      <c r="CZ246">
        <f t="shared" si="237"/>
        <v>169.61750000000001</v>
      </c>
      <c r="DC246" t="s">
        <v>3</v>
      </c>
      <c r="DD246" t="s">
        <v>3</v>
      </c>
      <c r="DE246" t="s">
        <v>3</v>
      </c>
      <c r="DF246" t="s">
        <v>3</v>
      </c>
      <c r="DG246" t="s">
        <v>3</v>
      </c>
      <c r="DH246" t="s">
        <v>3</v>
      </c>
      <c r="DI246" t="s">
        <v>3</v>
      </c>
      <c r="DJ246" t="s">
        <v>3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1003</v>
      </c>
      <c r="DV246" t="s">
        <v>27</v>
      </c>
      <c r="DW246" t="s">
        <v>27</v>
      </c>
      <c r="DX246">
        <v>100</v>
      </c>
      <c r="EE246">
        <v>39174386</v>
      </c>
      <c r="EF246">
        <v>3</v>
      </c>
      <c r="EG246" t="s">
        <v>391</v>
      </c>
      <c r="EH246">
        <v>0</v>
      </c>
      <c r="EI246" t="s">
        <v>3</v>
      </c>
      <c r="EJ246">
        <v>2</v>
      </c>
      <c r="EK246">
        <v>108001</v>
      </c>
      <c r="EL246" t="s">
        <v>392</v>
      </c>
      <c r="EM246" t="s">
        <v>393</v>
      </c>
      <c r="EO246" t="s">
        <v>3</v>
      </c>
      <c r="EQ246">
        <v>0</v>
      </c>
      <c r="ER246">
        <v>68.7</v>
      </c>
      <c r="ES246">
        <v>14.48</v>
      </c>
      <c r="ET246">
        <v>3.55</v>
      </c>
      <c r="EU246">
        <v>0.5</v>
      </c>
      <c r="EV246">
        <v>50.67</v>
      </c>
      <c r="EW246">
        <v>5.39</v>
      </c>
      <c r="EX246">
        <v>0.04</v>
      </c>
      <c r="EY246">
        <v>0</v>
      </c>
      <c r="FQ246">
        <v>0</v>
      </c>
      <c r="FR246">
        <f t="shared" si="238"/>
        <v>0</v>
      </c>
      <c r="FS246">
        <v>0</v>
      </c>
      <c r="FX246">
        <v>95</v>
      </c>
      <c r="FY246">
        <v>65</v>
      </c>
      <c r="GA246" t="s">
        <v>3</v>
      </c>
      <c r="GD246">
        <v>0</v>
      </c>
      <c r="GF246">
        <v>-1215790049</v>
      </c>
      <c r="GG246">
        <v>1</v>
      </c>
      <c r="GH246">
        <v>1</v>
      </c>
      <c r="GI246">
        <v>4</v>
      </c>
      <c r="GJ246">
        <v>0</v>
      </c>
      <c r="GK246">
        <f>ROUND(R246*(R12)/100,2)</f>
        <v>0</v>
      </c>
      <c r="GL246">
        <f t="shared" si="239"/>
        <v>0</v>
      </c>
      <c r="GM246">
        <f t="shared" si="240"/>
        <v>767.86</v>
      </c>
      <c r="GN246">
        <f t="shared" si="241"/>
        <v>0</v>
      </c>
      <c r="GO246">
        <f t="shared" si="242"/>
        <v>767.86</v>
      </c>
      <c r="GP246">
        <f t="shared" si="243"/>
        <v>0</v>
      </c>
      <c r="GR246">
        <v>0</v>
      </c>
      <c r="GS246">
        <v>3</v>
      </c>
      <c r="GT246">
        <v>0</v>
      </c>
      <c r="GU246" t="s">
        <v>3</v>
      </c>
      <c r="GV246">
        <f t="shared" si="244"/>
        <v>0</v>
      </c>
      <c r="GW246">
        <v>1</v>
      </c>
      <c r="GX246">
        <f t="shared" si="245"/>
        <v>0</v>
      </c>
      <c r="HA246">
        <v>0</v>
      </c>
      <c r="HB246">
        <v>0</v>
      </c>
      <c r="IK246">
        <v>0</v>
      </c>
    </row>
    <row r="247" spans="1:245" x14ac:dyDescent="0.2">
      <c r="A247">
        <v>18</v>
      </c>
      <c r="B247">
        <v>1</v>
      </c>
      <c r="C247">
        <v>379</v>
      </c>
      <c r="E247" t="s">
        <v>586</v>
      </c>
      <c r="F247" t="s">
        <v>587</v>
      </c>
      <c r="G247" t="s">
        <v>974</v>
      </c>
      <c r="H247" t="s">
        <v>461</v>
      </c>
      <c r="I247">
        <f>I246*J247</f>
        <v>7.5999999999999998E-2</v>
      </c>
      <c r="J247">
        <v>9.9999999999999992E-2</v>
      </c>
      <c r="O247">
        <f t="shared" si="213"/>
        <v>2184.6799999999998</v>
      </c>
      <c r="P247">
        <f t="shared" si="214"/>
        <v>2184.6799999999998</v>
      </c>
      <c r="Q247">
        <f t="shared" si="215"/>
        <v>0</v>
      </c>
      <c r="R247">
        <f t="shared" si="216"/>
        <v>0</v>
      </c>
      <c r="S247">
        <f t="shared" si="217"/>
        <v>0</v>
      </c>
      <c r="T247">
        <f t="shared" si="218"/>
        <v>0</v>
      </c>
      <c r="U247">
        <f t="shared" si="219"/>
        <v>0</v>
      </c>
      <c r="V247">
        <f t="shared" si="220"/>
        <v>0</v>
      </c>
      <c r="W247">
        <f t="shared" si="221"/>
        <v>0</v>
      </c>
      <c r="X247">
        <f t="shared" si="222"/>
        <v>0</v>
      </c>
      <c r="Y247">
        <f t="shared" si="223"/>
        <v>0</v>
      </c>
      <c r="AA247">
        <v>39096431</v>
      </c>
      <c r="AB247">
        <f t="shared" si="224"/>
        <v>4284.0200000000004</v>
      </c>
      <c r="AC247">
        <f t="shared" si="246"/>
        <v>4284.0200000000004</v>
      </c>
      <c r="AD247">
        <f t="shared" si="247"/>
        <v>0</v>
      </c>
      <c r="AE247">
        <f t="shared" si="248"/>
        <v>0</v>
      </c>
      <c r="AF247">
        <f t="shared" si="249"/>
        <v>0</v>
      </c>
      <c r="AG247">
        <f t="shared" si="225"/>
        <v>0</v>
      </c>
      <c r="AH247">
        <f t="shared" si="250"/>
        <v>0</v>
      </c>
      <c r="AI247">
        <f t="shared" si="251"/>
        <v>0</v>
      </c>
      <c r="AJ247">
        <f t="shared" si="226"/>
        <v>0</v>
      </c>
      <c r="AK247">
        <v>4284.0200000000004</v>
      </c>
      <c r="AL247">
        <v>4284.0200000000004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95</v>
      </c>
      <c r="AU247">
        <v>65</v>
      </c>
      <c r="AV247">
        <v>1</v>
      </c>
      <c r="AW247">
        <v>1</v>
      </c>
      <c r="AZ247">
        <v>6.71</v>
      </c>
      <c r="BA247">
        <v>1</v>
      </c>
      <c r="BB247">
        <v>1</v>
      </c>
      <c r="BC247">
        <v>6.71</v>
      </c>
      <c r="BD247" t="s">
        <v>3</v>
      </c>
      <c r="BE247" t="s">
        <v>3</v>
      </c>
      <c r="BF247" t="s">
        <v>3</v>
      </c>
      <c r="BG247" t="s">
        <v>3</v>
      </c>
      <c r="BH247">
        <v>3</v>
      </c>
      <c r="BI247">
        <v>2</v>
      </c>
      <c r="BJ247" t="s">
        <v>588</v>
      </c>
      <c r="BM247">
        <v>108001</v>
      </c>
      <c r="BN247">
        <v>0</v>
      </c>
      <c r="BO247" t="s">
        <v>3</v>
      </c>
      <c r="BP247">
        <v>0</v>
      </c>
      <c r="BQ247">
        <v>3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95</v>
      </c>
      <c r="CA247">
        <v>65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27"/>
        <v>2184.6799999999998</v>
      </c>
      <c r="CQ247">
        <f t="shared" si="228"/>
        <v>28745.774200000003</v>
      </c>
      <c r="CR247">
        <f t="shared" si="229"/>
        <v>0</v>
      </c>
      <c r="CS247">
        <f t="shared" si="230"/>
        <v>0</v>
      </c>
      <c r="CT247">
        <f t="shared" si="231"/>
        <v>0</v>
      </c>
      <c r="CU247">
        <f t="shared" si="232"/>
        <v>0</v>
      </c>
      <c r="CV247">
        <f t="shared" si="233"/>
        <v>0</v>
      </c>
      <c r="CW247">
        <f t="shared" si="234"/>
        <v>0</v>
      </c>
      <c r="CX247">
        <f t="shared" si="235"/>
        <v>0</v>
      </c>
      <c r="CY247">
        <f t="shared" si="236"/>
        <v>0</v>
      </c>
      <c r="CZ247">
        <f t="shared" si="237"/>
        <v>0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461</v>
      </c>
      <c r="DW247" t="s">
        <v>463</v>
      </c>
      <c r="DX247">
        <v>1</v>
      </c>
      <c r="EE247">
        <v>39174386</v>
      </c>
      <c r="EF247">
        <v>3</v>
      </c>
      <c r="EG247" t="s">
        <v>391</v>
      </c>
      <c r="EH247">
        <v>0</v>
      </c>
      <c r="EI247" t="s">
        <v>3</v>
      </c>
      <c r="EJ247">
        <v>2</v>
      </c>
      <c r="EK247">
        <v>108001</v>
      </c>
      <c r="EL247" t="s">
        <v>392</v>
      </c>
      <c r="EM247" t="s">
        <v>393</v>
      </c>
      <c r="EO247" t="s">
        <v>3</v>
      </c>
      <c r="EQ247">
        <v>0</v>
      </c>
      <c r="ER247">
        <v>4284.0200000000004</v>
      </c>
      <c r="ES247">
        <v>4284.0200000000004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238"/>
        <v>0</v>
      </c>
      <c r="FS247">
        <v>0</v>
      </c>
      <c r="FX247">
        <v>95</v>
      </c>
      <c r="FY247">
        <v>65</v>
      </c>
      <c r="GA247" t="s">
        <v>3</v>
      </c>
      <c r="GD247">
        <v>0</v>
      </c>
      <c r="GF247">
        <v>1970573084</v>
      </c>
      <c r="GG247">
        <v>1</v>
      </c>
      <c r="GH247">
        <v>1</v>
      </c>
      <c r="GI247">
        <v>4</v>
      </c>
      <c r="GJ247">
        <v>0</v>
      </c>
      <c r="GK247">
        <f>ROUND(R247*(R12)/100,2)</f>
        <v>0</v>
      </c>
      <c r="GL247">
        <f t="shared" si="239"/>
        <v>0</v>
      </c>
      <c r="GM247">
        <f t="shared" si="240"/>
        <v>2184.6799999999998</v>
      </c>
      <c r="GN247">
        <f t="shared" si="241"/>
        <v>0</v>
      </c>
      <c r="GO247">
        <f t="shared" si="242"/>
        <v>2184.6799999999998</v>
      </c>
      <c r="GP247">
        <f t="shared" si="243"/>
        <v>0</v>
      </c>
      <c r="GR247">
        <v>0</v>
      </c>
      <c r="GS247">
        <v>3</v>
      </c>
      <c r="GT247">
        <v>0</v>
      </c>
      <c r="GU247" t="s">
        <v>3</v>
      </c>
      <c r="GV247">
        <f t="shared" si="244"/>
        <v>0</v>
      </c>
      <c r="GW247">
        <v>1</v>
      </c>
      <c r="GX247">
        <f t="shared" si="245"/>
        <v>0</v>
      </c>
      <c r="HA247">
        <v>0</v>
      </c>
      <c r="HB247">
        <v>0</v>
      </c>
      <c r="IK247">
        <v>0</v>
      </c>
    </row>
    <row r="248" spans="1:245" x14ac:dyDescent="0.2">
      <c r="A248">
        <v>17</v>
      </c>
      <c r="B248">
        <v>1</v>
      </c>
      <c r="C248">
        <f>ROW(SmtRes!A382)</f>
        <v>382</v>
      </c>
      <c r="D248">
        <f>ROW(EtalonRes!A362)</f>
        <v>362</v>
      </c>
      <c r="E248" t="s">
        <v>589</v>
      </c>
      <c r="F248" t="s">
        <v>590</v>
      </c>
      <c r="G248" t="s">
        <v>591</v>
      </c>
      <c r="H248" t="s">
        <v>404</v>
      </c>
      <c r="I248">
        <v>1</v>
      </c>
      <c r="J248">
        <v>0</v>
      </c>
      <c r="O248">
        <f t="shared" si="213"/>
        <v>30.39</v>
      </c>
      <c r="P248">
        <f t="shared" si="214"/>
        <v>0.6</v>
      </c>
      <c r="Q248">
        <f t="shared" si="215"/>
        <v>0</v>
      </c>
      <c r="R248">
        <f t="shared" si="216"/>
        <v>0</v>
      </c>
      <c r="S248">
        <f t="shared" si="217"/>
        <v>29.79</v>
      </c>
      <c r="T248">
        <f t="shared" si="218"/>
        <v>0</v>
      </c>
      <c r="U248">
        <f t="shared" si="219"/>
        <v>0.4</v>
      </c>
      <c r="V248">
        <f t="shared" si="220"/>
        <v>0</v>
      </c>
      <c r="W248">
        <f t="shared" si="221"/>
        <v>0</v>
      </c>
      <c r="X248">
        <f t="shared" si="222"/>
        <v>23.83</v>
      </c>
      <c r="Y248">
        <f t="shared" si="223"/>
        <v>17.87</v>
      </c>
      <c r="AA248">
        <v>39096431</v>
      </c>
      <c r="AB248">
        <f t="shared" si="224"/>
        <v>4.53</v>
      </c>
      <c r="AC248">
        <f t="shared" si="246"/>
        <v>0.09</v>
      </c>
      <c r="AD248">
        <f t="shared" si="247"/>
        <v>0</v>
      </c>
      <c r="AE248">
        <f t="shared" si="248"/>
        <v>0</v>
      </c>
      <c r="AF248">
        <f t="shared" si="249"/>
        <v>4.4400000000000004</v>
      </c>
      <c r="AG248">
        <f t="shared" si="225"/>
        <v>0</v>
      </c>
      <c r="AH248">
        <f t="shared" si="250"/>
        <v>0.4</v>
      </c>
      <c r="AI248">
        <f t="shared" si="251"/>
        <v>0</v>
      </c>
      <c r="AJ248">
        <f t="shared" si="226"/>
        <v>0</v>
      </c>
      <c r="AK248">
        <v>4.53</v>
      </c>
      <c r="AL248">
        <v>0.09</v>
      </c>
      <c r="AM248">
        <v>0</v>
      </c>
      <c r="AN248">
        <v>0</v>
      </c>
      <c r="AO248">
        <v>4.4400000000000004</v>
      </c>
      <c r="AP248">
        <v>0</v>
      </c>
      <c r="AQ248">
        <v>0.4</v>
      </c>
      <c r="AR248">
        <v>0</v>
      </c>
      <c r="AS248">
        <v>0</v>
      </c>
      <c r="AT248">
        <v>80</v>
      </c>
      <c r="AU248">
        <v>60</v>
      </c>
      <c r="AV248">
        <v>1</v>
      </c>
      <c r="AW248">
        <v>1</v>
      </c>
      <c r="AZ248">
        <v>6.71</v>
      </c>
      <c r="BA248">
        <v>6.71</v>
      </c>
      <c r="BB248">
        <v>6.71</v>
      </c>
      <c r="BC248">
        <v>6.71</v>
      </c>
      <c r="BD248" t="s">
        <v>3</v>
      </c>
      <c r="BE248" t="s">
        <v>3</v>
      </c>
      <c r="BF248" t="s">
        <v>3</v>
      </c>
      <c r="BG248" t="s">
        <v>3</v>
      </c>
      <c r="BH248">
        <v>0</v>
      </c>
      <c r="BI248">
        <v>2</v>
      </c>
      <c r="BJ248" t="s">
        <v>592</v>
      </c>
      <c r="BM248">
        <v>110001</v>
      </c>
      <c r="BN248">
        <v>0</v>
      </c>
      <c r="BO248" t="s">
        <v>3</v>
      </c>
      <c r="BP248">
        <v>0</v>
      </c>
      <c r="BQ248">
        <v>3</v>
      </c>
      <c r="BR248">
        <v>0</v>
      </c>
      <c r="BS248">
        <v>6.71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80</v>
      </c>
      <c r="CA248">
        <v>60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27"/>
        <v>30.39</v>
      </c>
      <c r="CQ248">
        <f t="shared" si="228"/>
        <v>0.60389999999999999</v>
      </c>
      <c r="CR248">
        <f t="shared" si="229"/>
        <v>0</v>
      </c>
      <c r="CS248">
        <f t="shared" si="230"/>
        <v>0</v>
      </c>
      <c r="CT248">
        <f t="shared" si="231"/>
        <v>29.792400000000004</v>
      </c>
      <c r="CU248">
        <f t="shared" si="232"/>
        <v>0</v>
      </c>
      <c r="CV248">
        <f t="shared" si="233"/>
        <v>0.4</v>
      </c>
      <c r="CW248">
        <f t="shared" si="234"/>
        <v>0</v>
      </c>
      <c r="CX248">
        <f t="shared" si="235"/>
        <v>0</v>
      </c>
      <c r="CY248">
        <f t="shared" si="236"/>
        <v>23.831999999999997</v>
      </c>
      <c r="CZ248">
        <f t="shared" si="237"/>
        <v>17.873999999999999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1013</v>
      </c>
      <c r="DV248" t="s">
        <v>404</v>
      </c>
      <c r="DW248" t="s">
        <v>404</v>
      </c>
      <c r="DX248">
        <v>1</v>
      </c>
      <c r="EE248">
        <v>39174389</v>
      </c>
      <c r="EF248">
        <v>3</v>
      </c>
      <c r="EG248" t="s">
        <v>391</v>
      </c>
      <c r="EH248">
        <v>0</v>
      </c>
      <c r="EI248" t="s">
        <v>3</v>
      </c>
      <c r="EJ248">
        <v>2</v>
      </c>
      <c r="EK248">
        <v>110001</v>
      </c>
      <c r="EL248" t="s">
        <v>593</v>
      </c>
      <c r="EM248" t="s">
        <v>432</v>
      </c>
      <c r="EO248" t="s">
        <v>3</v>
      </c>
      <c r="EQ248">
        <v>0</v>
      </c>
      <c r="ER248">
        <v>4.53</v>
      </c>
      <c r="ES248">
        <v>0.09</v>
      </c>
      <c r="ET248">
        <v>0</v>
      </c>
      <c r="EU248">
        <v>0</v>
      </c>
      <c r="EV248">
        <v>4.4400000000000004</v>
      </c>
      <c r="EW248">
        <v>0.4</v>
      </c>
      <c r="EX248">
        <v>0</v>
      </c>
      <c r="EY248">
        <v>0</v>
      </c>
      <c r="FQ248">
        <v>0</v>
      </c>
      <c r="FR248">
        <f t="shared" si="238"/>
        <v>0</v>
      </c>
      <c r="FS248">
        <v>0</v>
      </c>
      <c r="FX248">
        <v>80</v>
      </c>
      <c r="FY248">
        <v>60</v>
      </c>
      <c r="GA248" t="s">
        <v>3</v>
      </c>
      <c r="GD248">
        <v>0</v>
      </c>
      <c r="GF248">
        <v>-1346137888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 t="shared" si="239"/>
        <v>0</v>
      </c>
      <c r="GM248">
        <f t="shared" si="240"/>
        <v>72.09</v>
      </c>
      <c r="GN248">
        <f t="shared" si="241"/>
        <v>0</v>
      </c>
      <c r="GO248">
        <f t="shared" si="242"/>
        <v>72.09</v>
      </c>
      <c r="GP248">
        <f t="shared" si="243"/>
        <v>0</v>
      </c>
      <c r="GR248">
        <v>0</v>
      </c>
      <c r="GS248">
        <v>3</v>
      </c>
      <c r="GT248">
        <v>0</v>
      </c>
      <c r="GU248" t="s">
        <v>3</v>
      </c>
      <c r="GV248">
        <f t="shared" si="244"/>
        <v>0</v>
      </c>
      <c r="GW248">
        <v>1</v>
      </c>
      <c r="GX248">
        <f t="shared" si="245"/>
        <v>0</v>
      </c>
      <c r="HA248">
        <v>0</v>
      </c>
      <c r="HB248">
        <v>0</v>
      </c>
      <c r="IK248">
        <v>0</v>
      </c>
    </row>
    <row r="250" spans="1:245" x14ac:dyDescent="0.2">
      <c r="A250" s="2">
        <v>51</v>
      </c>
      <c r="B250" s="2">
        <f>B235</f>
        <v>1</v>
      </c>
      <c r="C250" s="2">
        <f>A235</f>
        <v>4</v>
      </c>
      <c r="D250" s="2">
        <f>ROW(A235)</f>
        <v>235</v>
      </c>
      <c r="E250" s="2"/>
      <c r="F250" s="2" t="str">
        <f>IF(F235&lt;&gt;"",F235,"")</f>
        <v>Новый раздел</v>
      </c>
      <c r="G250" s="2" t="str">
        <f>IF(G235&lt;&gt;"",G235,"")</f>
        <v>4 АПС</v>
      </c>
      <c r="H250" s="2">
        <v>0</v>
      </c>
      <c r="I250" s="2"/>
      <c r="J250" s="2"/>
      <c r="K250" s="2"/>
      <c r="L250" s="2"/>
      <c r="M250" s="2"/>
      <c r="N250" s="2"/>
      <c r="O250" s="2">
        <f t="shared" ref="O250:T250" si="252">ROUND(AB250,2)</f>
        <v>29100</v>
      </c>
      <c r="P250" s="2">
        <f t="shared" si="252"/>
        <v>24074.61</v>
      </c>
      <c r="Q250" s="2">
        <f t="shared" si="252"/>
        <v>18.100000000000001</v>
      </c>
      <c r="R250" s="2">
        <f t="shared" si="252"/>
        <v>2.5499999999999998</v>
      </c>
      <c r="S250" s="2">
        <f t="shared" si="252"/>
        <v>5007.29</v>
      </c>
      <c r="T250" s="2">
        <f t="shared" si="252"/>
        <v>0</v>
      </c>
      <c r="U250" s="2">
        <f>AH250</f>
        <v>77.584400000000016</v>
      </c>
      <c r="V250" s="2">
        <f>AI250</f>
        <v>3.04E-2</v>
      </c>
      <c r="W250" s="2">
        <f>ROUND(AJ250,2)</f>
        <v>0</v>
      </c>
      <c r="X250" s="2">
        <f>ROUND(AK250,2)</f>
        <v>4128.47</v>
      </c>
      <c r="Y250" s="2">
        <f>ROUND(AL250,2)</f>
        <v>3046.1</v>
      </c>
      <c r="Z250" s="2"/>
      <c r="AA250" s="2"/>
      <c r="AB250" s="2">
        <f>ROUND(SUMIF(AA239:AA248,"=39096431",O239:O248),2)</f>
        <v>29100</v>
      </c>
      <c r="AC250" s="2">
        <f>ROUND(SUMIF(AA239:AA248,"=39096431",P239:P248),2)</f>
        <v>24074.61</v>
      </c>
      <c r="AD250" s="2">
        <f>ROUND(SUMIF(AA239:AA248,"=39096431",Q239:Q248),2)</f>
        <v>18.100000000000001</v>
      </c>
      <c r="AE250" s="2">
        <f>ROUND(SUMIF(AA239:AA248,"=39096431",R239:R248),2)</f>
        <v>2.5499999999999998</v>
      </c>
      <c r="AF250" s="2">
        <f>ROUND(SUMIF(AA239:AA248,"=39096431",S239:S248),2)</f>
        <v>5007.29</v>
      </c>
      <c r="AG250" s="2">
        <f>ROUND(SUMIF(AA239:AA248,"=39096431",T239:T248),2)</f>
        <v>0</v>
      </c>
      <c r="AH250" s="2">
        <f>SUMIF(AA239:AA248,"=39096431",U239:U248)</f>
        <v>77.584400000000016</v>
      </c>
      <c r="AI250" s="2">
        <f>SUMIF(AA239:AA248,"=39096431",V239:V248)</f>
        <v>3.04E-2</v>
      </c>
      <c r="AJ250" s="2">
        <f>ROUND(SUMIF(AA239:AA248,"=39096431",W239:W248),2)</f>
        <v>0</v>
      </c>
      <c r="AK250" s="2">
        <f>ROUND(SUMIF(AA239:AA248,"=39096431",X239:X248),2)</f>
        <v>4128.47</v>
      </c>
      <c r="AL250" s="2">
        <f>ROUND(SUMIF(AA239:AA248,"=39096431",Y239:Y248),2)</f>
        <v>3046.1</v>
      </c>
      <c r="AM250" s="2"/>
      <c r="AN250" s="2"/>
      <c r="AO250" s="2">
        <f t="shared" ref="AO250:BC250" si="253">ROUND(BX250,2)</f>
        <v>0</v>
      </c>
      <c r="AP250" s="2">
        <f t="shared" si="253"/>
        <v>0</v>
      </c>
      <c r="AQ250" s="2">
        <f t="shared" si="253"/>
        <v>0</v>
      </c>
      <c r="AR250" s="2">
        <f t="shared" si="253"/>
        <v>36274.57</v>
      </c>
      <c r="AS250" s="2">
        <f t="shared" si="253"/>
        <v>0</v>
      </c>
      <c r="AT250" s="2">
        <f t="shared" si="253"/>
        <v>36274.57</v>
      </c>
      <c r="AU250" s="2">
        <f t="shared" si="253"/>
        <v>0</v>
      </c>
      <c r="AV250" s="2">
        <f t="shared" si="253"/>
        <v>24074.61</v>
      </c>
      <c r="AW250" s="2">
        <f t="shared" si="253"/>
        <v>24074.61</v>
      </c>
      <c r="AX250" s="2">
        <f t="shared" si="253"/>
        <v>0</v>
      </c>
      <c r="AY250" s="2">
        <f t="shared" si="253"/>
        <v>24074.61</v>
      </c>
      <c r="AZ250" s="2">
        <f t="shared" si="253"/>
        <v>0</v>
      </c>
      <c r="BA250" s="2">
        <f t="shared" si="253"/>
        <v>0</v>
      </c>
      <c r="BB250" s="2">
        <f t="shared" si="253"/>
        <v>0</v>
      </c>
      <c r="BC250" s="2">
        <f t="shared" si="253"/>
        <v>0</v>
      </c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>
        <f>ROUND(SUMIF(AA239:AA248,"=39096431",FQ239:FQ248),2)</f>
        <v>0</v>
      </c>
      <c r="BY250" s="2">
        <f>ROUND(SUMIF(AA239:AA248,"=39096431",FR239:FR248),2)</f>
        <v>0</v>
      </c>
      <c r="BZ250" s="2">
        <f>ROUND(SUMIF(AA239:AA248,"=39096431",GL239:GL248),2)</f>
        <v>0</v>
      </c>
      <c r="CA250" s="2">
        <f>ROUND(SUMIF(AA239:AA248,"=39096431",GM239:GM248),2)</f>
        <v>36274.57</v>
      </c>
      <c r="CB250" s="2">
        <f>ROUND(SUMIF(AA239:AA248,"=39096431",GN239:GN248),2)</f>
        <v>0</v>
      </c>
      <c r="CC250" s="2">
        <f>ROUND(SUMIF(AA239:AA248,"=39096431",GO239:GO248),2)</f>
        <v>36274.57</v>
      </c>
      <c r="CD250" s="2">
        <f>ROUND(SUMIF(AA239:AA248,"=39096431",GP239:GP248),2)</f>
        <v>0</v>
      </c>
      <c r="CE250" s="2">
        <f>AC250-BX250</f>
        <v>24074.61</v>
      </c>
      <c r="CF250" s="2">
        <f>AC250-BY250</f>
        <v>24074.61</v>
      </c>
      <c r="CG250" s="2">
        <f>BX250-BZ250</f>
        <v>0</v>
      </c>
      <c r="CH250" s="2">
        <f>AC250-BX250-BY250+BZ250</f>
        <v>24074.61</v>
      </c>
      <c r="CI250" s="2">
        <f>BY250-BZ250</f>
        <v>0</v>
      </c>
      <c r="CJ250" s="2">
        <f>ROUND(SUMIF(AA239:AA248,"=39096431",GX239:GX248),2)</f>
        <v>0</v>
      </c>
      <c r="CK250" s="2">
        <f>ROUND(SUMIF(AA239:AA248,"=39096431",GY239:GY248),2)</f>
        <v>0</v>
      </c>
      <c r="CL250" s="2">
        <f>ROUND(SUMIF(AA239:AA248,"=39096431",GZ239:GZ248),2)</f>
        <v>0</v>
      </c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>
        <v>0</v>
      </c>
    </row>
    <row r="252" spans="1:245" x14ac:dyDescent="0.2">
      <c r="A252" s="4">
        <v>50</v>
      </c>
      <c r="B252" s="4">
        <v>0</v>
      </c>
      <c r="C252" s="4">
        <v>0</v>
      </c>
      <c r="D252" s="4">
        <v>1</v>
      </c>
      <c r="E252" s="4">
        <v>201</v>
      </c>
      <c r="F252" s="4">
        <f>ROUND(Source!O250,O252)</f>
        <v>29100</v>
      </c>
      <c r="G252" s="4" t="s">
        <v>280</v>
      </c>
      <c r="H252" s="4" t="s">
        <v>281</v>
      </c>
      <c r="I252" s="4"/>
      <c r="J252" s="4"/>
      <c r="K252" s="4">
        <v>201</v>
      </c>
      <c r="L252" s="4">
        <v>1</v>
      </c>
      <c r="M252" s="4">
        <v>3</v>
      </c>
      <c r="N252" s="4" t="s">
        <v>3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45" x14ac:dyDescent="0.2">
      <c r="A253" s="4">
        <v>50</v>
      </c>
      <c r="B253" s="4">
        <v>0</v>
      </c>
      <c r="C253" s="4">
        <v>0</v>
      </c>
      <c r="D253" s="4">
        <v>1</v>
      </c>
      <c r="E253" s="4">
        <v>202</v>
      </c>
      <c r="F253" s="4">
        <f>ROUND(Source!P250,O253)</f>
        <v>24074.61</v>
      </c>
      <c r="G253" s="4" t="s">
        <v>282</v>
      </c>
      <c r="H253" s="4" t="s">
        <v>283</v>
      </c>
      <c r="I253" s="4"/>
      <c r="J253" s="4"/>
      <c r="K253" s="4">
        <v>202</v>
      </c>
      <c r="L253" s="4">
        <v>2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45" x14ac:dyDescent="0.2">
      <c r="A254" s="4">
        <v>50</v>
      </c>
      <c r="B254" s="4">
        <v>0</v>
      </c>
      <c r="C254" s="4">
        <v>0</v>
      </c>
      <c r="D254" s="4">
        <v>1</v>
      </c>
      <c r="E254" s="4">
        <v>222</v>
      </c>
      <c r="F254" s="4">
        <f>ROUND(Source!AO250,O254)</f>
        <v>0</v>
      </c>
      <c r="G254" s="4" t="s">
        <v>284</v>
      </c>
      <c r="H254" s="4" t="s">
        <v>285</v>
      </c>
      <c r="I254" s="4"/>
      <c r="J254" s="4"/>
      <c r="K254" s="4">
        <v>222</v>
      </c>
      <c r="L254" s="4">
        <v>3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45" x14ac:dyDescent="0.2">
      <c r="A255" s="4">
        <v>50</v>
      </c>
      <c r="B255" s="4">
        <v>0</v>
      </c>
      <c r="C255" s="4">
        <v>0</v>
      </c>
      <c r="D255" s="4">
        <v>1</v>
      </c>
      <c r="E255" s="4">
        <v>225</v>
      </c>
      <c r="F255" s="4">
        <f>ROUND(Source!AV250,O255)</f>
        <v>24074.61</v>
      </c>
      <c r="G255" s="4" t="s">
        <v>286</v>
      </c>
      <c r="H255" s="4" t="s">
        <v>287</v>
      </c>
      <c r="I255" s="4"/>
      <c r="J255" s="4"/>
      <c r="K255" s="4">
        <v>225</v>
      </c>
      <c r="L255" s="4">
        <v>4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45" x14ac:dyDescent="0.2">
      <c r="A256" s="4">
        <v>50</v>
      </c>
      <c r="B256" s="4">
        <v>0</v>
      </c>
      <c r="C256" s="4">
        <v>0</v>
      </c>
      <c r="D256" s="4">
        <v>1</v>
      </c>
      <c r="E256" s="4">
        <v>226</v>
      </c>
      <c r="F256" s="4">
        <f>ROUND(Source!AW250,O256)</f>
        <v>24074.61</v>
      </c>
      <c r="G256" s="4" t="s">
        <v>288</v>
      </c>
      <c r="H256" s="4" t="s">
        <v>289</v>
      </c>
      <c r="I256" s="4"/>
      <c r="J256" s="4"/>
      <c r="K256" s="4">
        <v>226</v>
      </c>
      <c r="L256" s="4">
        <v>5</v>
      </c>
      <c r="M256" s="4">
        <v>3</v>
      </c>
      <c r="N256" s="4" t="s">
        <v>3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3" x14ac:dyDescent="0.2">
      <c r="A257" s="4">
        <v>50</v>
      </c>
      <c r="B257" s="4">
        <v>0</v>
      </c>
      <c r="C257" s="4">
        <v>0</v>
      </c>
      <c r="D257" s="4">
        <v>1</v>
      </c>
      <c r="E257" s="4">
        <v>227</v>
      </c>
      <c r="F257" s="4">
        <f>ROUND(Source!AX250,O257)</f>
        <v>0</v>
      </c>
      <c r="G257" s="4" t="s">
        <v>290</v>
      </c>
      <c r="H257" s="4" t="s">
        <v>291</v>
      </c>
      <c r="I257" s="4"/>
      <c r="J257" s="4"/>
      <c r="K257" s="4">
        <v>227</v>
      </c>
      <c r="L257" s="4">
        <v>6</v>
      </c>
      <c r="M257" s="4">
        <v>3</v>
      </c>
      <c r="N257" s="4" t="s">
        <v>3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3" x14ac:dyDescent="0.2">
      <c r="A258" s="4">
        <v>50</v>
      </c>
      <c r="B258" s="4">
        <v>0</v>
      </c>
      <c r="C258" s="4">
        <v>0</v>
      </c>
      <c r="D258" s="4">
        <v>1</v>
      </c>
      <c r="E258" s="4">
        <v>228</v>
      </c>
      <c r="F258" s="4">
        <f>ROUND(Source!AY250,O258)</f>
        <v>24074.61</v>
      </c>
      <c r="G258" s="4" t="s">
        <v>292</v>
      </c>
      <c r="H258" s="4" t="s">
        <v>293</v>
      </c>
      <c r="I258" s="4"/>
      <c r="J258" s="4"/>
      <c r="K258" s="4">
        <v>228</v>
      </c>
      <c r="L258" s="4">
        <v>7</v>
      </c>
      <c r="M258" s="4">
        <v>3</v>
      </c>
      <c r="N258" s="4" t="s">
        <v>3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3" x14ac:dyDescent="0.2">
      <c r="A259" s="4">
        <v>50</v>
      </c>
      <c r="B259" s="4">
        <v>0</v>
      </c>
      <c r="C259" s="4">
        <v>0</v>
      </c>
      <c r="D259" s="4">
        <v>1</v>
      </c>
      <c r="E259" s="4">
        <v>216</v>
      </c>
      <c r="F259" s="4">
        <f>ROUND(Source!AP250,O259)</f>
        <v>0</v>
      </c>
      <c r="G259" s="4" t="s">
        <v>294</v>
      </c>
      <c r="H259" s="4" t="s">
        <v>295</v>
      </c>
      <c r="I259" s="4"/>
      <c r="J259" s="4"/>
      <c r="K259" s="4">
        <v>216</v>
      </c>
      <c r="L259" s="4">
        <v>8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3" x14ac:dyDescent="0.2">
      <c r="A260" s="4">
        <v>50</v>
      </c>
      <c r="B260" s="4">
        <v>0</v>
      </c>
      <c r="C260" s="4">
        <v>0</v>
      </c>
      <c r="D260" s="4">
        <v>1</v>
      </c>
      <c r="E260" s="4">
        <v>223</v>
      </c>
      <c r="F260" s="4">
        <f>ROUND(Source!AQ250,O260)</f>
        <v>0</v>
      </c>
      <c r="G260" s="4" t="s">
        <v>296</v>
      </c>
      <c r="H260" s="4" t="s">
        <v>297</v>
      </c>
      <c r="I260" s="4"/>
      <c r="J260" s="4"/>
      <c r="K260" s="4">
        <v>223</v>
      </c>
      <c r="L260" s="4">
        <v>9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3" x14ac:dyDescent="0.2">
      <c r="A261" s="4">
        <v>50</v>
      </c>
      <c r="B261" s="4">
        <v>0</v>
      </c>
      <c r="C261" s="4">
        <v>0</v>
      </c>
      <c r="D261" s="4">
        <v>1</v>
      </c>
      <c r="E261" s="4">
        <v>229</v>
      </c>
      <c r="F261" s="4">
        <f>ROUND(Source!AZ250,O261)</f>
        <v>0</v>
      </c>
      <c r="G261" s="4" t="s">
        <v>298</v>
      </c>
      <c r="H261" s="4" t="s">
        <v>299</v>
      </c>
      <c r="I261" s="4"/>
      <c r="J261" s="4"/>
      <c r="K261" s="4">
        <v>229</v>
      </c>
      <c r="L261" s="4">
        <v>10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3" x14ac:dyDescent="0.2">
      <c r="A262" s="4">
        <v>50</v>
      </c>
      <c r="B262" s="4">
        <v>0</v>
      </c>
      <c r="C262" s="4">
        <v>0</v>
      </c>
      <c r="D262" s="4">
        <v>1</v>
      </c>
      <c r="E262" s="4">
        <v>203</v>
      </c>
      <c r="F262" s="4">
        <f>ROUND(Source!Q250,O262)</f>
        <v>18.100000000000001</v>
      </c>
      <c r="G262" s="4" t="s">
        <v>300</v>
      </c>
      <c r="H262" s="4" t="s">
        <v>301</v>
      </c>
      <c r="I262" s="4"/>
      <c r="J262" s="4"/>
      <c r="K262" s="4">
        <v>203</v>
      </c>
      <c r="L262" s="4">
        <v>11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3" x14ac:dyDescent="0.2">
      <c r="A263" s="4">
        <v>50</v>
      </c>
      <c r="B263" s="4">
        <v>0</v>
      </c>
      <c r="C263" s="4">
        <v>0</v>
      </c>
      <c r="D263" s="4">
        <v>1</v>
      </c>
      <c r="E263" s="4">
        <v>231</v>
      </c>
      <c r="F263" s="4">
        <f>ROUND(Source!BB250,O263)</f>
        <v>0</v>
      </c>
      <c r="G263" s="4" t="s">
        <v>302</v>
      </c>
      <c r="H263" s="4" t="s">
        <v>303</v>
      </c>
      <c r="I263" s="4"/>
      <c r="J263" s="4"/>
      <c r="K263" s="4">
        <v>231</v>
      </c>
      <c r="L263" s="4">
        <v>12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3" x14ac:dyDescent="0.2">
      <c r="A264" s="4">
        <v>50</v>
      </c>
      <c r="B264" s="4">
        <v>0</v>
      </c>
      <c r="C264" s="4">
        <v>0</v>
      </c>
      <c r="D264" s="4">
        <v>1</v>
      </c>
      <c r="E264" s="4">
        <v>204</v>
      </c>
      <c r="F264" s="4">
        <f>ROUND(Source!R250,O264)</f>
        <v>2.5499999999999998</v>
      </c>
      <c r="G264" s="4" t="s">
        <v>304</v>
      </c>
      <c r="H264" s="4" t="s">
        <v>305</v>
      </c>
      <c r="I264" s="4"/>
      <c r="J264" s="4"/>
      <c r="K264" s="4">
        <v>204</v>
      </c>
      <c r="L264" s="4">
        <v>13</v>
      </c>
      <c r="M264" s="4">
        <v>3</v>
      </c>
      <c r="N264" s="4" t="s">
        <v>3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3" x14ac:dyDescent="0.2">
      <c r="A265" s="4">
        <v>50</v>
      </c>
      <c r="B265" s="4">
        <v>0</v>
      </c>
      <c r="C265" s="4">
        <v>0</v>
      </c>
      <c r="D265" s="4">
        <v>1</v>
      </c>
      <c r="E265" s="4">
        <v>205</v>
      </c>
      <c r="F265" s="4">
        <f>ROUND(Source!S250,O265)</f>
        <v>5007.29</v>
      </c>
      <c r="G265" s="4" t="s">
        <v>306</v>
      </c>
      <c r="H265" s="4" t="s">
        <v>307</v>
      </c>
      <c r="I265" s="4"/>
      <c r="J265" s="4"/>
      <c r="K265" s="4">
        <v>205</v>
      </c>
      <c r="L265" s="4">
        <v>14</v>
      </c>
      <c r="M265" s="4">
        <v>3</v>
      </c>
      <c r="N265" s="4" t="s">
        <v>3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3" x14ac:dyDescent="0.2">
      <c r="A266" s="4">
        <v>50</v>
      </c>
      <c r="B266" s="4">
        <v>0</v>
      </c>
      <c r="C266" s="4">
        <v>0</v>
      </c>
      <c r="D266" s="4">
        <v>1</v>
      </c>
      <c r="E266" s="4">
        <v>232</v>
      </c>
      <c r="F266" s="4">
        <f>ROUND(Source!BC250,O266)</f>
        <v>0</v>
      </c>
      <c r="G266" s="4" t="s">
        <v>308</v>
      </c>
      <c r="H266" s="4" t="s">
        <v>309</v>
      </c>
      <c r="I266" s="4"/>
      <c r="J266" s="4"/>
      <c r="K266" s="4">
        <v>232</v>
      </c>
      <c r="L266" s="4">
        <v>15</v>
      </c>
      <c r="M266" s="4">
        <v>3</v>
      </c>
      <c r="N266" s="4" t="s">
        <v>3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3" x14ac:dyDescent="0.2">
      <c r="A267" s="4">
        <v>50</v>
      </c>
      <c r="B267" s="4">
        <v>0</v>
      </c>
      <c r="C267" s="4">
        <v>0</v>
      </c>
      <c r="D267" s="4">
        <v>1</v>
      </c>
      <c r="E267" s="4">
        <v>214</v>
      </c>
      <c r="F267" s="4">
        <f>ROUND(Source!AS250,O267)</f>
        <v>0</v>
      </c>
      <c r="G267" s="4" t="s">
        <v>310</v>
      </c>
      <c r="H267" s="4" t="s">
        <v>311</v>
      </c>
      <c r="I267" s="4"/>
      <c r="J267" s="4"/>
      <c r="K267" s="4">
        <v>214</v>
      </c>
      <c r="L267" s="4">
        <v>16</v>
      </c>
      <c r="M267" s="4">
        <v>3</v>
      </c>
      <c r="N267" s="4" t="s">
        <v>3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3" x14ac:dyDescent="0.2">
      <c r="A268" s="4">
        <v>50</v>
      </c>
      <c r="B268" s="4">
        <v>0</v>
      </c>
      <c r="C268" s="4">
        <v>0</v>
      </c>
      <c r="D268" s="4">
        <v>1</v>
      </c>
      <c r="E268" s="4">
        <v>215</v>
      </c>
      <c r="F268" s="4">
        <f>ROUND(Source!AT250,O268)</f>
        <v>36274.57</v>
      </c>
      <c r="G268" s="4" t="s">
        <v>312</v>
      </c>
      <c r="H268" s="4" t="s">
        <v>313</v>
      </c>
      <c r="I268" s="4"/>
      <c r="J268" s="4"/>
      <c r="K268" s="4">
        <v>215</v>
      </c>
      <c r="L268" s="4">
        <v>17</v>
      </c>
      <c r="M268" s="4">
        <v>3</v>
      </c>
      <c r="N268" s="4" t="s">
        <v>3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3" x14ac:dyDescent="0.2">
      <c r="A269" s="4">
        <v>50</v>
      </c>
      <c r="B269" s="4">
        <v>0</v>
      </c>
      <c r="C269" s="4">
        <v>0</v>
      </c>
      <c r="D269" s="4">
        <v>1</v>
      </c>
      <c r="E269" s="4">
        <v>217</v>
      </c>
      <c r="F269" s="4">
        <f>ROUND(Source!AU250,O269)</f>
        <v>0</v>
      </c>
      <c r="G269" s="4" t="s">
        <v>314</v>
      </c>
      <c r="H269" s="4" t="s">
        <v>315</v>
      </c>
      <c r="I269" s="4"/>
      <c r="J269" s="4"/>
      <c r="K269" s="4">
        <v>217</v>
      </c>
      <c r="L269" s="4">
        <v>18</v>
      </c>
      <c r="M269" s="4">
        <v>3</v>
      </c>
      <c r="N269" s="4" t="s">
        <v>3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3" x14ac:dyDescent="0.2">
      <c r="A270" s="4">
        <v>50</v>
      </c>
      <c r="B270" s="4">
        <v>0</v>
      </c>
      <c r="C270" s="4">
        <v>0</v>
      </c>
      <c r="D270" s="4">
        <v>1</v>
      </c>
      <c r="E270" s="4">
        <v>230</v>
      </c>
      <c r="F270" s="4">
        <f>ROUND(Source!BA250,O270)</f>
        <v>0</v>
      </c>
      <c r="G270" s="4" t="s">
        <v>316</v>
      </c>
      <c r="H270" s="4" t="s">
        <v>317</v>
      </c>
      <c r="I270" s="4"/>
      <c r="J270" s="4"/>
      <c r="K270" s="4">
        <v>230</v>
      </c>
      <c r="L270" s="4">
        <v>19</v>
      </c>
      <c r="M270" s="4">
        <v>3</v>
      </c>
      <c r="N270" s="4" t="s">
        <v>3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3" x14ac:dyDescent="0.2">
      <c r="A271" s="4">
        <v>50</v>
      </c>
      <c r="B271" s="4">
        <v>0</v>
      </c>
      <c r="C271" s="4">
        <v>0</v>
      </c>
      <c r="D271" s="4">
        <v>1</v>
      </c>
      <c r="E271" s="4">
        <v>206</v>
      </c>
      <c r="F271" s="4">
        <f>ROUND(Source!T250,O271)</f>
        <v>0</v>
      </c>
      <c r="G271" s="4" t="s">
        <v>318</v>
      </c>
      <c r="H271" s="4" t="s">
        <v>319</v>
      </c>
      <c r="I271" s="4"/>
      <c r="J271" s="4"/>
      <c r="K271" s="4">
        <v>206</v>
      </c>
      <c r="L271" s="4">
        <v>20</v>
      </c>
      <c r="M271" s="4">
        <v>3</v>
      </c>
      <c r="N271" s="4" t="s">
        <v>3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3" x14ac:dyDescent="0.2">
      <c r="A272" s="4">
        <v>50</v>
      </c>
      <c r="B272" s="4">
        <v>0</v>
      </c>
      <c r="C272" s="4">
        <v>0</v>
      </c>
      <c r="D272" s="4">
        <v>1</v>
      </c>
      <c r="E272" s="4">
        <v>207</v>
      </c>
      <c r="F272" s="4">
        <f>Source!U250</f>
        <v>77.584400000000016</v>
      </c>
      <c r="G272" s="4" t="s">
        <v>320</v>
      </c>
      <c r="H272" s="4" t="s">
        <v>321</v>
      </c>
      <c r="I272" s="4"/>
      <c r="J272" s="4"/>
      <c r="K272" s="4">
        <v>207</v>
      </c>
      <c r="L272" s="4">
        <v>21</v>
      </c>
      <c r="M272" s="4">
        <v>3</v>
      </c>
      <c r="N272" s="4" t="s">
        <v>3</v>
      </c>
      <c r="O272" s="4">
        <v>-1</v>
      </c>
      <c r="P272" s="4"/>
      <c r="Q272" s="4"/>
      <c r="R272" s="4"/>
      <c r="S272" s="4"/>
      <c r="T272" s="4"/>
      <c r="U272" s="4"/>
      <c r="V272" s="4"/>
      <c r="W272" s="4"/>
    </row>
    <row r="273" spans="1:206" x14ac:dyDescent="0.2">
      <c r="A273" s="4">
        <v>50</v>
      </c>
      <c r="B273" s="4">
        <v>0</v>
      </c>
      <c r="C273" s="4">
        <v>0</v>
      </c>
      <c r="D273" s="4">
        <v>1</v>
      </c>
      <c r="E273" s="4">
        <v>208</v>
      </c>
      <c r="F273" s="4">
        <f>Source!V250</f>
        <v>3.04E-2</v>
      </c>
      <c r="G273" s="4" t="s">
        <v>322</v>
      </c>
      <c r="H273" s="4" t="s">
        <v>323</v>
      </c>
      <c r="I273" s="4"/>
      <c r="J273" s="4"/>
      <c r="K273" s="4">
        <v>208</v>
      </c>
      <c r="L273" s="4">
        <v>22</v>
      </c>
      <c r="M273" s="4">
        <v>3</v>
      </c>
      <c r="N273" s="4" t="s">
        <v>3</v>
      </c>
      <c r="O273" s="4">
        <v>-1</v>
      </c>
      <c r="P273" s="4"/>
      <c r="Q273" s="4"/>
      <c r="R273" s="4"/>
      <c r="S273" s="4"/>
      <c r="T273" s="4"/>
      <c r="U273" s="4"/>
      <c r="V273" s="4"/>
      <c r="W273" s="4"/>
    </row>
    <row r="274" spans="1:206" x14ac:dyDescent="0.2">
      <c r="A274" s="4">
        <v>50</v>
      </c>
      <c r="B274" s="4">
        <v>0</v>
      </c>
      <c r="C274" s="4">
        <v>0</v>
      </c>
      <c r="D274" s="4">
        <v>1</v>
      </c>
      <c r="E274" s="4">
        <v>209</v>
      </c>
      <c r="F274" s="4">
        <f>ROUND(Source!W250,O274)</f>
        <v>0</v>
      </c>
      <c r="G274" s="4" t="s">
        <v>324</v>
      </c>
      <c r="H274" s="4" t="s">
        <v>325</v>
      </c>
      <c r="I274" s="4"/>
      <c r="J274" s="4"/>
      <c r="K274" s="4">
        <v>209</v>
      </c>
      <c r="L274" s="4">
        <v>23</v>
      </c>
      <c r="M274" s="4">
        <v>3</v>
      </c>
      <c r="N274" s="4" t="s">
        <v>3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206" x14ac:dyDescent="0.2">
      <c r="A275" s="4">
        <v>50</v>
      </c>
      <c r="B275" s="4">
        <v>0</v>
      </c>
      <c r="C275" s="4">
        <v>0</v>
      </c>
      <c r="D275" s="4">
        <v>1</v>
      </c>
      <c r="E275" s="4">
        <v>210</v>
      </c>
      <c r="F275" s="4">
        <f>ROUND(Source!X250,O275)</f>
        <v>4128.47</v>
      </c>
      <c r="G275" s="4" t="s">
        <v>326</v>
      </c>
      <c r="H275" s="4" t="s">
        <v>327</v>
      </c>
      <c r="I275" s="4"/>
      <c r="J275" s="4"/>
      <c r="K275" s="4">
        <v>210</v>
      </c>
      <c r="L275" s="4">
        <v>24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206" x14ac:dyDescent="0.2">
      <c r="A276" s="4">
        <v>50</v>
      </c>
      <c r="B276" s="4">
        <v>0</v>
      </c>
      <c r="C276" s="4">
        <v>0</v>
      </c>
      <c r="D276" s="4">
        <v>1</v>
      </c>
      <c r="E276" s="4">
        <v>211</v>
      </c>
      <c r="F276" s="4">
        <f>ROUND(Source!Y250,O276)</f>
        <v>3046.1</v>
      </c>
      <c r="G276" s="4" t="s">
        <v>328</v>
      </c>
      <c r="H276" s="4" t="s">
        <v>329</v>
      </c>
      <c r="I276" s="4"/>
      <c r="J276" s="4"/>
      <c r="K276" s="4">
        <v>211</v>
      </c>
      <c r="L276" s="4">
        <v>25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06" x14ac:dyDescent="0.2">
      <c r="A277" s="4">
        <v>50</v>
      </c>
      <c r="B277" s="4">
        <v>0</v>
      </c>
      <c r="C277" s="4">
        <v>0</v>
      </c>
      <c r="D277" s="4">
        <v>1</v>
      </c>
      <c r="E277" s="4">
        <v>224</v>
      </c>
      <c r="F277" s="4">
        <f>ROUND(Source!AR250,O277)</f>
        <v>36274.57</v>
      </c>
      <c r="G277" s="4" t="s">
        <v>330</v>
      </c>
      <c r="H277" s="4" t="s">
        <v>331</v>
      </c>
      <c r="I277" s="4"/>
      <c r="J277" s="4"/>
      <c r="K277" s="4">
        <v>224</v>
      </c>
      <c r="L277" s="4">
        <v>26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9" spans="1:206" x14ac:dyDescent="0.2">
      <c r="A279" s="2">
        <v>51</v>
      </c>
      <c r="B279" s="2">
        <f>B20</f>
        <v>1</v>
      </c>
      <c r="C279" s="2">
        <f>A20</f>
        <v>3</v>
      </c>
      <c r="D279" s="2">
        <f>ROW(A20)</f>
        <v>20</v>
      </c>
      <c r="E279" s="2"/>
      <c r="F279" s="2" t="str">
        <f>IF(F20&lt;&gt;"",F20,"")</f>
        <v>Новая локальная смета</v>
      </c>
      <c r="G279" s="2" t="str">
        <f>IF(G20&lt;&gt;"",G20,"")</f>
        <v>Новая локальная смета</v>
      </c>
      <c r="H279" s="2">
        <v>0</v>
      </c>
      <c r="I279" s="2"/>
      <c r="J279" s="2"/>
      <c r="K279" s="2"/>
      <c r="L279" s="2"/>
      <c r="M279" s="2"/>
      <c r="N279" s="2"/>
      <c r="O279" s="2">
        <f t="shared" ref="O279:T279" si="254">ROUND(O87+O131+O203+O250+AB279,2)</f>
        <v>2585712.58</v>
      </c>
      <c r="P279" s="2">
        <f t="shared" si="254"/>
        <v>2354271.9</v>
      </c>
      <c r="Q279" s="2">
        <f t="shared" si="254"/>
        <v>21862.65</v>
      </c>
      <c r="R279" s="2">
        <f t="shared" si="254"/>
        <v>4669.67</v>
      </c>
      <c r="S279" s="2">
        <f t="shared" si="254"/>
        <v>209578.03</v>
      </c>
      <c r="T279" s="2">
        <f t="shared" si="254"/>
        <v>0</v>
      </c>
      <c r="U279" s="2">
        <f>U87+U131+U203+U250+AH279</f>
        <v>2952.9123844000001</v>
      </c>
      <c r="V279" s="2">
        <f>V87+V131+V203+V250+AI279</f>
        <v>60.008635349999992</v>
      </c>
      <c r="W279" s="2">
        <f>ROUND(W87+W131+W203+W250+AJ279,2)</f>
        <v>0</v>
      </c>
      <c r="X279" s="2">
        <f>ROUND(X87+X131+X203+X250+AK279,2)</f>
        <v>190875.1</v>
      </c>
      <c r="Y279" s="2">
        <f>ROUND(Y87+Y131+Y203+Y250+AL279,2)</f>
        <v>115186.57</v>
      </c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>
        <f t="shared" ref="AO279:BC279" si="255">ROUND(AO87+AO131+AO203+AO250+BX279,2)</f>
        <v>0</v>
      </c>
      <c r="AP279" s="2">
        <f t="shared" si="255"/>
        <v>0</v>
      </c>
      <c r="AQ279" s="2">
        <f t="shared" si="255"/>
        <v>0</v>
      </c>
      <c r="AR279" s="2">
        <f t="shared" si="255"/>
        <v>2907715.6</v>
      </c>
      <c r="AS279" s="2">
        <f t="shared" si="255"/>
        <v>1902339.6</v>
      </c>
      <c r="AT279" s="2">
        <f t="shared" si="255"/>
        <v>925236.9</v>
      </c>
      <c r="AU279" s="2">
        <f t="shared" si="255"/>
        <v>80139.100000000006</v>
      </c>
      <c r="AV279" s="2">
        <f t="shared" si="255"/>
        <v>2354271.9</v>
      </c>
      <c r="AW279" s="2">
        <f t="shared" si="255"/>
        <v>2354271.9</v>
      </c>
      <c r="AX279" s="2">
        <f t="shared" si="255"/>
        <v>0</v>
      </c>
      <c r="AY279" s="2">
        <f t="shared" si="255"/>
        <v>2354271.9</v>
      </c>
      <c r="AZ279" s="2">
        <f t="shared" si="255"/>
        <v>0</v>
      </c>
      <c r="BA279" s="2">
        <f t="shared" si="255"/>
        <v>0</v>
      </c>
      <c r="BB279" s="2">
        <f t="shared" si="255"/>
        <v>0</v>
      </c>
      <c r="BC279" s="2">
        <f t="shared" si="255"/>
        <v>0</v>
      </c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>
        <v>0</v>
      </c>
    </row>
    <row r="281" spans="1:206" x14ac:dyDescent="0.2">
      <c r="A281" s="4">
        <v>50</v>
      </c>
      <c r="B281" s="4">
        <v>0</v>
      </c>
      <c r="C281" s="4">
        <v>0</v>
      </c>
      <c r="D281" s="4">
        <v>1</v>
      </c>
      <c r="E281" s="4">
        <v>201</v>
      </c>
      <c r="F281" s="4">
        <f>ROUND(Source!O279,O281)</f>
        <v>2585712.58</v>
      </c>
      <c r="G281" s="4" t="s">
        <v>280</v>
      </c>
      <c r="H281" s="4" t="s">
        <v>281</v>
      </c>
      <c r="I281" s="4"/>
      <c r="J281" s="4"/>
      <c r="K281" s="4">
        <v>201</v>
      </c>
      <c r="L281" s="4">
        <v>1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06" x14ac:dyDescent="0.2">
      <c r="A282" s="4">
        <v>50</v>
      </c>
      <c r="B282" s="4">
        <v>0</v>
      </c>
      <c r="C282" s="4">
        <v>0</v>
      </c>
      <c r="D282" s="4">
        <v>1</v>
      </c>
      <c r="E282" s="4">
        <v>202</v>
      </c>
      <c r="F282" s="4">
        <f>ROUND(Source!P279,O282)</f>
        <v>2354271.9</v>
      </c>
      <c r="G282" s="4" t="s">
        <v>282</v>
      </c>
      <c r="H282" s="4" t="s">
        <v>283</v>
      </c>
      <c r="I282" s="4"/>
      <c r="J282" s="4"/>
      <c r="K282" s="4">
        <v>202</v>
      </c>
      <c r="L282" s="4">
        <v>2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06" x14ac:dyDescent="0.2">
      <c r="A283" s="4">
        <v>50</v>
      </c>
      <c r="B283" s="4">
        <v>0</v>
      </c>
      <c r="C283" s="4">
        <v>0</v>
      </c>
      <c r="D283" s="4">
        <v>1</v>
      </c>
      <c r="E283" s="4">
        <v>222</v>
      </c>
      <c r="F283" s="4">
        <f>ROUND(Source!AO279,O283)</f>
        <v>0</v>
      </c>
      <c r="G283" s="4" t="s">
        <v>284</v>
      </c>
      <c r="H283" s="4" t="s">
        <v>285</v>
      </c>
      <c r="I283" s="4"/>
      <c r="J283" s="4"/>
      <c r="K283" s="4">
        <v>222</v>
      </c>
      <c r="L283" s="4">
        <v>3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06" x14ac:dyDescent="0.2">
      <c r="A284" s="4">
        <v>50</v>
      </c>
      <c r="B284" s="4">
        <v>0</v>
      </c>
      <c r="C284" s="4">
        <v>0</v>
      </c>
      <c r="D284" s="4">
        <v>1</v>
      </c>
      <c r="E284" s="4">
        <v>225</v>
      </c>
      <c r="F284" s="4">
        <f>ROUND(Source!AV279,O284)</f>
        <v>2354271.9</v>
      </c>
      <c r="G284" s="4" t="s">
        <v>286</v>
      </c>
      <c r="H284" s="4" t="s">
        <v>287</v>
      </c>
      <c r="I284" s="4"/>
      <c r="J284" s="4"/>
      <c r="K284" s="4">
        <v>225</v>
      </c>
      <c r="L284" s="4">
        <v>4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06" x14ac:dyDescent="0.2">
      <c r="A285" s="4">
        <v>50</v>
      </c>
      <c r="B285" s="4">
        <v>0</v>
      </c>
      <c r="C285" s="4">
        <v>0</v>
      </c>
      <c r="D285" s="4">
        <v>1</v>
      </c>
      <c r="E285" s="4">
        <v>226</v>
      </c>
      <c r="F285" s="4">
        <f>ROUND(Source!AW279,O285)</f>
        <v>2354271.9</v>
      </c>
      <c r="G285" s="4" t="s">
        <v>288</v>
      </c>
      <c r="H285" s="4" t="s">
        <v>289</v>
      </c>
      <c r="I285" s="4"/>
      <c r="J285" s="4"/>
      <c r="K285" s="4">
        <v>226</v>
      </c>
      <c r="L285" s="4">
        <v>5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06" x14ac:dyDescent="0.2">
      <c r="A286" s="4">
        <v>50</v>
      </c>
      <c r="B286" s="4">
        <v>0</v>
      </c>
      <c r="C286" s="4">
        <v>0</v>
      </c>
      <c r="D286" s="4">
        <v>1</v>
      </c>
      <c r="E286" s="4">
        <v>227</v>
      </c>
      <c r="F286" s="4">
        <f>ROUND(Source!AX279,O286)</f>
        <v>0</v>
      </c>
      <c r="G286" s="4" t="s">
        <v>290</v>
      </c>
      <c r="H286" s="4" t="s">
        <v>291</v>
      </c>
      <c r="I286" s="4"/>
      <c r="J286" s="4"/>
      <c r="K286" s="4">
        <v>227</v>
      </c>
      <c r="L286" s="4">
        <v>6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06" x14ac:dyDescent="0.2">
      <c r="A287" s="4">
        <v>50</v>
      </c>
      <c r="B287" s="4">
        <v>0</v>
      </c>
      <c r="C287" s="4">
        <v>0</v>
      </c>
      <c r="D287" s="4">
        <v>1</v>
      </c>
      <c r="E287" s="4">
        <v>228</v>
      </c>
      <c r="F287" s="4">
        <f>ROUND(Source!AY279,O287)</f>
        <v>2354271.9</v>
      </c>
      <c r="G287" s="4" t="s">
        <v>292</v>
      </c>
      <c r="H287" s="4" t="s">
        <v>293</v>
      </c>
      <c r="I287" s="4"/>
      <c r="J287" s="4"/>
      <c r="K287" s="4">
        <v>228</v>
      </c>
      <c r="L287" s="4">
        <v>7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06" x14ac:dyDescent="0.2">
      <c r="A288" s="4">
        <v>50</v>
      </c>
      <c r="B288" s="4">
        <v>0</v>
      </c>
      <c r="C288" s="4">
        <v>0</v>
      </c>
      <c r="D288" s="4">
        <v>1</v>
      </c>
      <c r="E288" s="4">
        <v>216</v>
      </c>
      <c r="F288" s="4">
        <f>ROUND(Source!AP279,O288)</f>
        <v>0</v>
      </c>
      <c r="G288" s="4" t="s">
        <v>294</v>
      </c>
      <c r="H288" s="4" t="s">
        <v>295</v>
      </c>
      <c r="I288" s="4"/>
      <c r="J288" s="4"/>
      <c r="K288" s="4">
        <v>216</v>
      </c>
      <c r="L288" s="4">
        <v>8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 x14ac:dyDescent="0.2">
      <c r="A289" s="4">
        <v>50</v>
      </c>
      <c r="B289" s="4">
        <v>0</v>
      </c>
      <c r="C289" s="4">
        <v>0</v>
      </c>
      <c r="D289" s="4">
        <v>1</v>
      </c>
      <c r="E289" s="4">
        <v>223</v>
      </c>
      <c r="F289" s="4">
        <f>ROUND(Source!AQ279,O289)</f>
        <v>0</v>
      </c>
      <c r="G289" s="4" t="s">
        <v>296</v>
      </c>
      <c r="H289" s="4" t="s">
        <v>297</v>
      </c>
      <c r="I289" s="4"/>
      <c r="J289" s="4"/>
      <c r="K289" s="4">
        <v>223</v>
      </c>
      <c r="L289" s="4">
        <v>9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 x14ac:dyDescent="0.2">
      <c r="A290" s="4">
        <v>50</v>
      </c>
      <c r="B290" s="4">
        <v>0</v>
      </c>
      <c r="C290" s="4">
        <v>0</v>
      </c>
      <c r="D290" s="4">
        <v>1</v>
      </c>
      <c r="E290" s="4">
        <v>229</v>
      </c>
      <c r="F290" s="4">
        <f>ROUND(Source!AZ279,O290)</f>
        <v>0</v>
      </c>
      <c r="G290" s="4" t="s">
        <v>298</v>
      </c>
      <c r="H290" s="4" t="s">
        <v>299</v>
      </c>
      <c r="I290" s="4"/>
      <c r="J290" s="4"/>
      <c r="K290" s="4">
        <v>229</v>
      </c>
      <c r="L290" s="4">
        <v>10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 x14ac:dyDescent="0.2">
      <c r="A291" s="4">
        <v>50</v>
      </c>
      <c r="B291" s="4">
        <v>0</v>
      </c>
      <c r="C291" s="4">
        <v>0</v>
      </c>
      <c r="D291" s="4">
        <v>1</v>
      </c>
      <c r="E291" s="4">
        <v>203</v>
      </c>
      <c r="F291" s="4">
        <f>ROUND(Source!Q279,O291)</f>
        <v>21862.65</v>
      </c>
      <c r="G291" s="4" t="s">
        <v>300</v>
      </c>
      <c r="H291" s="4" t="s">
        <v>301</v>
      </c>
      <c r="I291" s="4"/>
      <c r="J291" s="4"/>
      <c r="K291" s="4">
        <v>203</v>
      </c>
      <c r="L291" s="4">
        <v>11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 x14ac:dyDescent="0.2">
      <c r="A292" s="4">
        <v>50</v>
      </c>
      <c r="B292" s="4">
        <v>0</v>
      </c>
      <c r="C292" s="4">
        <v>0</v>
      </c>
      <c r="D292" s="4">
        <v>1</v>
      </c>
      <c r="E292" s="4">
        <v>231</v>
      </c>
      <c r="F292" s="4">
        <f>ROUND(Source!BB279,O292)</f>
        <v>0</v>
      </c>
      <c r="G292" s="4" t="s">
        <v>302</v>
      </c>
      <c r="H292" s="4" t="s">
        <v>303</v>
      </c>
      <c r="I292" s="4"/>
      <c r="J292" s="4"/>
      <c r="K292" s="4">
        <v>231</v>
      </c>
      <c r="L292" s="4">
        <v>12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 x14ac:dyDescent="0.2">
      <c r="A293" s="4">
        <v>50</v>
      </c>
      <c r="B293" s="4">
        <v>0</v>
      </c>
      <c r="C293" s="4">
        <v>0</v>
      </c>
      <c r="D293" s="4">
        <v>1</v>
      </c>
      <c r="E293" s="4">
        <v>204</v>
      </c>
      <c r="F293" s="4">
        <f>ROUND(Source!R279,O293)</f>
        <v>4669.67</v>
      </c>
      <c r="G293" s="4" t="s">
        <v>304</v>
      </c>
      <c r="H293" s="4" t="s">
        <v>305</v>
      </c>
      <c r="I293" s="4"/>
      <c r="J293" s="4"/>
      <c r="K293" s="4">
        <v>204</v>
      </c>
      <c r="L293" s="4">
        <v>13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 x14ac:dyDescent="0.2">
      <c r="A294" s="4">
        <v>50</v>
      </c>
      <c r="B294" s="4">
        <v>0</v>
      </c>
      <c r="C294" s="4">
        <v>0</v>
      </c>
      <c r="D294" s="4">
        <v>1</v>
      </c>
      <c r="E294" s="4">
        <v>205</v>
      </c>
      <c r="F294" s="4">
        <f>ROUND(Source!S279,O294)</f>
        <v>209578.03</v>
      </c>
      <c r="G294" s="4" t="s">
        <v>306</v>
      </c>
      <c r="H294" s="4" t="s">
        <v>307</v>
      </c>
      <c r="I294" s="4"/>
      <c r="J294" s="4"/>
      <c r="K294" s="4">
        <v>205</v>
      </c>
      <c r="L294" s="4">
        <v>14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 x14ac:dyDescent="0.2">
      <c r="A295" s="4">
        <v>50</v>
      </c>
      <c r="B295" s="4">
        <v>0</v>
      </c>
      <c r="C295" s="4">
        <v>0</v>
      </c>
      <c r="D295" s="4">
        <v>1</v>
      </c>
      <c r="E295" s="4">
        <v>232</v>
      </c>
      <c r="F295" s="4">
        <f>ROUND(Source!BC279,O295)</f>
        <v>0</v>
      </c>
      <c r="G295" s="4" t="s">
        <v>308</v>
      </c>
      <c r="H295" s="4" t="s">
        <v>309</v>
      </c>
      <c r="I295" s="4"/>
      <c r="J295" s="4"/>
      <c r="K295" s="4">
        <v>232</v>
      </c>
      <c r="L295" s="4">
        <v>15</v>
      </c>
      <c r="M295" s="4">
        <v>3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 x14ac:dyDescent="0.2">
      <c r="A296" s="4">
        <v>50</v>
      </c>
      <c r="B296" s="4">
        <v>0</v>
      </c>
      <c r="C296" s="4">
        <v>0</v>
      </c>
      <c r="D296" s="4">
        <v>1</v>
      </c>
      <c r="E296" s="4">
        <v>214</v>
      </c>
      <c r="F296" s="4">
        <f>ROUND(Source!AS279,O296)</f>
        <v>1902339.6</v>
      </c>
      <c r="G296" s="4" t="s">
        <v>310</v>
      </c>
      <c r="H296" s="4" t="s">
        <v>311</v>
      </c>
      <c r="I296" s="4"/>
      <c r="J296" s="4"/>
      <c r="K296" s="4">
        <v>214</v>
      </c>
      <c r="L296" s="4">
        <v>16</v>
      </c>
      <c r="M296" s="4">
        <v>3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 x14ac:dyDescent="0.2">
      <c r="A297" s="4">
        <v>50</v>
      </c>
      <c r="B297" s="4">
        <v>0</v>
      </c>
      <c r="C297" s="4">
        <v>0</v>
      </c>
      <c r="D297" s="4">
        <v>1</v>
      </c>
      <c r="E297" s="4">
        <v>215</v>
      </c>
      <c r="F297" s="4">
        <f>ROUND(Source!AT279,O297)</f>
        <v>925236.9</v>
      </c>
      <c r="G297" s="4" t="s">
        <v>312</v>
      </c>
      <c r="H297" s="4" t="s">
        <v>313</v>
      </c>
      <c r="I297" s="4"/>
      <c r="J297" s="4"/>
      <c r="K297" s="4">
        <v>215</v>
      </c>
      <c r="L297" s="4">
        <v>17</v>
      </c>
      <c r="M297" s="4">
        <v>3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 x14ac:dyDescent="0.2">
      <c r="A298" s="4">
        <v>50</v>
      </c>
      <c r="B298" s="4">
        <v>0</v>
      </c>
      <c r="C298" s="4">
        <v>0</v>
      </c>
      <c r="D298" s="4">
        <v>1</v>
      </c>
      <c r="E298" s="4">
        <v>217</v>
      </c>
      <c r="F298" s="4">
        <f>ROUND(Source!AU279,O298)</f>
        <v>80139.100000000006</v>
      </c>
      <c r="G298" s="4" t="s">
        <v>314</v>
      </c>
      <c r="H298" s="4" t="s">
        <v>315</v>
      </c>
      <c r="I298" s="4"/>
      <c r="J298" s="4"/>
      <c r="K298" s="4">
        <v>217</v>
      </c>
      <c r="L298" s="4">
        <v>18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 x14ac:dyDescent="0.2">
      <c r="A299" s="4">
        <v>50</v>
      </c>
      <c r="B299" s="4">
        <v>0</v>
      </c>
      <c r="C299" s="4">
        <v>0</v>
      </c>
      <c r="D299" s="4">
        <v>1</v>
      </c>
      <c r="E299" s="4">
        <v>230</v>
      </c>
      <c r="F299" s="4">
        <f>ROUND(Source!BA279,O299)</f>
        <v>0</v>
      </c>
      <c r="G299" s="4" t="s">
        <v>316</v>
      </c>
      <c r="H299" s="4" t="s">
        <v>317</v>
      </c>
      <c r="I299" s="4"/>
      <c r="J299" s="4"/>
      <c r="K299" s="4">
        <v>230</v>
      </c>
      <c r="L299" s="4">
        <v>19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 x14ac:dyDescent="0.2">
      <c r="A300" s="4">
        <v>50</v>
      </c>
      <c r="B300" s="4">
        <v>0</v>
      </c>
      <c r="C300" s="4">
        <v>0</v>
      </c>
      <c r="D300" s="4">
        <v>1</v>
      </c>
      <c r="E300" s="4">
        <v>206</v>
      </c>
      <c r="F300" s="4">
        <f>ROUND(Source!T279,O300)</f>
        <v>0</v>
      </c>
      <c r="G300" s="4" t="s">
        <v>318</v>
      </c>
      <c r="H300" s="4" t="s">
        <v>319</v>
      </c>
      <c r="I300" s="4"/>
      <c r="J300" s="4"/>
      <c r="K300" s="4">
        <v>206</v>
      </c>
      <c r="L300" s="4">
        <v>20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 x14ac:dyDescent="0.2">
      <c r="A301" s="4">
        <v>50</v>
      </c>
      <c r="B301" s="4">
        <v>0</v>
      </c>
      <c r="C301" s="4">
        <v>0</v>
      </c>
      <c r="D301" s="4">
        <v>1</v>
      </c>
      <c r="E301" s="4">
        <v>207</v>
      </c>
      <c r="F301" s="4">
        <f>Source!U279</f>
        <v>2952.9123844000001</v>
      </c>
      <c r="G301" s="4" t="s">
        <v>320</v>
      </c>
      <c r="H301" s="4" t="s">
        <v>321</v>
      </c>
      <c r="I301" s="4"/>
      <c r="J301" s="4"/>
      <c r="K301" s="4">
        <v>207</v>
      </c>
      <c r="L301" s="4">
        <v>21</v>
      </c>
      <c r="M301" s="4">
        <v>3</v>
      </c>
      <c r="N301" s="4" t="s">
        <v>3</v>
      </c>
      <c r="O301" s="4">
        <v>-1</v>
      </c>
      <c r="P301" s="4"/>
      <c r="Q301" s="4"/>
      <c r="R301" s="4"/>
      <c r="S301" s="4"/>
      <c r="T301" s="4"/>
      <c r="U301" s="4"/>
      <c r="V301" s="4"/>
      <c r="W301" s="4"/>
    </row>
    <row r="302" spans="1:23" x14ac:dyDescent="0.2">
      <c r="A302" s="4">
        <v>50</v>
      </c>
      <c r="B302" s="4">
        <v>0</v>
      </c>
      <c r="C302" s="4">
        <v>0</v>
      </c>
      <c r="D302" s="4">
        <v>1</v>
      </c>
      <c r="E302" s="4">
        <v>208</v>
      </c>
      <c r="F302" s="4">
        <f>Source!V279</f>
        <v>60.008635349999992</v>
      </c>
      <c r="G302" s="4" t="s">
        <v>322</v>
      </c>
      <c r="H302" s="4" t="s">
        <v>323</v>
      </c>
      <c r="I302" s="4"/>
      <c r="J302" s="4"/>
      <c r="K302" s="4">
        <v>208</v>
      </c>
      <c r="L302" s="4">
        <v>22</v>
      </c>
      <c r="M302" s="4">
        <v>3</v>
      </c>
      <c r="N302" s="4" t="s">
        <v>3</v>
      </c>
      <c r="O302" s="4">
        <v>-1</v>
      </c>
      <c r="P302" s="4"/>
      <c r="Q302" s="4"/>
      <c r="R302" s="4"/>
      <c r="S302" s="4"/>
      <c r="T302" s="4"/>
      <c r="U302" s="4"/>
      <c r="V302" s="4"/>
      <c r="W302" s="4"/>
    </row>
    <row r="303" spans="1:23" x14ac:dyDescent="0.2">
      <c r="A303" s="4">
        <v>50</v>
      </c>
      <c r="B303" s="4">
        <v>0</v>
      </c>
      <c r="C303" s="4">
        <v>0</v>
      </c>
      <c r="D303" s="4">
        <v>1</v>
      </c>
      <c r="E303" s="4">
        <v>209</v>
      </c>
      <c r="F303" s="4">
        <f>ROUND(Source!W279,O303)</f>
        <v>0</v>
      </c>
      <c r="G303" s="4" t="s">
        <v>324</v>
      </c>
      <c r="H303" s="4" t="s">
        <v>325</v>
      </c>
      <c r="I303" s="4"/>
      <c r="J303" s="4"/>
      <c r="K303" s="4">
        <v>209</v>
      </c>
      <c r="L303" s="4">
        <v>23</v>
      </c>
      <c r="M303" s="4">
        <v>3</v>
      </c>
      <c r="N303" s="4" t="s">
        <v>3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 x14ac:dyDescent="0.2">
      <c r="A304" s="4">
        <v>50</v>
      </c>
      <c r="B304" s="4">
        <v>0</v>
      </c>
      <c r="C304" s="4">
        <v>0</v>
      </c>
      <c r="D304" s="4">
        <v>1</v>
      </c>
      <c r="E304" s="4">
        <v>210</v>
      </c>
      <c r="F304" s="4">
        <f>ROUND(Source!X279,O304)</f>
        <v>190875.1</v>
      </c>
      <c r="G304" s="4" t="s">
        <v>326</v>
      </c>
      <c r="H304" s="4" t="s">
        <v>327</v>
      </c>
      <c r="I304" s="4"/>
      <c r="J304" s="4"/>
      <c r="K304" s="4">
        <v>210</v>
      </c>
      <c r="L304" s="4">
        <v>24</v>
      </c>
      <c r="M304" s="4">
        <v>3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06" x14ac:dyDescent="0.2">
      <c r="A305" s="4">
        <v>50</v>
      </c>
      <c r="B305" s="4">
        <v>0</v>
      </c>
      <c r="C305" s="4">
        <v>0</v>
      </c>
      <c r="D305" s="4">
        <v>1</v>
      </c>
      <c r="E305" s="4">
        <v>211</v>
      </c>
      <c r="F305" s="4">
        <f>ROUND(Source!Y279,O305)</f>
        <v>115186.57</v>
      </c>
      <c r="G305" s="4" t="s">
        <v>328</v>
      </c>
      <c r="H305" s="4" t="s">
        <v>329</v>
      </c>
      <c r="I305" s="4"/>
      <c r="J305" s="4"/>
      <c r="K305" s="4">
        <v>211</v>
      </c>
      <c r="L305" s="4">
        <v>25</v>
      </c>
      <c r="M305" s="4">
        <v>3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06" x14ac:dyDescent="0.2">
      <c r="A306" s="4">
        <v>50</v>
      </c>
      <c r="B306" s="4">
        <v>0</v>
      </c>
      <c r="C306" s="4">
        <v>0</v>
      </c>
      <c r="D306" s="4">
        <v>1</v>
      </c>
      <c r="E306" s="4">
        <v>224</v>
      </c>
      <c r="F306" s="4">
        <f>ROUND(Source!AR279,O306)</f>
        <v>2907715.6</v>
      </c>
      <c r="G306" s="4" t="s">
        <v>330</v>
      </c>
      <c r="H306" s="4" t="s">
        <v>331</v>
      </c>
      <c r="I306" s="4"/>
      <c r="J306" s="4"/>
      <c r="K306" s="4">
        <v>224</v>
      </c>
      <c r="L306" s="4">
        <v>26</v>
      </c>
      <c r="M306" s="4">
        <v>3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06" x14ac:dyDescent="0.2">
      <c r="A307" s="4">
        <v>50</v>
      </c>
      <c r="B307" s="4">
        <v>1</v>
      </c>
      <c r="C307" s="4">
        <v>0</v>
      </c>
      <c r="D307" s="4">
        <v>2</v>
      </c>
      <c r="E307" s="4">
        <v>0</v>
      </c>
      <c r="F307" s="4">
        <f>ROUND(F306,O307)</f>
        <v>2907715.6</v>
      </c>
      <c r="G307" s="4" t="s">
        <v>552</v>
      </c>
      <c r="H307" s="4" t="s">
        <v>553</v>
      </c>
      <c r="I307" s="4"/>
      <c r="J307" s="4"/>
      <c r="K307" s="4">
        <v>212</v>
      </c>
      <c r="L307" s="4">
        <v>27</v>
      </c>
      <c r="M307" s="4">
        <v>0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06" x14ac:dyDescent="0.2">
      <c r="A308" s="4">
        <v>50</v>
      </c>
      <c r="B308" s="4">
        <v>1</v>
      </c>
      <c r="C308" s="4">
        <v>0</v>
      </c>
      <c r="D308" s="4">
        <v>2</v>
      </c>
      <c r="E308" s="4">
        <v>0</v>
      </c>
      <c r="F308" s="4">
        <f>ROUND(F307*0.18,O308)</f>
        <v>523388.81</v>
      </c>
      <c r="G308" s="4" t="s">
        <v>554</v>
      </c>
      <c r="H308" s="4" t="s">
        <v>555</v>
      </c>
      <c r="I308" s="4"/>
      <c r="J308" s="4"/>
      <c r="K308" s="4">
        <v>212</v>
      </c>
      <c r="L308" s="4">
        <v>28</v>
      </c>
      <c r="M308" s="4">
        <v>0</v>
      </c>
      <c r="N308" s="4" t="s">
        <v>3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06" x14ac:dyDescent="0.2">
      <c r="A309" s="4">
        <v>50</v>
      </c>
      <c r="B309" s="4">
        <v>1</v>
      </c>
      <c r="C309" s="4">
        <v>0</v>
      </c>
      <c r="D309" s="4">
        <v>2</v>
      </c>
      <c r="E309" s="4">
        <v>213</v>
      </c>
      <c r="F309" s="4">
        <f>ROUND(F307+F308,O309)</f>
        <v>3431104.41</v>
      </c>
      <c r="G309" s="4" t="s">
        <v>556</v>
      </c>
      <c r="H309" s="4" t="s">
        <v>330</v>
      </c>
      <c r="I309" s="4"/>
      <c r="J309" s="4"/>
      <c r="K309" s="4">
        <v>212</v>
      </c>
      <c r="L309" s="4">
        <v>29</v>
      </c>
      <c r="M309" s="4">
        <v>0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1" spans="1:206" x14ac:dyDescent="0.2">
      <c r="A311" s="2">
        <v>51</v>
      </c>
      <c r="B311" s="2">
        <f>B12</f>
        <v>369</v>
      </c>
      <c r="C311" s="2">
        <f>A12</f>
        <v>1</v>
      </c>
      <c r="D311" s="2">
        <f>ROW(A12)</f>
        <v>12</v>
      </c>
      <c r="E311" s="2"/>
      <c r="F311" s="2" t="str">
        <f>IF(F12&lt;&gt;"",F12,"")</f>
        <v>Новый объект_(Копия)_(Копия)</v>
      </c>
      <c r="G311" s="2" t="str">
        <f>IF(G12&lt;&gt;"",G12,"")</f>
        <v xml:space="preserve"> на ремонт  помещений учебных аудиторий №3, №8, №11, №12, №13, №15, №16 2-го этажа корпуса "К" НИЯУ МИФИ по адресу: г. Москва, Каширское шоссе, д.31, стр.46
</v>
      </c>
      <c r="H311" s="2">
        <v>0</v>
      </c>
      <c r="I311" s="2"/>
      <c r="J311" s="2"/>
      <c r="K311" s="2"/>
      <c r="L311" s="2"/>
      <c r="M311" s="2"/>
      <c r="N311" s="2"/>
      <c r="O311" s="2">
        <f t="shared" ref="O311:T311" si="256">ROUND(O279,2)</f>
        <v>2585712.58</v>
      </c>
      <c r="P311" s="2">
        <f t="shared" si="256"/>
        <v>2354271.9</v>
      </c>
      <c r="Q311" s="2">
        <f t="shared" si="256"/>
        <v>21862.65</v>
      </c>
      <c r="R311" s="2">
        <f t="shared" si="256"/>
        <v>4669.67</v>
      </c>
      <c r="S311" s="2">
        <f t="shared" si="256"/>
        <v>209578.03</v>
      </c>
      <c r="T311" s="2">
        <f t="shared" si="256"/>
        <v>0</v>
      </c>
      <c r="U311" s="2">
        <f>U279</f>
        <v>2952.9123844000001</v>
      </c>
      <c r="V311" s="2">
        <f>V279</f>
        <v>60.008635349999992</v>
      </c>
      <c r="W311" s="2">
        <f>ROUND(W279,2)</f>
        <v>0</v>
      </c>
      <c r="X311" s="2">
        <f>ROUND(X279,2)</f>
        <v>190875.1</v>
      </c>
      <c r="Y311" s="2">
        <f>ROUND(Y279,2)</f>
        <v>115186.57</v>
      </c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>
        <f t="shared" ref="AO311:BC311" si="257">ROUND(AO279,2)</f>
        <v>0</v>
      </c>
      <c r="AP311" s="2">
        <f t="shared" si="257"/>
        <v>0</v>
      </c>
      <c r="AQ311" s="2">
        <f t="shared" si="257"/>
        <v>0</v>
      </c>
      <c r="AR311" s="2">
        <f t="shared" si="257"/>
        <v>2907715.6</v>
      </c>
      <c r="AS311" s="2">
        <f t="shared" si="257"/>
        <v>1902339.6</v>
      </c>
      <c r="AT311" s="2">
        <f t="shared" si="257"/>
        <v>925236.9</v>
      </c>
      <c r="AU311" s="2">
        <f t="shared" si="257"/>
        <v>80139.100000000006</v>
      </c>
      <c r="AV311" s="2">
        <f t="shared" si="257"/>
        <v>2354271.9</v>
      </c>
      <c r="AW311" s="2">
        <f t="shared" si="257"/>
        <v>2354271.9</v>
      </c>
      <c r="AX311" s="2">
        <f t="shared" si="257"/>
        <v>0</v>
      </c>
      <c r="AY311" s="2">
        <f t="shared" si="257"/>
        <v>2354271.9</v>
      </c>
      <c r="AZ311" s="2">
        <f t="shared" si="257"/>
        <v>0</v>
      </c>
      <c r="BA311" s="2">
        <f t="shared" si="257"/>
        <v>0</v>
      </c>
      <c r="BB311" s="2">
        <f t="shared" si="257"/>
        <v>0</v>
      </c>
      <c r="BC311" s="2">
        <f t="shared" si="257"/>
        <v>0</v>
      </c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>
        <v>0</v>
      </c>
    </row>
    <row r="313" spans="1:206" x14ac:dyDescent="0.2">
      <c r="A313" s="4">
        <v>50</v>
      </c>
      <c r="B313" s="4">
        <v>0</v>
      </c>
      <c r="C313" s="4">
        <v>0</v>
      </c>
      <c r="D313" s="4">
        <v>1</v>
      </c>
      <c r="E313" s="4">
        <v>201</v>
      </c>
      <c r="F313" s="4">
        <f>ROUND(Source!O311,O313)</f>
        <v>2585712.58</v>
      </c>
      <c r="G313" s="4" t="s">
        <v>280</v>
      </c>
      <c r="H313" s="4" t="s">
        <v>281</v>
      </c>
      <c r="I313" s="4"/>
      <c r="J313" s="4"/>
      <c r="K313" s="4">
        <v>201</v>
      </c>
      <c r="L313" s="4">
        <v>1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06" x14ac:dyDescent="0.2">
      <c r="A314" s="4">
        <v>50</v>
      </c>
      <c r="B314" s="4">
        <v>0</v>
      </c>
      <c r="C314" s="4">
        <v>0</v>
      </c>
      <c r="D314" s="4">
        <v>1</v>
      </c>
      <c r="E314" s="4">
        <v>202</v>
      </c>
      <c r="F314" s="4">
        <f>ROUND(Source!P311,O314)</f>
        <v>2354271.9</v>
      </c>
      <c r="G314" s="4" t="s">
        <v>282</v>
      </c>
      <c r="H314" s="4" t="s">
        <v>283</v>
      </c>
      <c r="I314" s="4"/>
      <c r="J314" s="4"/>
      <c r="K314" s="4">
        <v>202</v>
      </c>
      <c r="L314" s="4">
        <v>2</v>
      </c>
      <c r="M314" s="4">
        <v>3</v>
      </c>
      <c r="N314" s="4" t="s">
        <v>3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06" x14ac:dyDescent="0.2">
      <c r="A315" s="4">
        <v>50</v>
      </c>
      <c r="B315" s="4">
        <v>0</v>
      </c>
      <c r="C315" s="4">
        <v>0</v>
      </c>
      <c r="D315" s="4">
        <v>1</v>
      </c>
      <c r="E315" s="4">
        <v>222</v>
      </c>
      <c r="F315" s="4">
        <f>ROUND(Source!AO311,O315)</f>
        <v>0</v>
      </c>
      <c r="G315" s="4" t="s">
        <v>284</v>
      </c>
      <c r="H315" s="4" t="s">
        <v>285</v>
      </c>
      <c r="I315" s="4"/>
      <c r="J315" s="4"/>
      <c r="K315" s="4">
        <v>222</v>
      </c>
      <c r="L315" s="4">
        <v>3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06" x14ac:dyDescent="0.2">
      <c r="A316" s="4">
        <v>50</v>
      </c>
      <c r="B316" s="4">
        <v>0</v>
      </c>
      <c r="C316" s="4">
        <v>0</v>
      </c>
      <c r="D316" s="4">
        <v>1</v>
      </c>
      <c r="E316" s="4">
        <v>225</v>
      </c>
      <c r="F316" s="4">
        <f>ROUND(Source!AV311,O316)</f>
        <v>2354271.9</v>
      </c>
      <c r="G316" s="4" t="s">
        <v>286</v>
      </c>
      <c r="H316" s="4" t="s">
        <v>287</v>
      </c>
      <c r="I316" s="4"/>
      <c r="J316" s="4"/>
      <c r="K316" s="4">
        <v>225</v>
      </c>
      <c r="L316" s="4">
        <v>4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06" x14ac:dyDescent="0.2">
      <c r="A317" s="4">
        <v>50</v>
      </c>
      <c r="B317" s="4">
        <v>0</v>
      </c>
      <c r="C317" s="4">
        <v>0</v>
      </c>
      <c r="D317" s="4">
        <v>1</v>
      </c>
      <c r="E317" s="4">
        <v>226</v>
      </c>
      <c r="F317" s="4">
        <f>ROUND(Source!AW311,O317)</f>
        <v>2354271.9</v>
      </c>
      <c r="G317" s="4" t="s">
        <v>288</v>
      </c>
      <c r="H317" s="4" t="s">
        <v>289</v>
      </c>
      <c r="I317" s="4"/>
      <c r="J317" s="4"/>
      <c r="K317" s="4">
        <v>226</v>
      </c>
      <c r="L317" s="4">
        <v>5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06" x14ac:dyDescent="0.2">
      <c r="A318" s="4">
        <v>50</v>
      </c>
      <c r="B318" s="4">
        <v>0</v>
      </c>
      <c r="C318" s="4">
        <v>0</v>
      </c>
      <c r="D318" s="4">
        <v>1</v>
      </c>
      <c r="E318" s="4">
        <v>227</v>
      </c>
      <c r="F318" s="4">
        <f>ROUND(Source!AX311,O318)</f>
        <v>0</v>
      </c>
      <c r="G318" s="4" t="s">
        <v>290</v>
      </c>
      <c r="H318" s="4" t="s">
        <v>291</v>
      </c>
      <c r="I318" s="4"/>
      <c r="J318" s="4"/>
      <c r="K318" s="4">
        <v>227</v>
      </c>
      <c r="L318" s="4">
        <v>6</v>
      </c>
      <c r="M318" s="4">
        <v>3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06" x14ac:dyDescent="0.2">
      <c r="A319" s="4">
        <v>50</v>
      </c>
      <c r="B319" s="4">
        <v>0</v>
      </c>
      <c r="C319" s="4">
        <v>0</v>
      </c>
      <c r="D319" s="4">
        <v>1</v>
      </c>
      <c r="E319" s="4">
        <v>228</v>
      </c>
      <c r="F319" s="4">
        <f>ROUND(Source!AY311,O319)</f>
        <v>2354271.9</v>
      </c>
      <c r="G319" s="4" t="s">
        <v>292</v>
      </c>
      <c r="H319" s="4" t="s">
        <v>293</v>
      </c>
      <c r="I319" s="4"/>
      <c r="J319" s="4"/>
      <c r="K319" s="4">
        <v>228</v>
      </c>
      <c r="L319" s="4">
        <v>7</v>
      </c>
      <c r="M319" s="4">
        <v>3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06" x14ac:dyDescent="0.2">
      <c r="A320" s="4">
        <v>50</v>
      </c>
      <c r="B320" s="4">
        <v>0</v>
      </c>
      <c r="C320" s="4">
        <v>0</v>
      </c>
      <c r="D320" s="4">
        <v>1</v>
      </c>
      <c r="E320" s="4">
        <v>216</v>
      </c>
      <c r="F320" s="4">
        <f>ROUND(Source!AP311,O320)</f>
        <v>0</v>
      </c>
      <c r="G320" s="4" t="s">
        <v>294</v>
      </c>
      <c r="H320" s="4" t="s">
        <v>295</v>
      </c>
      <c r="I320" s="4"/>
      <c r="J320" s="4"/>
      <c r="K320" s="4">
        <v>216</v>
      </c>
      <c r="L320" s="4">
        <v>8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223</v>
      </c>
      <c r="F321" s="4">
        <f>ROUND(Source!AQ311,O321)</f>
        <v>0</v>
      </c>
      <c r="G321" s="4" t="s">
        <v>296</v>
      </c>
      <c r="H321" s="4" t="s">
        <v>297</v>
      </c>
      <c r="I321" s="4"/>
      <c r="J321" s="4"/>
      <c r="K321" s="4">
        <v>223</v>
      </c>
      <c r="L321" s="4">
        <v>9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229</v>
      </c>
      <c r="F322" s="4">
        <f>ROUND(Source!AZ311,O322)</f>
        <v>0</v>
      </c>
      <c r="G322" s="4" t="s">
        <v>298</v>
      </c>
      <c r="H322" s="4" t="s">
        <v>299</v>
      </c>
      <c r="I322" s="4"/>
      <c r="J322" s="4"/>
      <c r="K322" s="4">
        <v>229</v>
      </c>
      <c r="L322" s="4">
        <v>10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203</v>
      </c>
      <c r="F323" s="4">
        <f>ROUND(Source!Q311,O323)</f>
        <v>21862.65</v>
      </c>
      <c r="G323" s="4" t="s">
        <v>300</v>
      </c>
      <c r="H323" s="4" t="s">
        <v>301</v>
      </c>
      <c r="I323" s="4"/>
      <c r="J323" s="4"/>
      <c r="K323" s="4">
        <v>203</v>
      </c>
      <c r="L323" s="4">
        <v>11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231</v>
      </c>
      <c r="F324" s="4">
        <f>ROUND(Source!BB311,O324)</f>
        <v>0</v>
      </c>
      <c r="G324" s="4" t="s">
        <v>302</v>
      </c>
      <c r="H324" s="4" t="s">
        <v>303</v>
      </c>
      <c r="I324" s="4"/>
      <c r="J324" s="4"/>
      <c r="K324" s="4">
        <v>231</v>
      </c>
      <c r="L324" s="4">
        <v>12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204</v>
      </c>
      <c r="F325" s="4">
        <f>ROUND(Source!R311,O325)</f>
        <v>4669.67</v>
      </c>
      <c r="G325" s="4" t="s">
        <v>304</v>
      </c>
      <c r="H325" s="4" t="s">
        <v>305</v>
      </c>
      <c r="I325" s="4"/>
      <c r="J325" s="4"/>
      <c r="K325" s="4">
        <v>204</v>
      </c>
      <c r="L325" s="4">
        <v>13</v>
      </c>
      <c r="M325" s="4">
        <v>3</v>
      </c>
      <c r="N325" s="4" t="s">
        <v>3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205</v>
      </c>
      <c r="F326" s="4">
        <f>ROUND(Source!S311,O326)</f>
        <v>209578.03</v>
      </c>
      <c r="G326" s="4" t="s">
        <v>306</v>
      </c>
      <c r="H326" s="4" t="s">
        <v>307</v>
      </c>
      <c r="I326" s="4"/>
      <c r="J326" s="4"/>
      <c r="K326" s="4">
        <v>205</v>
      </c>
      <c r="L326" s="4">
        <v>14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232</v>
      </c>
      <c r="F327" s="4">
        <f>ROUND(Source!BC311,O327)</f>
        <v>0</v>
      </c>
      <c r="G327" s="4" t="s">
        <v>308</v>
      </c>
      <c r="H327" s="4" t="s">
        <v>309</v>
      </c>
      <c r="I327" s="4"/>
      <c r="J327" s="4"/>
      <c r="K327" s="4">
        <v>232</v>
      </c>
      <c r="L327" s="4">
        <v>15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214</v>
      </c>
      <c r="F328" s="4">
        <f>ROUND(Source!AS311,O328)</f>
        <v>1902339.6</v>
      </c>
      <c r="G328" s="4" t="s">
        <v>310</v>
      </c>
      <c r="H328" s="4" t="s">
        <v>311</v>
      </c>
      <c r="I328" s="4"/>
      <c r="J328" s="4"/>
      <c r="K328" s="4">
        <v>214</v>
      </c>
      <c r="L328" s="4">
        <v>16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215</v>
      </c>
      <c r="F329" s="4">
        <f>ROUND(Source!AT311,O329)</f>
        <v>925236.9</v>
      </c>
      <c r="G329" s="4" t="s">
        <v>312</v>
      </c>
      <c r="H329" s="4" t="s">
        <v>313</v>
      </c>
      <c r="I329" s="4"/>
      <c r="J329" s="4"/>
      <c r="K329" s="4">
        <v>215</v>
      </c>
      <c r="L329" s="4">
        <v>17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217</v>
      </c>
      <c r="F330" s="4">
        <f>ROUND(Source!AU311,O330)</f>
        <v>80139.100000000006</v>
      </c>
      <c r="G330" s="4" t="s">
        <v>314</v>
      </c>
      <c r="H330" s="4" t="s">
        <v>315</v>
      </c>
      <c r="I330" s="4"/>
      <c r="J330" s="4"/>
      <c r="K330" s="4">
        <v>217</v>
      </c>
      <c r="L330" s="4">
        <v>18</v>
      </c>
      <c r="M330" s="4">
        <v>3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230</v>
      </c>
      <c r="F331" s="4">
        <f>ROUND(Source!BA311,O331)</f>
        <v>0</v>
      </c>
      <c r="G331" s="4" t="s">
        <v>316</v>
      </c>
      <c r="H331" s="4" t="s">
        <v>317</v>
      </c>
      <c r="I331" s="4"/>
      <c r="J331" s="4"/>
      <c r="K331" s="4">
        <v>230</v>
      </c>
      <c r="L331" s="4">
        <v>19</v>
      </c>
      <c r="M331" s="4">
        <v>3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206</v>
      </c>
      <c r="F332" s="4">
        <f>ROUND(Source!T311,O332)</f>
        <v>0</v>
      </c>
      <c r="G332" s="4" t="s">
        <v>318</v>
      </c>
      <c r="H332" s="4" t="s">
        <v>319</v>
      </c>
      <c r="I332" s="4"/>
      <c r="J332" s="4"/>
      <c r="K332" s="4">
        <v>206</v>
      </c>
      <c r="L332" s="4">
        <v>20</v>
      </c>
      <c r="M332" s="4">
        <v>3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207</v>
      </c>
      <c r="F333" s="4">
        <f>Source!U311</f>
        <v>2952.9123844000001</v>
      </c>
      <c r="G333" s="4" t="s">
        <v>320</v>
      </c>
      <c r="H333" s="4" t="s">
        <v>321</v>
      </c>
      <c r="I333" s="4"/>
      <c r="J333" s="4"/>
      <c r="K333" s="4">
        <v>207</v>
      </c>
      <c r="L333" s="4">
        <v>21</v>
      </c>
      <c r="M333" s="4">
        <v>3</v>
      </c>
      <c r="N333" s="4" t="s">
        <v>3</v>
      </c>
      <c r="O333" s="4">
        <v>-1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208</v>
      </c>
      <c r="F334" s="4">
        <f>Source!V311</f>
        <v>60.008635349999992</v>
      </c>
      <c r="G334" s="4" t="s">
        <v>322</v>
      </c>
      <c r="H334" s="4" t="s">
        <v>323</v>
      </c>
      <c r="I334" s="4"/>
      <c r="J334" s="4"/>
      <c r="K334" s="4">
        <v>208</v>
      </c>
      <c r="L334" s="4">
        <v>22</v>
      </c>
      <c r="M334" s="4">
        <v>3</v>
      </c>
      <c r="N334" s="4" t="s">
        <v>3</v>
      </c>
      <c r="O334" s="4">
        <v>-1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0</v>
      </c>
      <c r="C335" s="4">
        <v>0</v>
      </c>
      <c r="D335" s="4">
        <v>1</v>
      </c>
      <c r="E335" s="4">
        <v>209</v>
      </c>
      <c r="F335" s="4">
        <f>ROUND(Source!W311,O335)</f>
        <v>0</v>
      </c>
      <c r="G335" s="4" t="s">
        <v>324</v>
      </c>
      <c r="H335" s="4" t="s">
        <v>325</v>
      </c>
      <c r="I335" s="4"/>
      <c r="J335" s="4"/>
      <c r="K335" s="4">
        <v>209</v>
      </c>
      <c r="L335" s="4">
        <v>23</v>
      </c>
      <c r="M335" s="4">
        <v>3</v>
      </c>
      <c r="N335" s="4" t="s">
        <v>3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3" x14ac:dyDescent="0.2">
      <c r="A336" s="4">
        <v>50</v>
      </c>
      <c r="B336" s="4">
        <v>0</v>
      </c>
      <c r="C336" s="4">
        <v>0</v>
      </c>
      <c r="D336" s="4">
        <v>1</v>
      </c>
      <c r="E336" s="4">
        <v>210</v>
      </c>
      <c r="F336" s="4">
        <f>ROUND(Source!X311,O336)</f>
        <v>190875.1</v>
      </c>
      <c r="G336" s="4" t="s">
        <v>326</v>
      </c>
      <c r="H336" s="4" t="s">
        <v>327</v>
      </c>
      <c r="I336" s="4"/>
      <c r="J336" s="4"/>
      <c r="K336" s="4">
        <v>210</v>
      </c>
      <c r="L336" s="4">
        <v>24</v>
      </c>
      <c r="M336" s="4">
        <v>3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211</v>
      </c>
      <c r="F337" s="4">
        <f>ROUND(Source!Y311,O337)</f>
        <v>115186.57</v>
      </c>
      <c r="G337" s="4" t="s">
        <v>328</v>
      </c>
      <c r="H337" s="4" t="s">
        <v>329</v>
      </c>
      <c r="I337" s="4"/>
      <c r="J337" s="4"/>
      <c r="K337" s="4">
        <v>211</v>
      </c>
      <c r="L337" s="4">
        <v>25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224</v>
      </c>
      <c r="F338" s="4">
        <f>ROUND(Source!AR311,O338)</f>
        <v>2907715.6</v>
      </c>
      <c r="G338" s="4" t="s">
        <v>330</v>
      </c>
      <c r="H338" s="4" t="s">
        <v>331</v>
      </c>
      <c r="I338" s="4"/>
      <c r="J338" s="4"/>
      <c r="K338" s="4">
        <v>224</v>
      </c>
      <c r="L338" s="4">
        <v>26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41" spans="1:23" x14ac:dyDescent="0.2">
      <c r="A341">
        <v>70</v>
      </c>
      <c r="B341">
        <v>1</v>
      </c>
      <c r="D341">
        <v>1</v>
      </c>
      <c r="E341" t="s">
        <v>594</v>
      </c>
      <c r="F341" t="s">
        <v>595</v>
      </c>
      <c r="G341">
        <v>0</v>
      </c>
      <c r="H341">
        <v>0</v>
      </c>
      <c r="I341" t="s">
        <v>3</v>
      </c>
      <c r="J341">
        <v>1</v>
      </c>
      <c r="K341">
        <v>0</v>
      </c>
      <c r="L341" t="s">
        <v>3</v>
      </c>
      <c r="M341" t="s">
        <v>3</v>
      </c>
      <c r="N341">
        <v>0</v>
      </c>
    </row>
    <row r="342" spans="1:23" x14ac:dyDescent="0.2">
      <c r="A342">
        <v>70</v>
      </c>
      <c r="B342">
        <v>1</v>
      </c>
      <c r="D342">
        <v>2</v>
      </c>
      <c r="E342" t="s">
        <v>596</v>
      </c>
      <c r="F342" t="s">
        <v>597</v>
      </c>
      <c r="G342">
        <v>1</v>
      </c>
      <c r="H342">
        <v>0</v>
      </c>
      <c r="I342" t="s">
        <v>3</v>
      </c>
      <c r="J342">
        <v>1</v>
      </c>
      <c r="K342">
        <v>0</v>
      </c>
      <c r="L342" t="s">
        <v>3</v>
      </c>
      <c r="M342" t="s">
        <v>3</v>
      </c>
      <c r="N342">
        <v>0</v>
      </c>
    </row>
    <row r="343" spans="1:23" x14ac:dyDescent="0.2">
      <c r="A343">
        <v>70</v>
      </c>
      <c r="B343">
        <v>1</v>
      </c>
      <c r="D343">
        <v>3</v>
      </c>
      <c r="E343" t="s">
        <v>598</v>
      </c>
      <c r="F343" t="s">
        <v>599</v>
      </c>
      <c r="G343">
        <v>0</v>
      </c>
      <c r="H343">
        <v>0</v>
      </c>
      <c r="I343" t="s">
        <v>3</v>
      </c>
      <c r="J343">
        <v>1</v>
      </c>
      <c r="K343">
        <v>0</v>
      </c>
      <c r="L343" t="s">
        <v>3</v>
      </c>
      <c r="M343" t="s">
        <v>3</v>
      </c>
      <c r="N343">
        <v>0</v>
      </c>
    </row>
    <row r="344" spans="1:23" x14ac:dyDescent="0.2">
      <c r="A344">
        <v>70</v>
      </c>
      <c r="B344">
        <v>1</v>
      </c>
      <c r="D344">
        <v>4</v>
      </c>
      <c r="E344" t="s">
        <v>600</v>
      </c>
      <c r="F344" t="s">
        <v>601</v>
      </c>
      <c r="G344">
        <v>0</v>
      </c>
      <c r="H344">
        <v>0</v>
      </c>
      <c r="I344" t="s">
        <v>602</v>
      </c>
      <c r="J344">
        <v>0</v>
      </c>
      <c r="K344">
        <v>0</v>
      </c>
      <c r="L344" t="s">
        <v>3</v>
      </c>
      <c r="M344" t="s">
        <v>3</v>
      </c>
      <c r="N344">
        <v>0</v>
      </c>
    </row>
    <row r="345" spans="1:23" x14ac:dyDescent="0.2">
      <c r="A345">
        <v>70</v>
      </c>
      <c r="B345">
        <v>1</v>
      </c>
      <c r="D345">
        <v>5</v>
      </c>
      <c r="E345" t="s">
        <v>603</v>
      </c>
      <c r="F345" t="s">
        <v>604</v>
      </c>
      <c r="G345">
        <v>0</v>
      </c>
      <c r="H345">
        <v>0</v>
      </c>
      <c r="I345" t="s">
        <v>605</v>
      </c>
      <c r="J345">
        <v>0</v>
      </c>
      <c r="K345">
        <v>0</v>
      </c>
      <c r="L345" t="s">
        <v>3</v>
      </c>
      <c r="M345" t="s">
        <v>3</v>
      </c>
      <c r="N345">
        <v>0</v>
      </c>
    </row>
    <row r="346" spans="1:23" x14ac:dyDescent="0.2">
      <c r="A346">
        <v>70</v>
      </c>
      <c r="B346">
        <v>1</v>
      </c>
      <c r="D346">
        <v>6</v>
      </c>
      <c r="E346" t="s">
        <v>606</v>
      </c>
      <c r="F346" t="s">
        <v>607</v>
      </c>
      <c r="G346">
        <v>0</v>
      </c>
      <c r="H346">
        <v>0</v>
      </c>
      <c r="I346" t="s">
        <v>608</v>
      </c>
      <c r="J346">
        <v>0</v>
      </c>
      <c r="K346">
        <v>0</v>
      </c>
      <c r="L346" t="s">
        <v>3</v>
      </c>
      <c r="M346" t="s">
        <v>3</v>
      </c>
      <c r="N346">
        <v>0</v>
      </c>
    </row>
    <row r="347" spans="1:23" x14ac:dyDescent="0.2">
      <c r="A347">
        <v>70</v>
      </c>
      <c r="B347">
        <v>1</v>
      </c>
      <c r="D347">
        <v>7</v>
      </c>
      <c r="E347" t="s">
        <v>609</v>
      </c>
      <c r="F347" t="s">
        <v>610</v>
      </c>
      <c r="G347">
        <v>0</v>
      </c>
      <c r="H347">
        <v>0</v>
      </c>
      <c r="I347" t="s">
        <v>3</v>
      </c>
      <c r="J347">
        <v>0</v>
      </c>
      <c r="K347">
        <v>0</v>
      </c>
      <c r="L347" t="s">
        <v>3</v>
      </c>
      <c r="M347" t="s">
        <v>3</v>
      </c>
      <c r="N347">
        <v>0</v>
      </c>
    </row>
    <row r="348" spans="1:23" x14ac:dyDescent="0.2">
      <c r="A348">
        <v>70</v>
      </c>
      <c r="B348">
        <v>1</v>
      </c>
      <c r="D348">
        <v>8</v>
      </c>
      <c r="E348" t="s">
        <v>611</v>
      </c>
      <c r="F348" t="s">
        <v>612</v>
      </c>
      <c r="G348">
        <v>0</v>
      </c>
      <c r="H348">
        <v>0</v>
      </c>
      <c r="I348" t="s">
        <v>613</v>
      </c>
      <c r="J348">
        <v>0</v>
      </c>
      <c r="K348">
        <v>0</v>
      </c>
      <c r="L348" t="s">
        <v>3</v>
      </c>
      <c r="M348" t="s">
        <v>3</v>
      </c>
      <c r="N348">
        <v>0</v>
      </c>
    </row>
    <row r="349" spans="1:23" x14ac:dyDescent="0.2">
      <c r="A349">
        <v>70</v>
      </c>
      <c r="B349">
        <v>1</v>
      </c>
      <c r="D349">
        <v>9</v>
      </c>
      <c r="E349" t="s">
        <v>614</v>
      </c>
      <c r="F349" t="s">
        <v>615</v>
      </c>
      <c r="G349">
        <v>0</v>
      </c>
      <c r="H349">
        <v>0</v>
      </c>
      <c r="I349" t="s">
        <v>616</v>
      </c>
      <c r="J349">
        <v>0</v>
      </c>
      <c r="K349">
        <v>0</v>
      </c>
      <c r="L349" t="s">
        <v>3</v>
      </c>
      <c r="M349" t="s">
        <v>3</v>
      </c>
      <c r="N349">
        <v>0</v>
      </c>
    </row>
    <row r="350" spans="1:23" x14ac:dyDescent="0.2">
      <c r="A350">
        <v>70</v>
      </c>
      <c r="B350">
        <v>1</v>
      </c>
      <c r="D350">
        <v>10</v>
      </c>
      <c r="E350" t="s">
        <v>617</v>
      </c>
      <c r="F350" t="s">
        <v>618</v>
      </c>
      <c r="G350">
        <v>0</v>
      </c>
      <c r="H350">
        <v>0</v>
      </c>
      <c r="I350" t="s">
        <v>619</v>
      </c>
      <c r="J350">
        <v>0</v>
      </c>
      <c r="K350">
        <v>0</v>
      </c>
      <c r="L350" t="s">
        <v>3</v>
      </c>
      <c r="M350" t="s">
        <v>3</v>
      </c>
      <c r="N350">
        <v>0</v>
      </c>
    </row>
    <row r="351" spans="1:23" x14ac:dyDescent="0.2">
      <c r="A351">
        <v>70</v>
      </c>
      <c r="B351">
        <v>1</v>
      </c>
      <c r="D351">
        <v>11</v>
      </c>
      <c r="E351" t="s">
        <v>620</v>
      </c>
      <c r="F351" t="s">
        <v>621</v>
      </c>
      <c r="G351">
        <v>0</v>
      </c>
      <c r="H351">
        <v>0</v>
      </c>
      <c r="I351" t="s">
        <v>622</v>
      </c>
      <c r="J351">
        <v>0</v>
      </c>
      <c r="K351">
        <v>0</v>
      </c>
      <c r="L351" t="s">
        <v>3</v>
      </c>
      <c r="M351" t="s">
        <v>3</v>
      </c>
      <c r="N351">
        <v>0</v>
      </c>
    </row>
    <row r="352" spans="1:23" x14ac:dyDescent="0.2">
      <c r="A352">
        <v>70</v>
      </c>
      <c r="B352">
        <v>1</v>
      </c>
      <c r="D352">
        <v>12</v>
      </c>
      <c r="E352" t="s">
        <v>623</v>
      </c>
      <c r="F352" t="s">
        <v>624</v>
      </c>
      <c r="G352">
        <v>0</v>
      </c>
      <c r="H352">
        <v>0</v>
      </c>
      <c r="I352" t="s">
        <v>3</v>
      </c>
      <c r="J352">
        <v>0</v>
      </c>
      <c r="K352">
        <v>0</v>
      </c>
      <c r="L352" t="s">
        <v>3</v>
      </c>
      <c r="M352" t="s">
        <v>3</v>
      </c>
      <c r="N352">
        <v>0</v>
      </c>
    </row>
    <row r="353" spans="1:14" x14ac:dyDescent="0.2">
      <c r="A353">
        <v>70</v>
      </c>
      <c r="B353">
        <v>1</v>
      </c>
      <c r="D353">
        <v>1</v>
      </c>
      <c r="E353" t="s">
        <v>625</v>
      </c>
      <c r="F353" t="s">
        <v>626</v>
      </c>
      <c r="G353">
        <v>0.9</v>
      </c>
      <c r="H353">
        <v>1</v>
      </c>
      <c r="I353" t="s">
        <v>627</v>
      </c>
      <c r="J353">
        <v>0</v>
      </c>
      <c r="K353">
        <v>0</v>
      </c>
      <c r="L353" t="s">
        <v>3</v>
      </c>
      <c r="M353" t="s">
        <v>3</v>
      </c>
      <c r="N353">
        <v>0</v>
      </c>
    </row>
    <row r="354" spans="1:14" x14ac:dyDescent="0.2">
      <c r="A354">
        <v>70</v>
      </c>
      <c r="B354">
        <v>1</v>
      </c>
      <c r="D354">
        <v>2</v>
      </c>
      <c r="E354" t="s">
        <v>628</v>
      </c>
      <c r="F354" t="s">
        <v>629</v>
      </c>
      <c r="G354">
        <v>0.85</v>
      </c>
      <c r="H354">
        <v>1</v>
      </c>
      <c r="I354" t="s">
        <v>630</v>
      </c>
      <c r="J354">
        <v>0</v>
      </c>
      <c r="K354">
        <v>0</v>
      </c>
      <c r="L354" t="s">
        <v>3</v>
      </c>
      <c r="M354" t="s">
        <v>3</v>
      </c>
      <c r="N354">
        <v>0</v>
      </c>
    </row>
    <row r="355" spans="1:14" x14ac:dyDescent="0.2">
      <c r="A355">
        <v>70</v>
      </c>
      <c r="B355">
        <v>1</v>
      </c>
      <c r="D355">
        <v>3</v>
      </c>
      <c r="E355" t="s">
        <v>631</v>
      </c>
      <c r="F355" t="s">
        <v>632</v>
      </c>
      <c r="G355">
        <v>1</v>
      </c>
      <c r="H355">
        <v>0.85</v>
      </c>
      <c r="I355" t="s">
        <v>633</v>
      </c>
      <c r="J355">
        <v>0</v>
      </c>
      <c r="K355">
        <v>0</v>
      </c>
      <c r="L355" t="s">
        <v>3</v>
      </c>
      <c r="M355" t="s">
        <v>3</v>
      </c>
      <c r="N355">
        <v>0</v>
      </c>
    </row>
    <row r="356" spans="1:14" x14ac:dyDescent="0.2">
      <c r="A356">
        <v>70</v>
      </c>
      <c r="B356">
        <v>1</v>
      </c>
      <c r="D356">
        <v>4</v>
      </c>
      <c r="E356" t="s">
        <v>634</v>
      </c>
      <c r="F356" t="s">
        <v>635</v>
      </c>
      <c r="G356">
        <v>1</v>
      </c>
      <c r="H356">
        <v>0</v>
      </c>
      <c r="I356" t="s">
        <v>3</v>
      </c>
      <c r="J356">
        <v>0</v>
      </c>
      <c r="K356">
        <v>0</v>
      </c>
      <c r="L356" t="s">
        <v>3</v>
      </c>
      <c r="M356" t="s">
        <v>3</v>
      </c>
      <c r="N356">
        <v>0</v>
      </c>
    </row>
    <row r="357" spans="1:14" x14ac:dyDescent="0.2">
      <c r="A357">
        <v>70</v>
      </c>
      <c r="B357">
        <v>1</v>
      </c>
      <c r="D357">
        <v>5</v>
      </c>
      <c r="E357" t="s">
        <v>636</v>
      </c>
      <c r="F357" t="s">
        <v>637</v>
      </c>
      <c r="G357">
        <v>1</v>
      </c>
      <c r="H357">
        <v>0.8</v>
      </c>
      <c r="I357" t="s">
        <v>638</v>
      </c>
      <c r="J357">
        <v>0</v>
      </c>
      <c r="K357">
        <v>0</v>
      </c>
      <c r="L357" t="s">
        <v>3</v>
      </c>
      <c r="M357" t="s">
        <v>3</v>
      </c>
      <c r="N357">
        <v>0</v>
      </c>
    </row>
    <row r="358" spans="1:14" x14ac:dyDescent="0.2">
      <c r="A358">
        <v>70</v>
      </c>
      <c r="B358">
        <v>1</v>
      </c>
      <c r="D358">
        <v>6</v>
      </c>
      <c r="E358" t="s">
        <v>639</v>
      </c>
      <c r="F358" t="s">
        <v>640</v>
      </c>
      <c r="G358">
        <v>0.85</v>
      </c>
      <c r="H358">
        <v>0</v>
      </c>
      <c r="I358" t="s">
        <v>3</v>
      </c>
      <c r="J358">
        <v>0</v>
      </c>
      <c r="K358">
        <v>0</v>
      </c>
      <c r="L358" t="s">
        <v>3</v>
      </c>
      <c r="M358" t="s">
        <v>3</v>
      </c>
      <c r="N358">
        <v>0</v>
      </c>
    </row>
    <row r="359" spans="1:14" x14ac:dyDescent="0.2">
      <c r="A359">
        <v>70</v>
      </c>
      <c r="B359">
        <v>1</v>
      </c>
      <c r="D359">
        <v>7</v>
      </c>
      <c r="E359" t="s">
        <v>641</v>
      </c>
      <c r="F359" t="s">
        <v>642</v>
      </c>
      <c r="G359">
        <v>0.8</v>
      </c>
      <c r="H359">
        <v>0</v>
      </c>
      <c r="I359" t="s">
        <v>3</v>
      </c>
      <c r="J359">
        <v>0</v>
      </c>
      <c r="K359">
        <v>0</v>
      </c>
      <c r="L359" t="s">
        <v>3</v>
      </c>
      <c r="M359" t="s">
        <v>3</v>
      </c>
      <c r="N359">
        <v>0</v>
      </c>
    </row>
    <row r="360" spans="1:14" x14ac:dyDescent="0.2">
      <c r="A360">
        <v>70</v>
      </c>
      <c r="B360">
        <v>1</v>
      </c>
      <c r="D360">
        <v>8</v>
      </c>
      <c r="E360" t="s">
        <v>643</v>
      </c>
      <c r="F360" t="s">
        <v>644</v>
      </c>
      <c r="G360">
        <v>0.94</v>
      </c>
      <c r="H360">
        <v>0</v>
      </c>
      <c r="I360" t="s">
        <v>3</v>
      </c>
      <c r="J360">
        <v>0</v>
      </c>
      <c r="K360">
        <v>0</v>
      </c>
      <c r="L360" t="s">
        <v>3</v>
      </c>
      <c r="M360" t="s">
        <v>3</v>
      </c>
      <c r="N360">
        <v>0</v>
      </c>
    </row>
    <row r="361" spans="1:14" x14ac:dyDescent="0.2">
      <c r="A361">
        <v>70</v>
      </c>
      <c r="B361">
        <v>1</v>
      </c>
      <c r="D361">
        <v>9</v>
      </c>
      <c r="E361" t="s">
        <v>645</v>
      </c>
      <c r="F361" t="s">
        <v>646</v>
      </c>
      <c r="G361">
        <v>0.9</v>
      </c>
      <c r="H361">
        <v>0</v>
      </c>
      <c r="I361" t="s">
        <v>3</v>
      </c>
      <c r="J361">
        <v>0</v>
      </c>
      <c r="K361">
        <v>0</v>
      </c>
      <c r="L361" t="s">
        <v>3</v>
      </c>
      <c r="M361" t="s">
        <v>3</v>
      </c>
      <c r="N361">
        <v>0</v>
      </c>
    </row>
    <row r="362" spans="1:14" x14ac:dyDescent="0.2">
      <c r="A362">
        <v>70</v>
      </c>
      <c r="B362">
        <v>1</v>
      </c>
      <c r="D362">
        <v>10</v>
      </c>
      <c r="E362" t="s">
        <v>647</v>
      </c>
      <c r="F362" t="s">
        <v>648</v>
      </c>
      <c r="G362">
        <v>0.6</v>
      </c>
      <c r="H362">
        <v>0</v>
      </c>
      <c r="I362" t="s">
        <v>3</v>
      </c>
      <c r="J362">
        <v>0</v>
      </c>
      <c r="K362">
        <v>0</v>
      </c>
      <c r="L362" t="s">
        <v>3</v>
      </c>
      <c r="M362" t="s">
        <v>3</v>
      </c>
      <c r="N362">
        <v>0</v>
      </c>
    </row>
    <row r="363" spans="1:14" x14ac:dyDescent="0.2">
      <c r="A363">
        <v>70</v>
      </c>
      <c r="B363">
        <v>1</v>
      </c>
      <c r="D363">
        <v>11</v>
      </c>
      <c r="E363" t="s">
        <v>649</v>
      </c>
      <c r="F363" t="s">
        <v>650</v>
      </c>
      <c r="G363">
        <v>1.2</v>
      </c>
      <c r="H363">
        <v>0</v>
      </c>
      <c r="I363" t="s">
        <v>3</v>
      </c>
      <c r="J363">
        <v>0</v>
      </c>
      <c r="K363">
        <v>0</v>
      </c>
      <c r="L363" t="s">
        <v>3</v>
      </c>
      <c r="M363" t="s">
        <v>3</v>
      </c>
      <c r="N363">
        <v>0</v>
      </c>
    </row>
    <row r="364" spans="1:14" x14ac:dyDescent="0.2">
      <c r="A364">
        <v>70</v>
      </c>
      <c r="B364">
        <v>1</v>
      </c>
      <c r="D364">
        <v>12</v>
      </c>
      <c r="E364" t="s">
        <v>651</v>
      </c>
      <c r="F364" t="s">
        <v>652</v>
      </c>
      <c r="G364">
        <v>0</v>
      </c>
      <c r="H364">
        <v>0</v>
      </c>
      <c r="I364" t="s">
        <v>3</v>
      </c>
      <c r="J364">
        <v>0</v>
      </c>
      <c r="K364">
        <v>0</v>
      </c>
      <c r="L364" t="s">
        <v>3</v>
      </c>
      <c r="M364" t="s">
        <v>3</v>
      </c>
      <c r="N364">
        <v>0</v>
      </c>
    </row>
    <row r="365" spans="1:14" x14ac:dyDescent="0.2">
      <c r="A365">
        <v>70</v>
      </c>
      <c r="B365">
        <v>1</v>
      </c>
      <c r="D365">
        <v>13</v>
      </c>
      <c r="E365" t="s">
        <v>653</v>
      </c>
      <c r="F365" t="s">
        <v>654</v>
      </c>
      <c r="G365">
        <v>0.94</v>
      </c>
      <c r="H365">
        <v>0</v>
      </c>
      <c r="I365" t="s">
        <v>3</v>
      </c>
      <c r="J365">
        <v>0</v>
      </c>
      <c r="K365">
        <v>0</v>
      </c>
      <c r="L365" t="s">
        <v>3</v>
      </c>
      <c r="M365" t="s">
        <v>3</v>
      </c>
      <c r="N365">
        <v>0</v>
      </c>
    </row>
    <row r="367" spans="1:14" x14ac:dyDescent="0.2">
      <c r="A367">
        <v>-1</v>
      </c>
    </row>
    <row r="369" spans="1:34" x14ac:dyDescent="0.2">
      <c r="A369" s="3">
        <v>75</v>
      </c>
      <c r="B369" s="3" t="s">
        <v>655</v>
      </c>
      <c r="C369" s="3">
        <v>2018</v>
      </c>
      <c r="D369" s="3">
        <v>3</v>
      </c>
      <c r="E369" s="3">
        <v>0</v>
      </c>
      <c r="F369" s="3">
        <v>0</v>
      </c>
      <c r="G369" s="3">
        <v>0</v>
      </c>
      <c r="H369" s="3">
        <v>1</v>
      </c>
      <c r="I369" s="3">
        <v>0</v>
      </c>
      <c r="J369" s="3">
        <v>1</v>
      </c>
      <c r="K369" s="3">
        <v>0</v>
      </c>
      <c r="L369" s="3">
        <v>0</v>
      </c>
      <c r="M369" s="3">
        <v>0</v>
      </c>
      <c r="N369" s="3">
        <v>39096431</v>
      </c>
      <c r="O369" s="3">
        <v>1</v>
      </c>
    </row>
    <row r="370" spans="1:34" x14ac:dyDescent="0.2">
      <c r="A370" s="5">
        <v>3</v>
      </c>
      <c r="B370" s="5" t="s">
        <v>656</v>
      </c>
      <c r="C370" s="5">
        <v>6.71</v>
      </c>
      <c r="D370" s="5">
        <v>1</v>
      </c>
      <c r="E370" s="5">
        <v>1</v>
      </c>
      <c r="F370" s="5">
        <v>1</v>
      </c>
      <c r="G370" s="5">
        <v>1</v>
      </c>
      <c r="H370" s="5">
        <v>1</v>
      </c>
      <c r="I370" s="5">
        <v>1</v>
      </c>
      <c r="J370" s="5">
        <v>1</v>
      </c>
      <c r="K370" s="5">
        <v>19.39</v>
      </c>
      <c r="L370" s="5">
        <v>1</v>
      </c>
      <c r="M370" s="5">
        <v>6.71</v>
      </c>
      <c r="N370" s="5">
        <v>1</v>
      </c>
      <c r="O370" s="5">
        <v>1</v>
      </c>
      <c r="P370" s="5">
        <v>1</v>
      </c>
      <c r="Q370" s="5">
        <v>19.39</v>
      </c>
      <c r="R370" s="5">
        <v>1</v>
      </c>
      <c r="S370" s="5" t="s">
        <v>3</v>
      </c>
      <c r="T370" s="5" t="s">
        <v>3</v>
      </c>
      <c r="U370" s="5" t="s">
        <v>3</v>
      </c>
      <c r="V370" s="5" t="s">
        <v>3</v>
      </c>
      <c r="W370" s="5" t="s">
        <v>3</v>
      </c>
      <c r="X370" s="5" t="s">
        <v>3</v>
      </c>
      <c r="Y370" s="5" t="s">
        <v>3</v>
      </c>
      <c r="Z370" s="5" t="s">
        <v>3</v>
      </c>
      <c r="AA370" s="5" t="s">
        <v>3</v>
      </c>
      <c r="AB370" s="5" t="s">
        <v>3</v>
      </c>
      <c r="AC370" s="5" t="s">
        <v>3</v>
      </c>
      <c r="AD370" s="5" t="s">
        <v>3</v>
      </c>
      <c r="AE370" s="5" t="s">
        <v>3</v>
      </c>
      <c r="AF370" s="5" t="s">
        <v>3</v>
      </c>
      <c r="AG370" s="5" t="s">
        <v>3</v>
      </c>
      <c r="AH370" s="5" t="s">
        <v>3</v>
      </c>
    </row>
    <row r="374" spans="1:34" x14ac:dyDescent="0.2">
      <c r="A374">
        <v>65</v>
      </c>
      <c r="C374">
        <v>1</v>
      </c>
      <c r="D374">
        <v>0</v>
      </c>
      <c r="E37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657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39096431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(Source!F296)/1000</f>
        <v>1902.3396</v>
      </c>
      <c r="F16" s="7">
        <f>(Source!F297)/1000</f>
        <v>925.23689999999999</v>
      </c>
      <c r="G16" s="7">
        <f>(Source!F288)/1000</f>
        <v>0</v>
      </c>
      <c r="H16" s="7">
        <f>(Source!F298)/1000+(Source!F299)/1000</f>
        <v>80.139099999999999</v>
      </c>
      <c r="I16" s="7">
        <f>E16+F16+G16+H16</f>
        <v>2907.7156</v>
      </c>
      <c r="J16" s="7">
        <f>(Source!F294)/1000</f>
        <v>209.57803000000001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2580104.83</v>
      </c>
      <c r="AU16" s="7">
        <v>2350409.36</v>
      </c>
      <c r="AV16" s="7">
        <v>0</v>
      </c>
      <c r="AW16" s="7">
        <v>0</v>
      </c>
      <c r="AX16" s="7">
        <v>0</v>
      </c>
      <c r="AY16" s="7">
        <v>21862.65</v>
      </c>
      <c r="AZ16" s="7">
        <v>4669.67</v>
      </c>
      <c r="BA16" s="7">
        <v>207832.82</v>
      </c>
      <c r="BB16" s="7">
        <v>1879773.22</v>
      </c>
      <c r="BC16" s="7">
        <v>925236.9</v>
      </c>
      <c r="BD16" s="7">
        <v>80139.100000000006</v>
      </c>
      <c r="BE16" s="7">
        <v>0</v>
      </c>
      <c r="BF16" s="7">
        <v>2916.7593844000003</v>
      </c>
      <c r="BG16" s="7">
        <v>60.008635349999999</v>
      </c>
      <c r="BH16" s="7">
        <v>0</v>
      </c>
      <c r="BI16" s="7">
        <v>189513.84</v>
      </c>
      <c r="BJ16" s="7">
        <v>114313.97</v>
      </c>
      <c r="BK16" s="7">
        <v>2885149.22</v>
      </c>
    </row>
    <row r="18" spans="1:19" x14ac:dyDescent="0.2">
      <c r="A18">
        <v>51</v>
      </c>
      <c r="E18" s="8">
        <f>SUMIF(A16:A17,3,E16:E17)</f>
        <v>1902.3396</v>
      </c>
      <c r="F18" s="8">
        <f>SUMIF(A16:A17,3,F16:F17)</f>
        <v>925.23689999999999</v>
      </c>
      <c r="G18" s="8">
        <f>SUMIF(A16:A17,3,G16:G17)</f>
        <v>0</v>
      </c>
      <c r="H18" s="8">
        <f>SUMIF(A16:A17,3,H16:H17)</f>
        <v>80.139099999999999</v>
      </c>
      <c r="I18" s="8">
        <f>SUMIF(A16:A17,3,I16:I17)</f>
        <v>2907.7156</v>
      </c>
      <c r="J18" s="8">
        <f>SUMIF(A16:A17,3,J16:J17)</f>
        <v>209.57803000000001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2580104.83</v>
      </c>
      <c r="G20" s="4" t="s">
        <v>280</v>
      </c>
      <c r="H20" s="4" t="s">
        <v>281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2350409.36</v>
      </c>
      <c r="G21" s="4" t="s">
        <v>282</v>
      </c>
      <c r="H21" s="4" t="s">
        <v>283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284</v>
      </c>
      <c r="H22" s="4" t="s">
        <v>285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2350409.36</v>
      </c>
      <c r="G23" s="4" t="s">
        <v>286</v>
      </c>
      <c r="H23" s="4" t="s">
        <v>287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2350409.36</v>
      </c>
      <c r="G24" s="4" t="s">
        <v>288</v>
      </c>
      <c r="H24" s="4" t="s">
        <v>289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290</v>
      </c>
      <c r="H25" s="4" t="s">
        <v>291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2350409.36</v>
      </c>
      <c r="G26" s="4" t="s">
        <v>292</v>
      </c>
      <c r="H26" s="4" t="s">
        <v>293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294</v>
      </c>
      <c r="H27" s="4" t="s">
        <v>295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296</v>
      </c>
      <c r="H28" s="4" t="s">
        <v>297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298</v>
      </c>
      <c r="H29" s="4" t="s">
        <v>299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21862.65</v>
      </c>
      <c r="G30" s="4" t="s">
        <v>300</v>
      </c>
      <c r="H30" s="4" t="s">
        <v>301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302</v>
      </c>
      <c r="H31" s="4" t="s">
        <v>303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4669.67</v>
      </c>
      <c r="G32" s="4" t="s">
        <v>304</v>
      </c>
      <c r="H32" s="4" t="s">
        <v>305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207832.82</v>
      </c>
      <c r="G33" s="4" t="s">
        <v>306</v>
      </c>
      <c r="H33" s="4" t="s">
        <v>307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308</v>
      </c>
      <c r="H34" s="4" t="s">
        <v>309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1879773.22</v>
      </c>
      <c r="G35" s="4" t="s">
        <v>310</v>
      </c>
      <c r="H35" s="4" t="s">
        <v>311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925236.9</v>
      </c>
      <c r="G36" s="4" t="s">
        <v>312</v>
      </c>
      <c r="H36" s="4" t="s">
        <v>313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80139.100000000006</v>
      </c>
      <c r="G37" s="4" t="s">
        <v>314</v>
      </c>
      <c r="H37" s="4" t="s">
        <v>315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316</v>
      </c>
      <c r="H38" s="4" t="s">
        <v>317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318</v>
      </c>
      <c r="H39" s="4" t="s">
        <v>319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2916.7593844000003</v>
      </c>
      <c r="G40" s="4" t="s">
        <v>320</v>
      </c>
      <c r="H40" s="4" t="s">
        <v>321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60.008635349999999</v>
      </c>
      <c r="G41" s="4" t="s">
        <v>322</v>
      </c>
      <c r="H41" s="4" t="s">
        <v>323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324</v>
      </c>
      <c r="H42" s="4" t="s">
        <v>325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189513.84</v>
      </c>
      <c r="G43" s="4" t="s">
        <v>326</v>
      </c>
      <c r="H43" s="4" t="s">
        <v>327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114313.97</v>
      </c>
      <c r="G44" s="4" t="s">
        <v>328</v>
      </c>
      <c r="H44" s="4" t="s">
        <v>329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2885149.22</v>
      </c>
      <c r="G45" s="4" t="s">
        <v>330</v>
      </c>
      <c r="H45" s="4" t="s">
        <v>331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655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39096431</v>
      </c>
      <c r="O50" s="3">
        <v>1</v>
      </c>
    </row>
    <row r="51" spans="1:34" x14ac:dyDescent="0.2">
      <c r="A51" s="5">
        <v>3</v>
      </c>
      <c r="B51" s="5" t="s">
        <v>656</v>
      </c>
      <c r="C51" s="5">
        <v>6.71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19.39</v>
      </c>
      <c r="L51" s="5">
        <v>1</v>
      </c>
      <c r="M51" s="5">
        <v>6.71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8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39096431</v>
      </c>
      <c r="C1">
        <v>39097138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3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54.28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6.71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39487442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21.197639999999996</v>
      </c>
      <c r="CY1">
        <f>AD1</f>
        <v>54.28</v>
      </c>
      <c r="CZ1">
        <f>AH1</f>
        <v>8.09</v>
      </c>
      <c r="DA1">
        <f>AL1</f>
        <v>6.71</v>
      </c>
      <c r="DB1">
        <v>0</v>
      </c>
    </row>
    <row r="2" spans="1:106" x14ac:dyDescent="0.2">
      <c r="A2">
        <f>ROW(Source!A28)</f>
        <v>28</v>
      </c>
      <c r="B2">
        <v>39096431</v>
      </c>
      <c r="C2">
        <v>39097138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661</v>
      </c>
      <c r="J2" t="s">
        <v>3</v>
      </c>
      <c r="K2" t="s">
        <v>662</v>
      </c>
      <c r="L2">
        <v>1191</v>
      </c>
      <c r="N2">
        <v>1013</v>
      </c>
      <c r="O2" t="s">
        <v>660</v>
      </c>
      <c r="P2" t="s">
        <v>660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6.71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39487443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1.5789599999999999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39096431</v>
      </c>
      <c r="C3">
        <v>39097138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663</v>
      </c>
      <c r="J3" t="s">
        <v>664</v>
      </c>
      <c r="K3" t="s">
        <v>665</v>
      </c>
      <c r="L3">
        <v>1368</v>
      </c>
      <c r="N3">
        <v>1011</v>
      </c>
      <c r="O3" t="s">
        <v>666</v>
      </c>
      <c r="P3" t="s">
        <v>666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209.75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6.71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39487444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1.5789599999999999</v>
      </c>
      <c r="CY3">
        <f>AB3</f>
        <v>209.75</v>
      </c>
      <c r="CZ3">
        <f>AF3</f>
        <v>31.26</v>
      </c>
      <c r="DA3">
        <f>AJ3</f>
        <v>6.71</v>
      </c>
      <c r="DB3">
        <v>0</v>
      </c>
    </row>
    <row r="4" spans="1:106" x14ac:dyDescent="0.2">
      <c r="A4">
        <f>ROW(Source!A29)</f>
        <v>29</v>
      </c>
      <c r="B4">
        <v>39096431</v>
      </c>
      <c r="C4">
        <v>39097145</v>
      </c>
      <c r="D4">
        <v>37064998</v>
      </c>
      <c r="E4">
        <v>1</v>
      </c>
      <c r="F4">
        <v>1</v>
      </c>
      <c r="G4">
        <v>1</v>
      </c>
      <c r="H4">
        <v>1</v>
      </c>
      <c r="I4" t="s">
        <v>667</v>
      </c>
      <c r="J4" t="s">
        <v>3</v>
      </c>
      <c r="K4" t="s">
        <v>668</v>
      </c>
      <c r="L4">
        <v>1191</v>
      </c>
      <c r="N4">
        <v>1013</v>
      </c>
      <c r="O4" t="s">
        <v>660</v>
      </c>
      <c r="P4" t="s">
        <v>660</v>
      </c>
      <c r="Q4">
        <v>1</v>
      </c>
      <c r="W4">
        <v>0</v>
      </c>
      <c r="X4">
        <v>735429535</v>
      </c>
      <c r="Y4">
        <v>3.77</v>
      </c>
      <c r="AA4">
        <v>0</v>
      </c>
      <c r="AB4">
        <v>0</v>
      </c>
      <c r="AC4">
        <v>0</v>
      </c>
      <c r="AD4">
        <v>52.34</v>
      </c>
      <c r="AE4">
        <v>0</v>
      </c>
      <c r="AF4">
        <v>0</v>
      </c>
      <c r="AG4">
        <v>0</v>
      </c>
      <c r="AH4">
        <v>7.8</v>
      </c>
      <c r="AI4">
        <v>1</v>
      </c>
      <c r="AJ4">
        <v>1</v>
      </c>
      <c r="AK4">
        <v>1</v>
      </c>
      <c r="AL4">
        <v>6.71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3.77</v>
      </c>
      <c r="AU4" t="s">
        <v>3</v>
      </c>
      <c r="AV4">
        <v>1</v>
      </c>
      <c r="AW4">
        <v>2</v>
      </c>
      <c r="AX4">
        <v>39097147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7.2187960000000002</v>
      </c>
      <c r="CY4">
        <f>AD4</f>
        <v>52.34</v>
      </c>
      <c r="CZ4">
        <f>AH4</f>
        <v>7.8</v>
      </c>
      <c r="DA4">
        <f>AL4</f>
        <v>6.71</v>
      </c>
      <c r="DB4">
        <v>0</v>
      </c>
    </row>
    <row r="5" spans="1:106" x14ac:dyDescent="0.2">
      <c r="A5">
        <f>ROW(Source!A30)</f>
        <v>30</v>
      </c>
      <c r="B5">
        <v>39096431</v>
      </c>
      <c r="C5">
        <v>39489076</v>
      </c>
      <c r="D5">
        <v>37064998</v>
      </c>
      <c r="E5">
        <v>1</v>
      </c>
      <c r="F5">
        <v>1</v>
      </c>
      <c r="G5">
        <v>1</v>
      </c>
      <c r="H5">
        <v>1</v>
      </c>
      <c r="I5" t="s">
        <v>667</v>
      </c>
      <c r="J5" t="s">
        <v>3</v>
      </c>
      <c r="K5" t="s">
        <v>668</v>
      </c>
      <c r="L5">
        <v>1191</v>
      </c>
      <c r="N5">
        <v>1013</v>
      </c>
      <c r="O5" t="s">
        <v>660</v>
      </c>
      <c r="P5" t="s">
        <v>660</v>
      </c>
      <c r="Q5">
        <v>1</v>
      </c>
      <c r="W5">
        <v>0</v>
      </c>
      <c r="X5">
        <v>735429535</v>
      </c>
      <c r="Y5">
        <v>11.39</v>
      </c>
      <c r="AA5">
        <v>0</v>
      </c>
      <c r="AB5">
        <v>0</v>
      </c>
      <c r="AC5">
        <v>0</v>
      </c>
      <c r="AD5">
        <v>52.34</v>
      </c>
      <c r="AE5">
        <v>0</v>
      </c>
      <c r="AF5">
        <v>0</v>
      </c>
      <c r="AG5">
        <v>0</v>
      </c>
      <c r="AH5">
        <v>7.8</v>
      </c>
      <c r="AI5">
        <v>1</v>
      </c>
      <c r="AJ5">
        <v>1</v>
      </c>
      <c r="AK5">
        <v>1</v>
      </c>
      <c r="AL5">
        <v>6.71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11.39</v>
      </c>
      <c r="AU5" t="s">
        <v>3</v>
      </c>
      <c r="AV5">
        <v>1</v>
      </c>
      <c r="AW5">
        <v>2</v>
      </c>
      <c r="AX5">
        <v>39489077</v>
      </c>
      <c r="AY5">
        <v>1</v>
      </c>
      <c r="AZ5">
        <v>0</v>
      </c>
      <c r="BA5">
        <v>6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Y5*Source!I30</f>
        <v>37.792020000000001</v>
      </c>
      <c r="CY5">
        <f>AD5</f>
        <v>52.34</v>
      </c>
      <c r="CZ5">
        <f>AH5</f>
        <v>7.8</v>
      </c>
      <c r="DA5">
        <f>AL5</f>
        <v>6.71</v>
      </c>
      <c r="DB5">
        <v>0</v>
      </c>
    </row>
    <row r="6" spans="1:106" x14ac:dyDescent="0.2">
      <c r="A6">
        <f>ROW(Source!A30)</f>
        <v>30</v>
      </c>
      <c r="B6">
        <v>39096431</v>
      </c>
      <c r="C6">
        <v>39489076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661</v>
      </c>
      <c r="J6" t="s">
        <v>3</v>
      </c>
      <c r="K6" t="s">
        <v>662</v>
      </c>
      <c r="L6">
        <v>1191</v>
      </c>
      <c r="N6">
        <v>1013</v>
      </c>
      <c r="O6" t="s">
        <v>660</v>
      </c>
      <c r="P6" t="s">
        <v>660</v>
      </c>
      <c r="Q6">
        <v>1</v>
      </c>
      <c r="W6">
        <v>0</v>
      </c>
      <c r="X6">
        <v>-1417349443</v>
      </c>
      <c r="Y6">
        <v>0.13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6.71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0.13</v>
      </c>
      <c r="AU6" t="s">
        <v>3</v>
      </c>
      <c r="AV6">
        <v>2</v>
      </c>
      <c r="AW6">
        <v>2</v>
      </c>
      <c r="AX6">
        <v>39489078</v>
      </c>
      <c r="AY6">
        <v>1</v>
      </c>
      <c r="AZ6">
        <v>0</v>
      </c>
      <c r="BA6">
        <v>7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Y6*Source!I30</f>
        <v>0.43134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ROW(Source!A30)</f>
        <v>30</v>
      </c>
      <c r="B7">
        <v>39096431</v>
      </c>
      <c r="C7">
        <v>39489076</v>
      </c>
      <c r="D7">
        <v>36882452</v>
      </c>
      <c r="E7">
        <v>1</v>
      </c>
      <c r="F7">
        <v>1</v>
      </c>
      <c r="G7">
        <v>1</v>
      </c>
      <c r="H7">
        <v>2</v>
      </c>
      <c r="I7" t="s">
        <v>663</v>
      </c>
      <c r="J7" t="s">
        <v>664</v>
      </c>
      <c r="K7" t="s">
        <v>665</v>
      </c>
      <c r="L7">
        <v>1368</v>
      </c>
      <c r="N7">
        <v>1011</v>
      </c>
      <c r="O7" t="s">
        <v>666</v>
      </c>
      <c r="P7" t="s">
        <v>666</v>
      </c>
      <c r="Q7">
        <v>1</v>
      </c>
      <c r="W7">
        <v>0</v>
      </c>
      <c r="X7">
        <v>1188625873</v>
      </c>
      <c r="Y7">
        <v>0.13</v>
      </c>
      <c r="AA7">
        <v>0</v>
      </c>
      <c r="AB7">
        <v>209.75</v>
      </c>
      <c r="AC7">
        <v>13.5</v>
      </c>
      <c r="AD7">
        <v>0</v>
      </c>
      <c r="AE7">
        <v>0</v>
      </c>
      <c r="AF7">
        <v>31.26</v>
      </c>
      <c r="AG7">
        <v>13.5</v>
      </c>
      <c r="AH7">
        <v>0</v>
      </c>
      <c r="AI7">
        <v>1</v>
      </c>
      <c r="AJ7">
        <v>6.71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0.13</v>
      </c>
      <c r="AU7" t="s">
        <v>3</v>
      </c>
      <c r="AV7">
        <v>0</v>
      </c>
      <c r="AW7">
        <v>2</v>
      </c>
      <c r="AX7">
        <v>39489079</v>
      </c>
      <c r="AY7">
        <v>1</v>
      </c>
      <c r="AZ7">
        <v>0</v>
      </c>
      <c r="BA7">
        <v>8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0.43134</v>
      </c>
      <c r="CY7">
        <f>AB7</f>
        <v>209.75</v>
      </c>
      <c r="CZ7">
        <f>AF7</f>
        <v>31.26</v>
      </c>
      <c r="DA7">
        <f>AJ7</f>
        <v>6.71</v>
      </c>
      <c r="DB7">
        <v>0</v>
      </c>
    </row>
    <row r="8" spans="1:106" x14ac:dyDescent="0.2">
      <c r="A8">
        <f>ROW(Source!A31)</f>
        <v>31</v>
      </c>
      <c r="B8">
        <v>39096431</v>
      </c>
      <c r="C8">
        <v>39097161</v>
      </c>
      <c r="D8">
        <v>37065248</v>
      </c>
      <c r="E8">
        <v>1</v>
      </c>
      <c r="F8">
        <v>1</v>
      </c>
      <c r="G8">
        <v>1</v>
      </c>
      <c r="H8">
        <v>1</v>
      </c>
      <c r="I8" t="s">
        <v>669</v>
      </c>
      <c r="J8" t="s">
        <v>3</v>
      </c>
      <c r="K8" t="s">
        <v>670</v>
      </c>
      <c r="L8">
        <v>1191</v>
      </c>
      <c r="N8">
        <v>1013</v>
      </c>
      <c r="O8" t="s">
        <v>660</v>
      </c>
      <c r="P8" t="s">
        <v>660</v>
      </c>
      <c r="Q8">
        <v>1</v>
      </c>
      <c r="W8">
        <v>0</v>
      </c>
      <c r="X8">
        <v>-400197608</v>
      </c>
      <c r="Y8">
        <v>46.19</v>
      </c>
      <c r="AA8">
        <v>0</v>
      </c>
      <c r="AB8">
        <v>0</v>
      </c>
      <c r="AC8">
        <v>0</v>
      </c>
      <c r="AD8">
        <v>57.24</v>
      </c>
      <c r="AE8">
        <v>0</v>
      </c>
      <c r="AF8">
        <v>0</v>
      </c>
      <c r="AG8">
        <v>0</v>
      </c>
      <c r="AH8">
        <v>8.5299999999999994</v>
      </c>
      <c r="AI8">
        <v>1</v>
      </c>
      <c r="AJ8">
        <v>1</v>
      </c>
      <c r="AK8">
        <v>1</v>
      </c>
      <c r="AL8">
        <v>6.71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46.19</v>
      </c>
      <c r="AU8" t="s">
        <v>3</v>
      </c>
      <c r="AV8">
        <v>1</v>
      </c>
      <c r="AW8">
        <v>2</v>
      </c>
      <c r="AX8">
        <v>39097168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Y8*Source!I31</f>
        <v>6.0046999999999997</v>
      </c>
      <c r="CY8">
        <f>AD8</f>
        <v>57.24</v>
      </c>
      <c r="CZ8">
        <f>AH8</f>
        <v>8.5299999999999994</v>
      </c>
      <c r="DA8">
        <f>AL8</f>
        <v>6.71</v>
      </c>
      <c r="DB8">
        <v>0</v>
      </c>
    </row>
    <row r="9" spans="1:106" x14ac:dyDescent="0.2">
      <c r="A9">
        <f>ROW(Source!A31)</f>
        <v>31</v>
      </c>
      <c r="B9">
        <v>39096431</v>
      </c>
      <c r="C9">
        <v>39097161</v>
      </c>
      <c r="D9">
        <v>37064876</v>
      </c>
      <c r="E9">
        <v>1</v>
      </c>
      <c r="F9">
        <v>1</v>
      </c>
      <c r="G9">
        <v>1</v>
      </c>
      <c r="H9">
        <v>1</v>
      </c>
      <c r="I9" t="s">
        <v>661</v>
      </c>
      <c r="J9" t="s">
        <v>3</v>
      </c>
      <c r="K9" t="s">
        <v>662</v>
      </c>
      <c r="L9">
        <v>1191</v>
      </c>
      <c r="N9">
        <v>1013</v>
      </c>
      <c r="O9" t="s">
        <v>660</v>
      </c>
      <c r="P9" t="s">
        <v>660</v>
      </c>
      <c r="Q9">
        <v>1</v>
      </c>
      <c r="W9">
        <v>0</v>
      </c>
      <c r="X9">
        <v>-1417349443</v>
      </c>
      <c r="Y9">
        <v>0.01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6.71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0.01</v>
      </c>
      <c r="AU9" t="s">
        <v>3</v>
      </c>
      <c r="AV9">
        <v>2</v>
      </c>
      <c r="AW9">
        <v>2</v>
      </c>
      <c r="AX9">
        <v>39097169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Y9*Source!I31</f>
        <v>1.3000000000000002E-3</v>
      </c>
      <c r="CY9">
        <f>AD9</f>
        <v>0</v>
      </c>
      <c r="CZ9">
        <f>AH9</f>
        <v>0</v>
      </c>
      <c r="DA9">
        <f>AL9</f>
        <v>1</v>
      </c>
      <c r="DB9">
        <v>0</v>
      </c>
    </row>
    <row r="10" spans="1:106" x14ac:dyDescent="0.2">
      <c r="A10">
        <f>ROW(Source!A31)</f>
        <v>31</v>
      </c>
      <c r="B10">
        <v>39096431</v>
      </c>
      <c r="C10">
        <v>39097161</v>
      </c>
      <c r="D10">
        <v>36882452</v>
      </c>
      <c r="E10">
        <v>1</v>
      </c>
      <c r="F10">
        <v>1</v>
      </c>
      <c r="G10">
        <v>1</v>
      </c>
      <c r="H10">
        <v>2</v>
      </c>
      <c r="I10" t="s">
        <v>663</v>
      </c>
      <c r="J10" t="s">
        <v>664</v>
      </c>
      <c r="K10" t="s">
        <v>665</v>
      </c>
      <c r="L10">
        <v>1368</v>
      </c>
      <c r="N10">
        <v>1011</v>
      </c>
      <c r="O10" t="s">
        <v>666</v>
      </c>
      <c r="P10" t="s">
        <v>666</v>
      </c>
      <c r="Q10">
        <v>1</v>
      </c>
      <c r="W10">
        <v>0</v>
      </c>
      <c r="X10">
        <v>1188625873</v>
      </c>
      <c r="Y10">
        <v>0.01</v>
      </c>
      <c r="AA10">
        <v>0</v>
      </c>
      <c r="AB10">
        <v>209.75</v>
      </c>
      <c r="AC10">
        <v>13.5</v>
      </c>
      <c r="AD10">
        <v>0</v>
      </c>
      <c r="AE10">
        <v>0</v>
      </c>
      <c r="AF10">
        <v>31.26</v>
      </c>
      <c r="AG10">
        <v>13.5</v>
      </c>
      <c r="AH10">
        <v>0</v>
      </c>
      <c r="AI10">
        <v>1</v>
      </c>
      <c r="AJ10">
        <v>6.71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0.01</v>
      </c>
      <c r="AU10" t="s">
        <v>3</v>
      </c>
      <c r="AV10">
        <v>0</v>
      </c>
      <c r="AW10">
        <v>2</v>
      </c>
      <c r="AX10">
        <v>39097170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1.3000000000000002E-3</v>
      </c>
      <c r="CY10">
        <f>AB10</f>
        <v>209.75</v>
      </c>
      <c r="CZ10">
        <f>AF10</f>
        <v>31.26</v>
      </c>
      <c r="DA10">
        <f>AJ10</f>
        <v>6.71</v>
      </c>
      <c r="DB10">
        <v>0</v>
      </c>
    </row>
    <row r="11" spans="1:106" x14ac:dyDescent="0.2">
      <c r="A11">
        <f>ROW(Source!A31)</f>
        <v>31</v>
      </c>
      <c r="B11">
        <v>39096431</v>
      </c>
      <c r="C11">
        <v>39097161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671</v>
      </c>
      <c r="J11" t="s">
        <v>672</v>
      </c>
      <c r="K11" t="s">
        <v>673</v>
      </c>
      <c r="L11">
        <v>1339</v>
      </c>
      <c r="N11">
        <v>1007</v>
      </c>
      <c r="O11" t="s">
        <v>106</v>
      </c>
      <c r="P11" t="s">
        <v>106</v>
      </c>
      <c r="Q11">
        <v>1</v>
      </c>
      <c r="W11">
        <v>0</v>
      </c>
      <c r="X11">
        <v>-1660354250</v>
      </c>
      <c r="Y11">
        <v>0.02</v>
      </c>
      <c r="AA11">
        <v>16.37</v>
      </c>
      <c r="AB11">
        <v>0</v>
      </c>
      <c r="AC11">
        <v>0</v>
      </c>
      <c r="AD11">
        <v>0</v>
      </c>
      <c r="AE11">
        <v>2.44</v>
      </c>
      <c r="AF11">
        <v>0</v>
      </c>
      <c r="AG11">
        <v>0</v>
      </c>
      <c r="AH11">
        <v>0</v>
      </c>
      <c r="AI11">
        <v>6.71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0.02</v>
      </c>
      <c r="AU11" t="s">
        <v>3</v>
      </c>
      <c r="AV11">
        <v>0</v>
      </c>
      <c r="AW11">
        <v>2</v>
      </c>
      <c r="AX11">
        <v>39097171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2.6000000000000003E-3</v>
      </c>
      <c r="CY11">
        <f>AA11</f>
        <v>16.37</v>
      </c>
      <c r="CZ11">
        <f>AE11</f>
        <v>2.44</v>
      </c>
      <c r="DA11">
        <f>AI11</f>
        <v>6.71</v>
      </c>
      <c r="DB11">
        <v>0</v>
      </c>
    </row>
    <row r="12" spans="1:106" x14ac:dyDescent="0.2">
      <c r="A12">
        <f>ROW(Source!A31)</f>
        <v>31</v>
      </c>
      <c r="B12">
        <v>39096431</v>
      </c>
      <c r="C12">
        <v>39097161</v>
      </c>
      <c r="D12">
        <v>36806488</v>
      </c>
      <c r="E12">
        <v>1</v>
      </c>
      <c r="F12">
        <v>1</v>
      </c>
      <c r="G12">
        <v>1</v>
      </c>
      <c r="H12">
        <v>3</v>
      </c>
      <c r="I12" t="s">
        <v>674</v>
      </c>
      <c r="J12" t="s">
        <v>675</v>
      </c>
      <c r="K12" t="s">
        <v>676</v>
      </c>
      <c r="L12">
        <v>1348</v>
      </c>
      <c r="N12">
        <v>1009</v>
      </c>
      <c r="O12" t="s">
        <v>110</v>
      </c>
      <c r="P12" t="s">
        <v>110</v>
      </c>
      <c r="Q12">
        <v>1000</v>
      </c>
      <c r="W12">
        <v>0</v>
      </c>
      <c r="X12">
        <v>-1421715385</v>
      </c>
      <c r="Y12">
        <v>0.05</v>
      </c>
      <c r="AA12">
        <v>4898.17</v>
      </c>
      <c r="AB12">
        <v>0</v>
      </c>
      <c r="AC12">
        <v>0</v>
      </c>
      <c r="AD12">
        <v>0</v>
      </c>
      <c r="AE12">
        <v>729.98</v>
      </c>
      <c r="AF12">
        <v>0</v>
      </c>
      <c r="AG12">
        <v>0</v>
      </c>
      <c r="AH12">
        <v>0</v>
      </c>
      <c r="AI12">
        <v>6.71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0.05</v>
      </c>
      <c r="AU12" t="s">
        <v>3</v>
      </c>
      <c r="AV12">
        <v>0</v>
      </c>
      <c r="AW12">
        <v>2</v>
      </c>
      <c r="AX12">
        <v>39097173</v>
      </c>
      <c r="AY12">
        <v>1</v>
      </c>
      <c r="AZ12">
        <v>0</v>
      </c>
      <c r="BA12">
        <v>15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6.5000000000000006E-3</v>
      </c>
      <c r="CY12">
        <f>AA12</f>
        <v>4898.17</v>
      </c>
      <c r="CZ12">
        <f>AE12</f>
        <v>729.98</v>
      </c>
      <c r="DA12">
        <f>AI12</f>
        <v>6.71</v>
      </c>
      <c r="DB12">
        <v>0</v>
      </c>
    </row>
    <row r="13" spans="1:106" x14ac:dyDescent="0.2">
      <c r="A13">
        <f>ROW(Source!A31)</f>
        <v>31</v>
      </c>
      <c r="B13">
        <v>39096431</v>
      </c>
      <c r="C13">
        <v>39097161</v>
      </c>
      <c r="D13">
        <v>36849905</v>
      </c>
      <c r="E13">
        <v>1</v>
      </c>
      <c r="F13">
        <v>1</v>
      </c>
      <c r="G13">
        <v>1</v>
      </c>
      <c r="H13">
        <v>3</v>
      </c>
      <c r="I13" t="s">
        <v>44</v>
      </c>
      <c r="J13" t="s">
        <v>47</v>
      </c>
      <c r="K13" t="s">
        <v>45</v>
      </c>
      <c r="L13">
        <v>1354</v>
      </c>
      <c r="N13">
        <v>1010</v>
      </c>
      <c r="O13" t="s">
        <v>46</v>
      </c>
      <c r="P13" t="s">
        <v>46</v>
      </c>
      <c r="Q13">
        <v>1</v>
      </c>
      <c r="W13">
        <v>0</v>
      </c>
      <c r="X13">
        <v>128350836</v>
      </c>
      <c r="Y13">
        <v>100</v>
      </c>
      <c r="AA13">
        <v>6416.71</v>
      </c>
      <c r="AB13">
        <v>0</v>
      </c>
      <c r="AC13">
        <v>0</v>
      </c>
      <c r="AD13">
        <v>0</v>
      </c>
      <c r="AE13">
        <v>956.29</v>
      </c>
      <c r="AF13">
        <v>0</v>
      </c>
      <c r="AG13">
        <v>0</v>
      </c>
      <c r="AH13">
        <v>0</v>
      </c>
      <c r="AI13">
        <v>6.71</v>
      </c>
      <c r="AJ13">
        <v>1</v>
      </c>
      <c r="AK13">
        <v>1</v>
      </c>
      <c r="AL13">
        <v>1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3</v>
      </c>
      <c r="AT13">
        <v>100</v>
      </c>
      <c r="AU13" t="s">
        <v>3</v>
      </c>
      <c r="AV13">
        <v>0</v>
      </c>
      <c r="AW13">
        <v>1</v>
      </c>
      <c r="AX13">
        <v>-1</v>
      </c>
      <c r="AY13">
        <v>0</v>
      </c>
      <c r="AZ13">
        <v>0</v>
      </c>
      <c r="BA13" t="s">
        <v>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13</v>
      </c>
      <c r="CY13">
        <f>AA13</f>
        <v>6416.71</v>
      </c>
      <c r="CZ13">
        <f>AE13</f>
        <v>956.29</v>
      </c>
      <c r="DA13">
        <f>AI13</f>
        <v>6.71</v>
      </c>
      <c r="DB13">
        <v>0</v>
      </c>
    </row>
    <row r="14" spans="1:106" x14ac:dyDescent="0.2">
      <c r="A14">
        <f>ROW(Source!A33)</f>
        <v>33</v>
      </c>
      <c r="B14">
        <v>39096431</v>
      </c>
      <c r="C14">
        <v>39097176</v>
      </c>
      <c r="D14">
        <v>37064998</v>
      </c>
      <c r="E14">
        <v>1</v>
      </c>
      <c r="F14">
        <v>1</v>
      </c>
      <c r="G14">
        <v>1</v>
      </c>
      <c r="H14">
        <v>1</v>
      </c>
      <c r="I14" t="s">
        <v>667</v>
      </c>
      <c r="J14" t="s">
        <v>3</v>
      </c>
      <c r="K14" t="s">
        <v>668</v>
      </c>
      <c r="L14">
        <v>1191</v>
      </c>
      <c r="N14">
        <v>1013</v>
      </c>
      <c r="O14" t="s">
        <v>660</v>
      </c>
      <c r="P14" t="s">
        <v>660</v>
      </c>
      <c r="Q14">
        <v>1</v>
      </c>
      <c r="W14">
        <v>0</v>
      </c>
      <c r="X14">
        <v>735429535</v>
      </c>
      <c r="Y14">
        <v>22.82</v>
      </c>
      <c r="AA14">
        <v>0</v>
      </c>
      <c r="AB14">
        <v>0</v>
      </c>
      <c r="AC14">
        <v>0</v>
      </c>
      <c r="AD14">
        <v>52.34</v>
      </c>
      <c r="AE14">
        <v>0</v>
      </c>
      <c r="AF14">
        <v>0</v>
      </c>
      <c r="AG14">
        <v>0</v>
      </c>
      <c r="AH14">
        <v>7.8</v>
      </c>
      <c r="AI14">
        <v>1</v>
      </c>
      <c r="AJ14">
        <v>1</v>
      </c>
      <c r="AK14">
        <v>1</v>
      </c>
      <c r="AL14">
        <v>6.71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22.82</v>
      </c>
      <c r="AU14" t="s">
        <v>3</v>
      </c>
      <c r="AV14">
        <v>1</v>
      </c>
      <c r="AW14">
        <v>2</v>
      </c>
      <c r="AX14">
        <v>39097178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38.558954</v>
      </c>
      <c r="CY14">
        <f>AD14</f>
        <v>52.34</v>
      </c>
      <c r="CZ14">
        <f>AH14</f>
        <v>7.8</v>
      </c>
      <c r="DA14">
        <f>AL14</f>
        <v>6.71</v>
      </c>
      <c r="DB14">
        <v>0</v>
      </c>
    </row>
    <row r="15" spans="1:106" x14ac:dyDescent="0.2">
      <c r="A15">
        <f>ROW(Source!A34)</f>
        <v>34</v>
      </c>
      <c r="B15">
        <v>39096431</v>
      </c>
      <c r="C15">
        <v>39101952</v>
      </c>
      <c r="D15">
        <v>37070202</v>
      </c>
      <c r="E15">
        <v>1</v>
      </c>
      <c r="F15">
        <v>1</v>
      </c>
      <c r="G15">
        <v>1</v>
      </c>
      <c r="H15">
        <v>1</v>
      </c>
      <c r="I15" t="s">
        <v>677</v>
      </c>
      <c r="J15" t="s">
        <v>3</v>
      </c>
      <c r="K15" t="s">
        <v>678</v>
      </c>
      <c r="L15">
        <v>1191</v>
      </c>
      <c r="N15">
        <v>1013</v>
      </c>
      <c r="O15" t="s">
        <v>660</v>
      </c>
      <c r="P15" t="s">
        <v>660</v>
      </c>
      <c r="Q15">
        <v>1</v>
      </c>
      <c r="W15">
        <v>0</v>
      </c>
      <c r="X15">
        <v>1983201532</v>
      </c>
      <c r="Y15">
        <v>40.480000000000004</v>
      </c>
      <c r="AA15">
        <v>0</v>
      </c>
      <c r="AB15">
        <v>0</v>
      </c>
      <c r="AC15">
        <v>0</v>
      </c>
      <c r="AD15">
        <v>63.81</v>
      </c>
      <c r="AE15">
        <v>0</v>
      </c>
      <c r="AF15">
        <v>0</v>
      </c>
      <c r="AG15">
        <v>0</v>
      </c>
      <c r="AH15">
        <v>9.51</v>
      </c>
      <c r="AI15">
        <v>1</v>
      </c>
      <c r="AJ15">
        <v>1</v>
      </c>
      <c r="AK15">
        <v>1</v>
      </c>
      <c r="AL15">
        <v>6.71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50.6</v>
      </c>
      <c r="AU15" t="s">
        <v>58</v>
      </c>
      <c r="AV15">
        <v>1</v>
      </c>
      <c r="AW15">
        <v>2</v>
      </c>
      <c r="AX15">
        <v>39488828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12.751200000000001</v>
      </c>
      <c r="CY15">
        <f>AD15</f>
        <v>63.81</v>
      </c>
      <c r="CZ15">
        <f>AH15</f>
        <v>9.51</v>
      </c>
      <c r="DA15">
        <f>AL15</f>
        <v>6.71</v>
      </c>
      <c r="DB15">
        <v>0</v>
      </c>
    </row>
    <row r="16" spans="1:106" x14ac:dyDescent="0.2">
      <c r="A16">
        <f>ROW(Source!A34)</f>
        <v>34</v>
      </c>
      <c r="B16">
        <v>39096431</v>
      </c>
      <c r="C16">
        <v>39101952</v>
      </c>
      <c r="D16">
        <v>37064876</v>
      </c>
      <c r="E16">
        <v>1</v>
      </c>
      <c r="F16">
        <v>1</v>
      </c>
      <c r="G16">
        <v>1</v>
      </c>
      <c r="H16">
        <v>1</v>
      </c>
      <c r="I16" t="s">
        <v>661</v>
      </c>
      <c r="J16" t="s">
        <v>3</v>
      </c>
      <c r="K16" t="s">
        <v>662</v>
      </c>
      <c r="L16">
        <v>1191</v>
      </c>
      <c r="N16">
        <v>1013</v>
      </c>
      <c r="O16" t="s">
        <v>660</v>
      </c>
      <c r="P16" t="s">
        <v>660</v>
      </c>
      <c r="Q16">
        <v>1</v>
      </c>
      <c r="W16">
        <v>0</v>
      </c>
      <c r="X16">
        <v>-1417349443</v>
      </c>
      <c r="Y16">
        <v>1.42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6.71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1.42</v>
      </c>
      <c r="AU16" t="s">
        <v>3</v>
      </c>
      <c r="AV16">
        <v>2</v>
      </c>
      <c r="AW16">
        <v>2</v>
      </c>
      <c r="AX16">
        <v>39488829</v>
      </c>
      <c r="AY16">
        <v>1</v>
      </c>
      <c r="AZ16">
        <v>2048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0.44729999999999998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ROW(Source!A34)</f>
        <v>34</v>
      </c>
      <c r="B17">
        <v>39096431</v>
      </c>
      <c r="C17">
        <v>39101952</v>
      </c>
      <c r="D17">
        <v>36882452</v>
      </c>
      <c r="E17">
        <v>1</v>
      </c>
      <c r="F17">
        <v>1</v>
      </c>
      <c r="G17">
        <v>1</v>
      </c>
      <c r="H17">
        <v>2</v>
      </c>
      <c r="I17" t="s">
        <v>663</v>
      </c>
      <c r="J17" t="s">
        <v>664</v>
      </c>
      <c r="K17" t="s">
        <v>665</v>
      </c>
      <c r="L17">
        <v>1368</v>
      </c>
      <c r="N17">
        <v>1011</v>
      </c>
      <c r="O17" t="s">
        <v>666</v>
      </c>
      <c r="P17" t="s">
        <v>666</v>
      </c>
      <c r="Q17">
        <v>1</v>
      </c>
      <c r="W17">
        <v>0</v>
      </c>
      <c r="X17">
        <v>1188625873</v>
      </c>
      <c r="Y17">
        <v>0.17600000000000002</v>
      </c>
      <c r="AA17">
        <v>0</v>
      </c>
      <c r="AB17">
        <v>209.75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6.71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0.22</v>
      </c>
      <c r="AU17" t="s">
        <v>58</v>
      </c>
      <c r="AV17">
        <v>0</v>
      </c>
      <c r="AW17">
        <v>2</v>
      </c>
      <c r="AX17">
        <v>39488830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5.5440000000000003E-2</v>
      </c>
      <c r="CY17">
        <f>AB17</f>
        <v>209.75</v>
      </c>
      <c r="CZ17">
        <f>AF17</f>
        <v>31.26</v>
      </c>
      <c r="DA17">
        <f>AJ17</f>
        <v>6.71</v>
      </c>
      <c r="DB17">
        <v>0</v>
      </c>
    </row>
    <row r="18" spans="1:106" x14ac:dyDescent="0.2">
      <c r="A18">
        <f>ROW(Source!A34)</f>
        <v>34</v>
      </c>
      <c r="B18">
        <v>39096431</v>
      </c>
      <c r="C18">
        <v>39101952</v>
      </c>
      <c r="D18">
        <v>36883554</v>
      </c>
      <c r="E18">
        <v>1</v>
      </c>
      <c r="F18">
        <v>1</v>
      </c>
      <c r="G18">
        <v>1</v>
      </c>
      <c r="H18">
        <v>2</v>
      </c>
      <c r="I18" t="s">
        <v>679</v>
      </c>
      <c r="J18" t="s">
        <v>680</v>
      </c>
      <c r="K18" t="s">
        <v>681</v>
      </c>
      <c r="L18">
        <v>1368</v>
      </c>
      <c r="N18">
        <v>1011</v>
      </c>
      <c r="O18" t="s">
        <v>666</v>
      </c>
      <c r="P18" t="s">
        <v>666</v>
      </c>
      <c r="Q18">
        <v>1</v>
      </c>
      <c r="W18">
        <v>0</v>
      </c>
      <c r="X18">
        <v>1372534845</v>
      </c>
      <c r="Y18">
        <v>0.96</v>
      </c>
      <c r="AA18">
        <v>0</v>
      </c>
      <c r="AB18">
        <v>440.91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6.71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1.2</v>
      </c>
      <c r="AU18" t="s">
        <v>58</v>
      </c>
      <c r="AV18">
        <v>0</v>
      </c>
      <c r="AW18">
        <v>2</v>
      </c>
      <c r="AX18">
        <v>39488831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0.3024</v>
      </c>
      <c r="CY18">
        <f>AB18</f>
        <v>440.91</v>
      </c>
      <c r="CZ18">
        <f>AF18</f>
        <v>65.709999999999994</v>
      </c>
      <c r="DA18">
        <f>AJ18</f>
        <v>6.71</v>
      </c>
      <c r="DB18">
        <v>0</v>
      </c>
    </row>
    <row r="19" spans="1:106" x14ac:dyDescent="0.2">
      <c r="A19">
        <f>ROW(Source!A34)</f>
        <v>34</v>
      </c>
      <c r="B19">
        <v>39096431</v>
      </c>
      <c r="C19">
        <v>39101952</v>
      </c>
      <c r="D19">
        <v>36801783</v>
      </c>
      <c r="E19">
        <v>1</v>
      </c>
      <c r="F19">
        <v>1</v>
      </c>
      <c r="G19">
        <v>1</v>
      </c>
      <c r="H19">
        <v>3</v>
      </c>
      <c r="I19" t="s">
        <v>682</v>
      </c>
      <c r="J19" t="s">
        <v>683</v>
      </c>
      <c r="K19" t="s">
        <v>684</v>
      </c>
      <c r="L19">
        <v>1348</v>
      </c>
      <c r="N19">
        <v>1009</v>
      </c>
      <c r="O19" t="s">
        <v>110</v>
      </c>
      <c r="P19" t="s">
        <v>110</v>
      </c>
      <c r="Q19">
        <v>1000</v>
      </c>
      <c r="W19">
        <v>0</v>
      </c>
      <c r="X19">
        <v>-107449080</v>
      </c>
      <c r="Y19">
        <v>0</v>
      </c>
      <c r="AA19">
        <v>37911.5</v>
      </c>
      <c r="AB19">
        <v>0</v>
      </c>
      <c r="AC19">
        <v>0</v>
      </c>
      <c r="AD19">
        <v>0</v>
      </c>
      <c r="AE19">
        <v>5650</v>
      </c>
      <c r="AF19">
        <v>0</v>
      </c>
      <c r="AG19">
        <v>0</v>
      </c>
      <c r="AH19">
        <v>0</v>
      </c>
      <c r="AI19">
        <v>6.71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0.01</v>
      </c>
      <c r="AU19" t="s">
        <v>57</v>
      </c>
      <c r="AV19">
        <v>0</v>
      </c>
      <c r="AW19">
        <v>2</v>
      </c>
      <c r="AX19">
        <v>39488832</v>
      </c>
      <c r="AY19">
        <v>1</v>
      </c>
      <c r="AZ19">
        <v>0</v>
      </c>
      <c r="BA19">
        <v>22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</v>
      </c>
      <c r="CY19">
        <f>AA19</f>
        <v>37911.5</v>
      </c>
      <c r="CZ19">
        <f>AE19</f>
        <v>5650</v>
      </c>
      <c r="DA19">
        <f>AI19</f>
        <v>6.71</v>
      </c>
      <c r="DB19">
        <v>0</v>
      </c>
    </row>
    <row r="20" spans="1:106" x14ac:dyDescent="0.2">
      <c r="A20">
        <f>ROW(Source!A34)</f>
        <v>34</v>
      </c>
      <c r="B20">
        <v>39096431</v>
      </c>
      <c r="C20">
        <v>39101952</v>
      </c>
      <c r="D20">
        <v>36804953</v>
      </c>
      <c r="E20">
        <v>1</v>
      </c>
      <c r="F20">
        <v>1</v>
      </c>
      <c r="G20">
        <v>1</v>
      </c>
      <c r="H20">
        <v>3</v>
      </c>
      <c r="I20" t="s">
        <v>685</v>
      </c>
      <c r="J20" t="s">
        <v>686</v>
      </c>
      <c r="K20" t="s">
        <v>687</v>
      </c>
      <c r="L20">
        <v>1348</v>
      </c>
      <c r="N20">
        <v>1009</v>
      </c>
      <c r="O20" t="s">
        <v>110</v>
      </c>
      <c r="P20" t="s">
        <v>110</v>
      </c>
      <c r="Q20">
        <v>1000</v>
      </c>
      <c r="W20">
        <v>0</v>
      </c>
      <c r="X20">
        <v>-34039275</v>
      </c>
      <c r="Y20">
        <v>0</v>
      </c>
      <c r="AA20">
        <v>76158.5</v>
      </c>
      <c r="AB20">
        <v>0</v>
      </c>
      <c r="AC20">
        <v>0</v>
      </c>
      <c r="AD20">
        <v>0</v>
      </c>
      <c r="AE20">
        <v>11350</v>
      </c>
      <c r="AF20">
        <v>0</v>
      </c>
      <c r="AG20">
        <v>0</v>
      </c>
      <c r="AH20">
        <v>0</v>
      </c>
      <c r="AI20">
        <v>6.71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8.4000000000000003E-4</v>
      </c>
      <c r="AU20" t="s">
        <v>57</v>
      </c>
      <c r="AV20">
        <v>0</v>
      </c>
      <c r="AW20">
        <v>2</v>
      </c>
      <c r="AX20">
        <v>39488833</v>
      </c>
      <c r="AY20">
        <v>1</v>
      </c>
      <c r="AZ20">
        <v>0</v>
      </c>
      <c r="BA20">
        <v>23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0</v>
      </c>
      <c r="CY20">
        <f>AA20</f>
        <v>76158.5</v>
      </c>
      <c r="CZ20">
        <f>AE20</f>
        <v>11350</v>
      </c>
      <c r="DA20">
        <f>AI20</f>
        <v>6.71</v>
      </c>
      <c r="DB20">
        <v>0</v>
      </c>
    </row>
    <row r="21" spans="1:106" x14ac:dyDescent="0.2">
      <c r="A21">
        <f>ROW(Source!A34)</f>
        <v>34</v>
      </c>
      <c r="B21">
        <v>39096431</v>
      </c>
      <c r="C21">
        <v>39101952</v>
      </c>
      <c r="D21">
        <v>36805524</v>
      </c>
      <c r="E21">
        <v>1</v>
      </c>
      <c r="F21">
        <v>1</v>
      </c>
      <c r="G21">
        <v>1</v>
      </c>
      <c r="H21">
        <v>3</v>
      </c>
      <c r="I21" t="s">
        <v>688</v>
      </c>
      <c r="J21" t="s">
        <v>689</v>
      </c>
      <c r="K21" t="s">
        <v>690</v>
      </c>
      <c r="L21">
        <v>1346</v>
      </c>
      <c r="N21">
        <v>1009</v>
      </c>
      <c r="O21" t="s">
        <v>138</v>
      </c>
      <c r="P21" t="s">
        <v>138</v>
      </c>
      <c r="Q21">
        <v>1</v>
      </c>
      <c r="W21">
        <v>0</v>
      </c>
      <c r="X21">
        <v>813963326</v>
      </c>
      <c r="Y21">
        <v>0</v>
      </c>
      <c r="AA21">
        <v>12.21</v>
      </c>
      <c r="AB21">
        <v>0</v>
      </c>
      <c r="AC21">
        <v>0</v>
      </c>
      <c r="AD21">
        <v>0</v>
      </c>
      <c r="AE21">
        <v>1.82</v>
      </c>
      <c r="AF21">
        <v>0</v>
      </c>
      <c r="AG21">
        <v>0</v>
      </c>
      <c r="AH21">
        <v>0</v>
      </c>
      <c r="AI21">
        <v>6.71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0.2</v>
      </c>
      <c r="AU21" t="s">
        <v>57</v>
      </c>
      <c r="AV21">
        <v>0</v>
      </c>
      <c r="AW21">
        <v>2</v>
      </c>
      <c r="AX21">
        <v>39488834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0</v>
      </c>
      <c r="CY21">
        <f>AA21</f>
        <v>12.21</v>
      </c>
      <c r="CZ21">
        <f>AE21</f>
        <v>1.82</v>
      </c>
      <c r="DA21">
        <f>AI21</f>
        <v>6.71</v>
      </c>
      <c r="DB21">
        <v>0</v>
      </c>
    </row>
    <row r="22" spans="1:106" x14ac:dyDescent="0.2">
      <c r="A22">
        <f>ROW(Source!A34)</f>
        <v>34</v>
      </c>
      <c r="B22">
        <v>39096431</v>
      </c>
      <c r="C22">
        <v>39101952</v>
      </c>
      <c r="D22">
        <v>36838463</v>
      </c>
      <c r="E22">
        <v>1</v>
      </c>
      <c r="F22">
        <v>1</v>
      </c>
      <c r="G22">
        <v>1</v>
      </c>
      <c r="H22">
        <v>3</v>
      </c>
      <c r="I22" t="s">
        <v>691</v>
      </c>
      <c r="J22" t="s">
        <v>692</v>
      </c>
      <c r="K22" t="s">
        <v>693</v>
      </c>
      <c r="L22">
        <v>1348</v>
      </c>
      <c r="N22">
        <v>1009</v>
      </c>
      <c r="O22" t="s">
        <v>110</v>
      </c>
      <c r="P22" t="s">
        <v>110</v>
      </c>
      <c r="Q22">
        <v>1000</v>
      </c>
      <c r="W22">
        <v>0</v>
      </c>
      <c r="X22">
        <v>307837237</v>
      </c>
      <c r="Y22">
        <v>0</v>
      </c>
      <c r="AA22">
        <v>225724.4</v>
      </c>
      <c r="AB22">
        <v>0</v>
      </c>
      <c r="AC22">
        <v>0</v>
      </c>
      <c r="AD22">
        <v>0</v>
      </c>
      <c r="AE22">
        <v>33640</v>
      </c>
      <c r="AF22">
        <v>0</v>
      </c>
      <c r="AG22">
        <v>0</v>
      </c>
      <c r="AH22">
        <v>0</v>
      </c>
      <c r="AI22">
        <v>6.71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1.1000000000000001E-3</v>
      </c>
      <c r="AU22" t="s">
        <v>57</v>
      </c>
      <c r="AV22">
        <v>0</v>
      </c>
      <c r="AW22">
        <v>2</v>
      </c>
      <c r="AX22">
        <v>39488836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0</v>
      </c>
      <c r="CY22">
        <f>AA22</f>
        <v>225724.4</v>
      </c>
      <c r="CZ22">
        <f>AE22</f>
        <v>33640</v>
      </c>
      <c r="DA22">
        <f>AI22</f>
        <v>6.71</v>
      </c>
      <c r="DB22">
        <v>0</v>
      </c>
    </row>
    <row r="23" spans="1:106" x14ac:dyDescent="0.2">
      <c r="A23">
        <f>ROW(Source!A34)</f>
        <v>34</v>
      </c>
      <c r="B23">
        <v>39096431</v>
      </c>
      <c r="C23">
        <v>39101952</v>
      </c>
      <c r="D23">
        <v>36839148</v>
      </c>
      <c r="E23">
        <v>1</v>
      </c>
      <c r="F23">
        <v>1</v>
      </c>
      <c r="G23">
        <v>1</v>
      </c>
      <c r="H23">
        <v>3</v>
      </c>
      <c r="I23" t="s">
        <v>694</v>
      </c>
      <c r="J23" t="s">
        <v>695</v>
      </c>
      <c r="K23" t="s">
        <v>696</v>
      </c>
      <c r="L23">
        <v>1348</v>
      </c>
      <c r="N23">
        <v>1009</v>
      </c>
      <c r="O23" t="s">
        <v>110</v>
      </c>
      <c r="P23" t="s">
        <v>110</v>
      </c>
      <c r="Q23">
        <v>1000</v>
      </c>
      <c r="W23">
        <v>0</v>
      </c>
      <c r="X23">
        <v>1237311677</v>
      </c>
      <c r="Y23">
        <v>0</v>
      </c>
      <c r="AA23">
        <v>36770.129999999997</v>
      </c>
      <c r="AB23">
        <v>0</v>
      </c>
      <c r="AC23">
        <v>0</v>
      </c>
      <c r="AD23">
        <v>0</v>
      </c>
      <c r="AE23">
        <v>5479.9</v>
      </c>
      <c r="AF23">
        <v>0</v>
      </c>
      <c r="AG23">
        <v>0</v>
      </c>
      <c r="AH23">
        <v>0</v>
      </c>
      <c r="AI23">
        <v>6.71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3.0000000000000001E-3</v>
      </c>
      <c r="AU23" t="s">
        <v>57</v>
      </c>
      <c r="AV23">
        <v>0</v>
      </c>
      <c r="AW23">
        <v>2</v>
      </c>
      <c r="AX23">
        <v>39488837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Y23*Source!I34</f>
        <v>0</v>
      </c>
      <c r="CY23">
        <f>AA23</f>
        <v>36770.129999999997</v>
      </c>
      <c r="CZ23">
        <f>AE23</f>
        <v>5479.9</v>
      </c>
      <c r="DA23">
        <f>AI23</f>
        <v>6.71</v>
      </c>
      <c r="DB23">
        <v>0</v>
      </c>
    </row>
    <row r="24" spans="1:106" x14ac:dyDescent="0.2">
      <c r="A24">
        <f>ROW(Source!A35)</f>
        <v>35</v>
      </c>
      <c r="B24">
        <v>39096431</v>
      </c>
      <c r="C24">
        <v>39488841</v>
      </c>
      <c r="D24">
        <v>37070202</v>
      </c>
      <c r="E24">
        <v>1</v>
      </c>
      <c r="F24">
        <v>1</v>
      </c>
      <c r="G24">
        <v>1</v>
      </c>
      <c r="H24">
        <v>1</v>
      </c>
      <c r="I24" t="s">
        <v>677</v>
      </c>
      <c r="J24" t="s">
        <v>3</v>
      </c>
      <c r="K24" t="s">
        <v>678</v>
      </c>
      <c r="L24">
        <v>1191</v>
      </c>
      <c r="N24">
        <v>1013</v>
      </c>
      <c r="O24" t="s">
        <v>660</v>
      </c>
      <c r="P24" t="s">
        <v>660</v>
      </c>
      <c r="Q24">
        <v>1</v>
      </c>
      <c r="W24">
        <v>0</v>
      </c>
      <c r="X24">
        <v>1983201532</v>
      </c>
      <c r="Y24">
        <v>40.480000000000004</v>
      </c>
      <c r="AA24">
        <v>0</v>
      </c>
      <c r="AB24">
        <v>0</v>
      </c>
      <c r="AC24">
        <v>0</v>
      </c>
      <c r="AD24">
        <v>63.81</v>
      </c>
      <c r="AE24">
        <v>0</v>
      </c>
      <c r="AF24">
        <v>0</v>
      </c>
      <c r="AG24">
        <v>0</v>
      </c>
      <c r="AH24">
        <v>9.51</v>
      </c>
      <c r="AI24">
        <v>1</v>
      </c>
      <c r="AJ24">
        <v>1</v>
      </c>
      <c r="AK24">
        <v>1</v>
      </c>
      <c r="AL24">
        <v>6.71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50.6</v>
      </c>
      <c r="AU24" t="s">
        <v>58</v>
      </c>
      <c r="AV24">
        <v>1</v>
      </c>
      <c r="AW24">
        <v>2</v>
      </c>
      <c r="AX24">
        <v>39488851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12.751200000000001</v>
      </c>
      <c r="CY24">
        <f>AD24</f>
        <v>63.81</v>
      </c>
      <c r="CZ24">
        <f>AH24</f>
        <v>9.51</v>
      </c>
      <c r="DA24">
        <f>AL24</f>
        <v>6.71</v>
      </c>
      <c r="DB24">
        <v>0</v>
      </c>
    </row>
    <row r="25" spans="1:106" x14ac:dyDescent="0.2">
      <c r="A25">
        <f>ROW(Source!A35)</f>
        <v>35</v>
      </c>
      <c r="B25">
        <v>39096431</v>
      </c>
      <c r="C25">
        <v>39488841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661</v>
      </c>
      <c r="J25" t="s">
        <v>3</v>
      </c>
      <c r="K25" t="s">
        <v>662</v>
      </c>
      <c r="L25">
        <v>1191</v>
      </c>
      <c r="N25">
        <v>1013</v>
      </c>
      <c r="O25" t="s">
        <v>660</v>
      </c>
      <c r="P25" t="s">
        <v>660</v>
      </c>
      <c r="Q25">
        <v>1</v>
      </c>
      <c r="W25">
        <v>0</v>
      </c>
      <c r="X25">
        <v>-1417349443</v>
      </c>
      <c r="Y25">
        <v>1.42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6.71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1.42</v>
      </c>
      <c r="AU25" t="s">
        <v>3</v>
      </c>
      <c r="AV25">
        <v>2</v>
      </c>
      <c r="AW25">
        <v>2</v>
      </c>
      <c r="AX25">
        <v>39488852</v>
      </c>
      <c r="AY25">
        <v>1</v>
      </c>
      <c r="AZ25">
        <v>2048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0.44729999999999998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ROW(Source!A35)</f>
        <v>35</v>
      </c>
      <c r="B26">
        <v>39096431</v>
      </c>
      <c r="C26">
        <v>39488841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663</v>
      </c>
      <c r="J26" t="s">
        <v>664</v>
      </c>
      <c r="K26" t="s">
        <v>665</v>
      </c>
      <c r="L26">
        <v>1368</v>
      </c>
      <c r="N26">
        <v>1011</v>
      </c>
      <c r="O26" t="s">
        <v>666</v>
      </c>
      <c r="P26" t="s">
        <v>666</v>
      </c>
      <c r="Q26">
        <v>1</v>
      </c>
      <c r="W26">
        <v>0</v>
      </c>
      <c r="X26">
        <v>1188625873</v>
      </c>
      <c r="Y26">
        <v>0.17600000000000002</v>
      </c>
      <c r="AA26">
        <v>0</v>
      </c>
      <c r="AB26">
        <v>209.75</v>
      </c>
      <c r="AC26">
        <v>13.5</v>
      </c>
      <c r="AD26">
        <v>0</v>
      </c>
      <c r="AE26">
        <v>0</v>
      </c>
      <c r="AF26">
        <v>31.26</v>
      </c>
      <c r="AG26">
        <v>13.5</v>
      </c>
      <c r="AH26">
        <v>0</v>
      </c>
      <c r="AI26">
        <v>1</v>
      </c>
      <c r="AJ26">
        <v>6.71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0.22</v>
      </c>
      <c r="AU26" t="s">
        <v>58</v>
      </c>
      <c r="AV26">
        <v>0</v>
      </c>
      <c r="AW26">
        <v>2</v>
      </c>
      <c r="AX26">
        <v>39488853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5.5440000000000003E-2</v>
      </c>
      <c r="CY26">
        <f>AB26</f>
        <v>209.75</v>
      </c>
      <c r="CZ26">
        <f>AF26</f>
        <v>31.26</v>
      </c>
      <c r="DA26">
        <f>AJ26</f>
        <v>6.71</v>
      </c>
      <c r="DB26">
        <v>0</v>
      </c>
    </row>
    <row r="27" spans="1:106" x14ac:dyDescent="0.2">
      <c r="A27">
        <f>ROW(Source!A35)</f>
        <v>35</v>
      </c>
      <c r="B27">
        <v>39096431</v>
      </c>
      <c r="C27">
        <v>39488841</v>
      </c>
      <c r="D27">
        <v>36883554</v>
      </c>
      <c r="E27">
        <v>1</v>
      </c>
      <c r="F27">
        <v>1</v>
      </c>
      <c r="G27">
        <v>1</v>
      </c>
      <c r="H27">
        <v>2</v>
      </c>
      <c r="I27" t="s">
        <v>679</v>
      </c>
      <c r="J27" t="s">
        <v>680</v>
      </c>
      <c r="K27" t="s">
        <v>681</v>
      </c>
      <c r="L27">
        <v>1368</v>
      </c>
      <c r="N27">
        <v>1011</v>
      </c>
      <c r="O27" t="s">
        <v>666</v>
      </c>
      <c r="P27" t="s">
        <v>666</v>
      </c>
      <c r="Q27">
        <v>1</v>
      </c>
      <c r="W27">
        <v>0</v>
      </c>
      <c r="X27">
        <v>1372534845</v>
      </c>
      <c r="Y27">
        <v>0.96</v>
      </c>
      <c r="AA27">
        <v>0</v>
      </c>
      <c r="AB27">
        <v>440.91</v>
      </c>
      <c r="AC27">
        <v>11.6</v>
      </c>
      <c r="AD27">
        <v>0</v>
      </c>
      <c r="AE27">
        <v>0</v>
      </c>
      <c r="AF27">
        <v>65.709999999999994</v>
      </c>
      <c r="AG27">
        <v>11.6</v>
      </c>
      <c r="AH27">
        <v>0</v>
      </c>
      <c r="AI27">
        <v>1</v>
      </c>
      <c r="AJ27">
        <v>6.71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1.2</v>
      </c>
      <c r="AU27" t="s">
        <v>58</v>
      </c>
      <c r="AV27">
        <v>0</v>
      </c>
      <c r="AW27">
        <v>2</v>
      </c>
      <c r="AX27">
        <v>39488854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0.3024</v>
      </c>
      <c r="CY27">
        <f>AB27</f>
        <v>440.91</v>
      </c>
      <c r="CZ27">
        <f>AF27</f>
        <v>65.709999999999994</v>
      </c>
      <c r="DA27">
        <f>AJ27</f>
        <v>6.71</v>
      </c>
      <c r="DB27">
        <v>0</v>
      </c>
    </row>
    <row r="28" spans="1:106" x14ac:dyDescent="0.2">
      <c r="A28">
        <f>ROW(Source!A35)</f>
        <v>35</v>
      </c>
      <c r="B28">
        <v>39096431</v>
      </c>
      <c r="C28">
        <v>39488841</v>
      </c>
      <c r="D28">
        <v>36801783</v>
      </c>
      <c r="E28">
        <v>1</v>
      </c>
      <c r="F28">
        <v>1</v>
      </c>
      <c r="G28">
        <v>1</v>
      </c>
      <c r="H28">
        <v>3</v>
      </c>
      <c r="I28" t="s">
        <v>682</v>
      </c>
      <c r="J28" t="s">
        <v>683</v>
      </c>
      <c r="K28" t="s">
        <v>684</v>
      </c>
      <c r="L28">
        <v>1348</v>
      </c>
      <c r="N28">
        <v>1009</v>
      </c>
      <c r="O28" t="s">
        <v>110</v>
      </c>
      <c r="P28" t="s">
        <v>110</v>
      </c>
      <c r="Q28">
        <v>1000</v>
      </c>
      <c r="W28">
        <v>0</v>
      </c>
      <c r="X28">
        <v>-107449080</v>
      </c>
      <c r="Y28">
        <v>0</v>
      </c>
      <c r="AA28">
        <v>37911.5</v>
      </c>
      <c r="AB28">
        <v>0</v>
      </c>
      <c r="AC28">
        <v>0</v>
      </c>
      <c r="AD28">
        <v>0</v>
      </c>
      <c r="AE28">
        <v>5650</v>
      </c>
      <c r="AF28">
        <v>0</v>
      </c>
      <c r="AG28">
        <v>0</v>
      </c>
      <c r="AH28">
        <v>0</v>
      </c>
      <c r="AI28">
        <v>6.71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0.01</v>
      </c>
      <c r="AU28" t="s">
        <v>57</v>
      </c>
      <c r="AV28">
        <v>0</v>
      </c>
      <c r="AW28">
        <v>2</v>
      </c>
      <c r="AX28">
        <v>39488855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0</v>
      </c>
      <c r="CY28">
        <f>AA28</f>
        <v>37911.5</v>
      </c>
      <c r="CZ28">
        <f>AE28</f>
        <v>5650</v>
      </c>
      <c r="DA28">
        <f>AI28</f>
        <v>6.71</v>
      </c>
      <c r="DB28">
        <v>0</v>
      </c>
    </row>
    <row r="29" spans="1:106" x14ac:dyDescent="0.2">
      <c r="A29">
        <f>ROW(Source!A35)</f>
        <v>35</v>
      </c>
      <c r="B29">
        <v>39096431</v>
      </c>
      <c r="C29">
        <v>39488841</v>
      </c>
      <c r="D29">
        <v>36804953</v>
      </c>
      <c r="E29">
        <v>1</v>
      </c>
      <c r="F29">
        <v>1</v>
      </c>
      <c r="G29">
        <v>1</v>
      </c>
      <c r="H29">
        <v>3</v>
      </c>
      <c r="I29" t="s">
        <v>685</v>
      </c>
      <c r="J29" t="s">
        <v>686</v>
      </c>
      <c r="K29" t="s">
        <v>687</v>
      </c>
      <c r="L29">
        <v>1348</v>
      </c>
      <c r="N29">
        <v>1009</v>
      </c>
      <c r="O29" t="s">
        <v>110</v>
      </c>
      <c r="P29" t="s">
        <v>110</v>
      </c>
      <c r="Q29">
        <v>1000</v>
      </c>
      <c r="W29">
        <v>0</v>
      </c>
      <c r="X29">
        <v>-34039275</v>
      </c>
      <c r="Y29">
        <v>0</v>
      </c>
      <c r="AA29">
        <v>76158.5</v>
      </c>
      <c r="AB29">
        <v>0</v>
      </c>
      <c r="AC29">
        <v>0</v>
      </c>
      <c r="AD29">
        <v>0</v>
      </c>
      <c r="AE29">
        <v>11350</v>
      </c>
      <c r="AF29">
        <v>0</v>
      </c>
      <c r="AG29">
        <v>0</v>
      </c>
      <c r="AH29">
        <v>0</v>
      </c>
      <c r="AI29">
        <v>6.71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8.4000000000000003E-4</v>
      </c>
      <c r="AU29" t="s">
        <v>57</v>
      </c>
      <c r="AV29">
        <v>0</v>
      </c>
      <c r="AW29">
        <v>2</v>
      </c>
      <c r="AX29">
        <v>39488856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Y29*Source!I35</f>
        <v>0</v>
      </c>
      <c r="CY29">
        <f>AA29</f>
        <v>76158.5</v>
      </c>
      <c r="CZ29">
        <f>AE29</f>
        <v>11350</v>
      </c>
      <c r="DA29">
        <f>AI29</f>
        <v>6.71</v>
      </c>
      <c r="DB29">
        <v>0</v>
      </c>
    </row>
    <row r="30" spans="1:106" x14ac:dyDescent="0.2">
      <c r="A30">
        <f>ROW(Source!A35)</f>
        <v>35</v>
      </c>
      <c r="B30">
        <v>39096431</v>
      </c>
      <c r="C30">
        <v>39488841</v>
      </c>
      <c r="D30">
        <v>36805524</v>
      </c>
      <c r="E30">
        <v>1</v>
      </c>
      <c r="F30">
        <v>1</v>
      </c>
      <c r="G30">
        <v>1</v>
      </c>
      <c r="H30">
        <v>3</v>
      </c>
      <c r="I30" t="s">
        <v>688</v>
      </c>
      <c r="J30" t="s">
        <v>689</v>
      </c>
      <c r="K30" t="s">
        <v>690</v>
      </c>
      <c r="L30">
        <v>1346</v>
      </c>
      <c r="N30">
        <v>1009</v>
      </c>
      <c r="O30" t="s">
        <v>138</v>
      </c>
      <c r="P30" t="s">
        <v>138</v>
      </c>
      <c r="Q30">
        <v>1</v>
      </c>
      <c r="W30">
        <v>0</v>
      </c>
      <c r="X30">
        <v>813963326</v>
      </c>
      <c r="Y30">
        <v>0</v>
      </c>
      <c r="AA30">
        <v>12.21</v>
      </c>
      <c r="AB30">
        <v>0</v>
      </c>
      <c r="AC30">
        <v>0</v>
      </c>
      <c r="AD30">
        <v>0</v>
      </c>
      <c r="AE30">
        <v>1.82</v>
      </c>
      <c r="AF30">
        <v>0</v>
      </c>
      <c r="AG30">
        <v>0</v>
      </c>
      <c r="AH30">
        <v>0</v>
      </c>
      <c r="AI30">
        <v>6.71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0.2</v>
      </c>
      <c r="AU30" t="s">
        <v>57</v>
      </c>
      <c r="AV30">
        <v>0</v>
      </c>
      <c r="AW30">
        <v>2</v>
      </c>
      <c r="AX30">
        <v>39488857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Y30*Source!I35</f>
        <v>0</v>
      </c>
      <c r="CY30">
        <f>AA30</f>
        <v>12.21</v>
      </c>
      <c r="CZ30">
        <f>AE30</f>
        <v>1.82</v>
      </c>
      <c r="DA30">
        <f>AI30</f>
        <v>6.71</v>
      </c>
      <c r="DB30">
        <v>0</v>
      </c>
    </row>
    <row r="31" spans="1:106" x14ac:dyDescent="0.2">
      <c r="A31">
        <f>ROW(Source!A35)</f>
        <v>35</v>
      </c>
      <c r="B31">
        <v>39096431</v>
      </c>
      <c r="C31">
        <v>39488841</v>
      </c>
      <c r="D31">
        <v>36838463</v>
      </c>
      <c r="E31">
        <v>1</v>
      </c>
      <c r="F31">
        <v>1</v>
      </c>
      <c r="G31">
        <v>1</v>
      </c>
      <c r="H31">
        <v>3</v>
      </c>
      <c r="I31" t="s">
        <v>691</v>
      </c>
      <c r="J31" t="s">
        <v>692</v>
      </c>
      <c r="K31" t="s">
        <v>693</v>
      </c>
      <c r="L31">
        <v>1348</v>
      </c>
      <c r="N31">
        <v>1009</v>
      </c>
      <c r="O31" t="s">
        <v>110</v>
      </c>
      <c r="P31" t="s">
        <v>110</v>
      </c>
      <c r="Q31">
        <v>1000</v>
      </c>
      <c r="W31">
        <v>0</v>
      </c>
      <c r="X31">
        <v>307837237</v>
      </c>
      <c r="Y31">
        <v>0</v>
      </c>
      <c r="AA31">
        <v>225724.4</v>
      </c>
      <c r="AB31">
        <v>0</v>
      </c>
      <c r="AC31">
        <v>0</v>
      </c>
      <c r="AD31">
        <v>0</v>
      </c>
      <c r="AE31">
        <v>33640</v>
      </c>
      <c r="AF31">
        <v>0</v>
      </c>
      <c r="AG31">
        <v>0</v>
      </c>
      <c r="AH31">
        <v>0</v>
      </c>
      <c r="AI31">
        <v>6.71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1.1000000000000001E-3</v>
      </c>
      <c r="AU31" t="s">
        <v>57</v>
      </c>
      <c r="AV31">
        <v>0</v>
      </c>
      <c r="AW31">
        <v>2</v>
      </c>
      <c r="AX31">
        <v>39488859</v>
      </c>
      <c r="AY31">
        <v>1</v>
      </c>
      <c r="AZ31">
        <v>0</v>
      </c>
      <c r="BA31">
        <v>36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Y31*Source!I35</f>
        <v>0</v>
      </c>
      <c r="CY31">
        <f>AA31</f>
        <v>225724.4</v>
      </c>
      <c r="CZ31">
        <f>AE31</f>
        <v>33640</v>
      </c>
      <c r="DA31">
        <f>AI31</f>
        <v>6.71</v>
      </c>
      <c r="DB31">
        <v>0</v>
      </c>
    </row>
    <row r="32" spans="1:106" x14ac:dyDescent="0.2">
      <c r="A32">
        <f>ROW(Source!A35)</f>
        <v>35</v>
      </c>
      <c r="B32">
        <v>39096431</v>
      </c>
      <c r="C32">
        <v>39488841</v>
      </c>
      <c r="D32">
        <v>36839148</v>
      </c>
      <c r="E32">
        <v>1</v>
      </c>
      <c r="F32">
        <v>1</v>
      </c>
      <c r="G32">
        <v>1</v>
      </c>
      <c r="H32">
        <v>3</v>
      </c>
      <c r="I32" t="s">
        <v>694</v>
      </c>
      <c r="J32" t="s">
        <v>695</v>
      </c>
      <c r="K32" t="s">
        <v>696</v>
      </c>
      <c r="L32">
        <v>1348</v>
      </c>
      <c r="N32">
        <v>1009</v>
      </c>
      <c r="O32" t="s">
        <v>110</v>
      </c>
      <c r="P32" t="s">
        <v>110</v>
      </c>
      <c r="Q32">
        <v>1000</v>
      </c>
      <c r="W32">
        <v>0</v>
      </c>
      <c r="X32">
        <v>1237311677</v>
      </c>
      <c r="Y32">
        <v>0</v>
      </c>
      <c r="AA32">
        <v>36770.129999999997</v>
      </c>
      <c r="AB32">
        <v>0</v>
      </c>
      <c r="AC32">
        <v>0</v>
      </c>
      <c r="AD32">
        <v>0</v>
      </c>
      <c r="AE32">
        <v>5479.9</v>
      </c>
      <c r="AF32">
        <v>0</v>
      </c>
      <c r="AG32">
        <v>0</v>
      </c>
      <c r="AH32">
        <v>0</v>
      </c>
      <c r="AI32">
        <v>6.71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3.0000000000000001E-3</v>
      </c>
      <c r="AU32" t="s">
        <v>57</v>
      </c>
      <c r="AV32">
        <v>0</v>
      </c>
      <c r="AW32">
        <v>2</v>
      </c>
      <c r="AX32">
        <v>39488860</v>
      </c>
      <c r="AY32">
        <v>1</v>
      </c>
      <c r="AZ32">
        <v>0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0</v>
      </c>
      <c r="CY32">
        <f>AA32</f>
        <v>36770.129999999997</v>
      </c>
      <c r="CZ32">
        <f>AE32</f>
        <v>5479.9</v>
      </c>
      <c r="DA32">
        <f>AI32</f>
        <v>6.71</v>
      </c>
      <c r="DB32">
        <v>0</v>
      </c>
    </row>
    <row r="33" spans="1:106" x14ac:dyDescent="0.2">
      <c r="A33">
        <f>ROW(Source!A36)</f>
        <v>36</v>
      </c>
      <c r="B33">
        <v>39096431</v>
      </c>
      <c r="C33">
        <v>39492314</v>
      </c>
      <c r="D33">
        <v>37071037</v>
      </c>
      <c r="E33">
        <v>1</v>
      </c>
      <c r="F33">
        <v>1</v>
      </c>
      <c r="G33">
        <v>1</v>
      </c>
      <c r="H33">
        <v>1</v>
      </c>
      <c r="I33" t="s">
        <v>697</v>
      </c>
      <c r="J33" t="s">
        <v>3</v>
      </c>
      <c r="K33" t="s">
        <v>698</v>
      </c>
      <c r="L33">
        <v>1191</v>
      </c>
      <c r="N33">
        <v>1013</v>
      </c>
      <c r="O33" t="s">
        <v>660</v>
      </c>
      <c r="P33" t="s">
        <v>660</v>
      </c>
      <c r="Q33">
        <v>1</v>
      </c>
      <c r="W33">
        <v>0</v>
      </c>
      <c r="X33">
        <v>1069510174</v>
      </c>
      <c r="Y33">
        <v>1.1199999999999999</v>
      </c>
      <c r="AA33">
        <v>0</v>
      </c>
      <c r="AB33">
        <v>0</v>
      </c>
      <c r="AC33">
        <v>0</v>
      </c>
      <c r="AD33">
        <v>64.55</v>
      </c>
      <c r="AE33">
        <v>0</v>
      </c>
      <c r="AF33">
        <v>0</v>
      </c>
      <c r="AG33">
        <v>0</v>
      </c>
      <c r="AH33">
        <v>9.6199999999999992</v>
      </c>
      <c r="AI33">
        <v>1</v>
      </c>
      <c r="AJ33">
        <v>1</v>
      </c>
      <c r="AK33">
        <v>1</v>
      </c>
      <c r="AL33">
        <v>6.71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2.8</v>
      </c>
      <c r="AU33" t="s">
        <v>70</v>
      </c>
      <c r="AV33">
        <v>1</v>
      </c>
      <c r="AW33">
        <v>2</v>
      </c>
      <c r="AX33">
        <v>39492317</v>
      </c>
      <c r="AY33">
        <v>1</v>
      </c>
      <c r="AZ33">
        <v>0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Y33*Source!I36</f>
        <v>0.78399999999999992</v>
      </c>
      <c r="CY33">
        <f>AD33</f>
        <v>64.55</v>
      </c>
      <c r="CZ33">
        <f>AH33</f>
        <v>9.6199999999999992</v>
      </c>
      <c r="DA33">
        <f>AL33</f>
        <v>6.71</v>
      </c>
      <c r="DB33">
        <v>0</v>
      </c>
    </row>
    <row r="34" spans="1:106" x14ac:dyDescent="0.2">
      <c r="A34">
        <f>ROW(Source!A36)</f>
        <v>36</v>
      </c>
      <c r="B34">
        <v>39096431</v>
      </c>
      <c r="C34">
        <v>39492314</v>
      </c>
      <c r="D34">
        <v>36824289</v>
      </c>
      <c r="E34">
        <v>1</v>
      </c>
      <c r="F34">
        <v>1</v>
      </c>
      <c r="G34">
        <v>1</v>
      </c>
      <c r="H34">
        <v>3</v>
      </c>
      <c r="I34" t="s">
        <v>699</v>
      </c>
      <c r="J34" t="s">
        <v>700</v>
      </c>
      <c r="K34" t="s">
        <v>701</v>
      </c>
      <c r="L34">
        <v>1348</v>
      </c>
      <c r="N34">
        <v>1009</v>
      </c>
      <c r="O34" t="s">
        <v>110</v>
      </c>
      <c r="P34" t="s">
        <v>110</v>
      </c>
      <c r="Q34">
        <v>1000</v>
      </c>
      <c r="W34">
        <v>0</v>
      </c>
      <c r="X34">
        <v>-1756095795</v>
      </c>
      <c r="Y34">
        <v>0</v>
      </c>
      <c r="AA34">
        <v>40186.19</v>
      </c>
      <c r="AB34">
        <v>0</v>
      </c>
      <c r="AC34">
        <v>0</v>
      </c>
      <c r="AD34">
        <v>0</v>
      </c>
      <c r="AE34">
        <v>5989</v>
      </c>
      <c r="AF34">
        <v>0</v>
      </c>
      <c r="AG34">
        <v>0</v>
      </c>
      <c r="AH34">
        <v>0</v>
      </c>
      <c r="AI34">
        <v>6.71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1E-4</v>
      </c>
      <c r="AU34" t="s">
        <v>57</v>
      </c>
      <c r="AV34">
        <v>0</v>
      </c>
      <c r="AW34">
        <v>2</v>
      </c>
      <c r="AX34">
        <v>39492320</v>
      </c>
      <c r="AY34">
        <v>1</v>
      </c>
      <c r="AZ34">
        <v>0</v>
      </c>
      <c r="BA34">
        <v>41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0</v>
      </c>
      <c r="CY34">
        <f>AA34</f>
        <v>40186.19</v>
      </c>
      <c r="CZ34">
        <f>AE34</f>
        <v>5989</v>
      </c>
      <c r="DA34">
        <f>AI34</f>
        <v>6.71</v>
      </c>
      <c r="DB34">
        <v>0</v>
      </c>
    </row>
    <row r="35" spans="1:106" x14ac:dyDescent="0.2">
      <c r="A35">
        <f>ROW(Source!A37)</f>
        <v>37</v>
      </c>
      <c r="B35">
        <v>39096431</v>
      </c>
      <c r="C35">
        <v>39492322</v>
      </c>
      <c r="D35">
        <v>37071037</v>
      </c>
      <c r="E35">
        <v>1</v>
      </c>
      <c r="F35">
        <v>1</v>
      </c>
      <c r="G35">
        <v>1</v>
      </c>
      <c r="H35">
        <v>1</v>
      </c>
      <c r="I35" t="s">
        <v>697</v>
      </c>
      <c r="J35" t="s">
        <v>3</v>
      </c>
      <c r="K35" t="s">
        <v>698</v>
      </c>
      <c r="L35">
        <v>1191</v>
      </c>
      <c r="N35">
        <v>1013</v>
      </c>
      <c r="O35" t="s">
        <v>660</v>
      </c>
      <c r="P35" t="s">
        <v>660</v>
      </c>
      <c r="Q35">
        <v>1</v>
      </c>
      <c r="W35">
        <v>0</v>
      </c>
      <c r="X35">
        <v>1069510174</v>
      </c>
      <c r="Y35">
        <v>2.8</v>
      </c>
      <c r="AA35">
        <v>0</v>
      </c>
      <c r="AB35">
        <v>0</v>
      </c>
      <c r="AC35">
        <v>0</v>
      </c>
      <c r="AD35">
        <v>64.55</v>
      </c>
      <c r="AE35">
        <v>0</v>
      </c>
      <c r="AF35">
        <v>0</v>
      </c>
      <c r="AG35">
        <v>0</v>
      </c>
      <c r="AH35">
        <v>9.6199999999999992</v>
      </c>
      <c r="AI35">
        <v>1</v>
      </c>
      <c r="AJ35">
        <v>1</v>
      </c>
      <c r="AK35">
        <v>1</v>
      </c>
      <c r="AL35">
        <v>6.71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2.8</v>
      </c>
      <c r="AU35" t="s">
        <v>3</v>
      </c>
      <c r="AV35">
        <v>1</v>
      </c>
      <c r="AW35">
        <v>2</v>
      </c>
      <c r="AX35">
        <v>39492326</v>
      </c>
      <c r="AY35">
        <v>1</v>
      </c>
      <c r="AZ35">
        <v>0</v>
      </c>
      <c r="BA35">
        <v>43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1.9599999999999997</v>
      </c>
      <c r="CY35">
        <f>AD35</f>
        <v>64.55</v>
      </c>
      <c r="CZ35">
        <f>AH35</f>
        <v>9.6199999999999992</v>
      </c>
      <c r="DA35">
        <f>AL35</f>
        <v>6.71</v>
      </c>
      <c r="DB35">
        <v>0</v>
      </c>
    </row>
    <row r="36" spans="1:106" x14ac:dyDescent="0.2">
      <c r="A36">
        <f>ROW(Source!A37)</f>
        <v>37</v>
      </c>
      <c r="B36">
        <v>39096431</v>
      </c>
      <c r="C36">
        <v>39492322</v>
      </c>
      <c r="D36">
        <v>36824289</v>
      </c>
      <c r="E36">
        <v>1</v>
      </c>
      <c r="F36">
        <v>1</v>
      </c>
      <c r="G36">
        <v>1</v>
      </c>
      <c r="H36">
        <v>3</v>
      </c>
      <c r="I36" t="s">
        <v>699</v>
      </c>
      <c r="J36" t="s">
        <v>700</v>
      </c>
      <c r="K36" t="s">
        <v>701</v>
      </c>
      <c r="L36">
        <v>1348</v>
      </c>
      <c r="N36">
        <v>1009</v>
      </c>
      <c r="O36" t="s">
        <v>110</v>
      </c>
      <c r="P36" t="s">
        <v>110</v>
      </c>
      <c r="Q36">
        <v>1000</v>
      </c>
      <c r="W36">
        <v>0</v>
      </c>
      <c r="X36">
        <v>-1756095795</v>
      </c>
      <c r="Y36">
        <v>1E-4</v>
      </c>
      <c r="AA36">
        <v>40186.19</v>
      </c>
      <c r="AB36">
        <v>0</v>
      </c>
      <c r="AC36">
        <v>0</v>
      </c>
      <c r="AD36">
        <v>0</v>
      </c>
      <c r="AE36">
        <v>5989</v>
      </c>
      <c r="AF36">
        <v>0</v>
      </c>
      <c r="AG36">
        <v>0</v>
      </c>
      <c r="AH36">
        <v>0</v>
      </c>
      <c r="AI36">
        <v>6.71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1E-4</v>
      </c>
      <c r="AU36" t="s">
        <v>3</v>
      </c>
      <c r="AV36">
        <v>0</v>
      </c>
      <c r="AW36">
        <v>2</v>
      </c>
      <c r="AX36">
        <v>39492329</v>
      </c>
      <c r="AY36">
        <v>1</v>
      </c>
      <c r="AZ36">
        <v>0</v>
      </c>
      <c r="BA36">
        <v>46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6.9999999999999994E-5</v>
      </c>
      <c r="CY36">
        <f>AA36</f>
        <v>40186.19</v>
      </c>
      <c r="CZ36">
        <f>AE36</f>
        <v>5989</v>
      </c>
      <c r="DA36">
        <f>AI36</f>
        <v>6.71</v>
      </c>
      <c r="DB36">
        <v>0</v>
      </c>
    </row>
    <row r="37" spans="1:106" x14ac:dyDescent="0.2">
      <c r="A37">
        <f>ROW(Source!A37)</f>
        <v>37</v>
      </c>
      <c r="B37">
        <v>39096431</v>
      </c>
      <c r="C37">
        <v>39492322</v>
      </c>
      <c r="D37">
        <v>36846414</v>
      </c>
      <c r="E37">
        <v>1</v>
      </c>
      <c r="F37">
        <v>1</v>
      </c>
      <c r="G37">
        <v>1</v>
      </c>
      <c r="H37">
        <v>3</v>
      </c>
      <c r="I37" t="s">
        <v>77</v>
      </c>
      <c r="J37" t="s">
        <v>79</v>
      </c>
      <c r="K37" t="s">
        <v>78</v>
      </c>
      <c r="L37">
        <v>1354</v>
      </c>
      <c r="N37">
        <v>1010</v>
      </c>
      <c r="O37" t="s">
        <v>46</v>
      </c>
      <c r="P37" t="s">
        <v>46</v>
      </c>
      <c r="Q37">
        <v>1</v>
      </c>
      <c r="W37">
        <v>0</v>
      </c>
      <c r="X37">
        <v>2053814225</v>
      </c>
      <c r="Y37">
        <v>10</v>
      </c>
      <c r="AA37">
        <v>25.1</v>
      </c>
      <c r="AB37">
        <v>0</v>
      </c>
      <c r="AC37">
        <v>0</v>
      </c>
      <c r="AD37">
        <v>0</v>
      </c>
      <c r="AE37">
        <v>3.74</v>
      </c>
      <c r="AF37">
        <v>0</v>
      </c>
      <c r="AG37">
        <v>0</v>
      </c>
      <c r="AH37">
        <v>0</v>
      </c>
      <c r="AI37">
        <v>6.71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10</v>
      </c>
      <c r="AU37" t="s">
        <v>3</v>
      </c>
      <c r="AV37">
        <v>0</v>
      </c>
      <c r="AW37">
        <v>1</v>
      </c>
      <c r="AX37">
        <v>-1</v>
      </c>
      <c r="AY37">
        <v>0</v>
      </c>
      <c r="AZ37">
        <v>0</v>
      </c>
      <c r="BA37" t="s">
        <v>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7</v>
      </c>
      <c r="CY37">
        <f>AA37</f>
        <v>25.1</v>
      </c>
      <c r="CZ37">
        <f>AE37</f>
        <v>3.74</v>
      </c>
      <c r="DA37">
        <f>AI37</f>
        <v>6.71</v>
      </c>
      <c r="DB37">
        <v>0</v>
      </c>
    </row>
    <row r="38" spans="1:106" x14ac:dyDescent="0.2">
      <c r="A38">
        <f>ROW(Source!A39)</f>
        <v>39</v>
      </c>
      <c r="B38">
        <v>39096431</v>
      </c>
      <c r="C38">
        <v>39097179</v>
      </c>
      <c r="D38">
        <v>37080781</v>
      </c>
      <c r="E38">
        <v>1</v>
      </c>
      <c r="F38">
        <v>1</v>
      </c>
      <c r="G38">
        <v>1</v>
      </c>
      <c r="H38">
        <v>1</v>
      </c>
      <c r="I38" t="s">
        <v>702</v>
      </c>
      <c r="J38" t="s">
        <v>3</v>
      </c>
      <c r="K38" t="s">
        <v>703</v>
      </c>
      <c r="L38">
        <v>1191</v>
      </c>
      <c r="N38">
        <v>1013</v>
      </c>
      <c r="O38" t="s">
        <v>660</v>
      </c>
      <c r="P38" t="s">
        <v>660</v>
      </c>
      <c r="Q38">
        <v>1</v>
      </c>
      <c r="W38">
        <v>0</v>
      </c>
      <c r="X38">
        <v>912892513</v>
      </c>
      <c r="Y38">
        <v>2.76</v>
      </c>
      <c r="AA38">
        <v>0</v>
      </c>
      <c r="AB38">
        <v>0</v>
      </c>
      <c r="AC38">
        <v>0</v>
      </c>
      <c r="AD38">
        <v>66.56</v>
      </c>
      <c r="AE38">
        <v>0</v>
      </c>
      <c r="AF38">
        <v>0</v>
      </c>
      <c r="AG38">
        <v>0</v>
      </c>
      <c r="AH38">
        <v>9.92</v>
      </c>
      <c r="AI38">
        <v>1</v>
      </c>
      <c r="AJ38">
        <v>1</v>
      </c>
      <c r="AK38">
        <v>1</v>
      </c>
      <c r="AL38">
        <v>6.71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2.4</v>
      </c>
      <c r="AU38" t="s">
        <v>86</v>
      </c>
      <c r="AV38">
        <v>1</v>
      </c>
      <c r="AW38">
        <v>2</v>
      </c>
      <c r="AX38">
        <v>39097189</v>
      </c>
      <c r="AY38">
        <v>1</v>
      </c>
      <c r="AZ38">
        <v>0</v>
      </c>
      <c r="BA38">
        <v>48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56.303999999999995</v>
      </c>
      <c r="CY38">
        <f>AD38</f>
        <v>66.56</v>
      </c>
      <c r="CZ38">
        <f>AH38</f>
        <v>9.92</v>
      </c>
      <c r="DA38">
        <f>AL38</f>
        <v>6.71</v>
      </c>
      <c r="DB38">
        <v>0</v>
      </c>
    </row>
    <row r="39" spans="1:106" x14ac:dyDescent="0.2">
      <c r="A39">
        <f>ROW(Source!A39)</f>
        <v>39</v>
      </c>
      <c r="B39">
        <v>39096431</v>
      </c>
      <c r="C39">
        <v>39097179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661</v>
      </c>
      <c r="J39" t="s">
        <v>3</v>
      </c>
      <c r="K39" t="s">
        <v>662</v>
      </c>
      <c r="L39">
        <v>1191</v>
      </c>
      <c r="N39">
        <v>1013</v>
      </c>
      <c r="O39" t="s">
        <v>660</v>
      </c>
      <c r="P39" t="s">
        <v>660</v>
      </c>
      <c r="Q39">
        <v>1</v>
      </c>
      <c r="W39">
        <v>0</v>
      </c>
      <c r="X39">
        <v>-1417349443</v>
      </c>
      <c r="Y39">
        <v>0.17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6.71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0.17</v>
      </c>
      <c r="AU39" t="s">
        <v>3</v>
      </c>
      <c r="AV39">
        <v>2</v>
      </c>
      <c r="AW39">
        <v>2</v>
      </c>
      <c r="AX39">
        <v>39097190</v>
      </c>
      <c r="AY39">
        <v>1</v>
      </c>
      <c r="AZ39">
        <v>2048</v>
      </c>
      <c r="BA39">
        <v>49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3.468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ROW(Source!A39)</f>
        <v>39</v>
      </c>
      <c r="B40">
        <v>39096431</v>
      </c>
      <c r="C40">
        <v>39097179</v>
      </c>
      <c r="D40">
        <v>36883554</v>
      </c>
      <c r="E40">
        <v>1</v>
      </c>
      <c r="F40">
        <v>1</v>
      </c>
      <c r="G40">
        <v>1</v>
      </c>
      <c r="H40">
        <v>2</v>
      </c>
      <c r="I40" t="s">
        <v>679</v>
      </c>
      <c r="J40" t="s">
        <v>680</v>
      </c>
      <c r="K40" t="s">
        <v>681</v>
      </c>
      <c r="L40">
        <v>1368</v>
      </c>
      <c r="N40">
        <v>1011</v>
      </c>
      <c r="O40" t="s">
        <v>666</v>
      </c>
      <c r="P40" t="s">
        <v>666</v>
      </c>
      <c r="Q40">
        <v>1</v>
      </c>
      <c r="W40">
        <v>0</v>
      </c>
      <c r="X40">
        <v>1372534845</v>
      </c>
      <c r="Y40">
        <v>0.21250000000000002</v>
      </c>
      <c r="AA40">
        <v>0</v>
      </c>
      <c r="AB40">
        <v>440.91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6.71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0.17</v>
      </c>
      <c r="AU40" t="s">
        <v>85</v>
      </c>
      <c r="AV40">
        <v>0</v>
      </c>
      <c r="AW40">
        <v>2</v>
      </c>
      <c r="AX40">
        <v>39097191</v>
      </c>
      <c r="AY40">
        <v>1</v>
      </c>
      <c r="AZ40">
        <v>0</v>
      </c>
      <c r="BA40">
        <v>50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4.335</v>
      </c>
      <c r="CY40">
        <f>AB40</f>
        <v>440.91</v>
      </c>
      <c r="CZ40">
        <f>AF40</f>
        <v>65.709999999999994</v>
      </c>
      <c r="DA40">
        <f>AJ40</f>
        <v>6.71</v>
      </c>
      <c r="DB40">
        <v>0</v>
      </c>
    </row>
    <row r="41" spans="1:106" x14ac:dyDescent="0.2">
      <c r="A41">
        <f>ROW(Source!A39)</f>
        <v>39</v>
      </c>
      <c r="B41">
        <v>39096431</v>
      </c>
      <c r="C41">
        <v>39097179</v>
      </c>
      <c r="D41">
        <v>36883858</v>
      </c>
      <c r="E41">
        <v>1</v>
      </c>
      <c r="F41">
        <v>1</v>
      </c>
      <c r="G41">
        <v>1</v>
      </c>
      <c r="H41">
        <v>2</v>
      </c>
      <c r="I41" t="s">
        <v>704</v>
      </c>
      <c r="J41" t="s">
        <v>705</v>
      </c>
      <c r="K41" t="s">
        <v>706</v>
      </c>
      <c r="L41">
        <v>1368</v>
      </c>
      <c r="N41">
        <v>1011</v>
      </c>
      <c r="O41" t="s">
        <v>666</v>
      </c>
      <c r="P41" t="s">
        <v>666</v>
      </c>
      <c r="Q41">
        <v>1</v>
      </c>
      <c r="W41">
        <v>0</v>
      </c>
      <c r="X41">
        <v>-353815937</v>
      </c>
      <c r="Y41">
        <v>0.5</v>
      </c>
      <c r="AA41">
        <v>0</v>
      </c>
      <c r="AB41">
        <v>54.35</v>
      </c>
      <c r="AC41">
        <v>0</v>
      </c>
      <c r="AD41">
        <v>0</v>
      </c>
      <c r="AE41">
        <v>0</v>
      </c>
      <c r="AF41">
        <v>8.1</v>
      </c>
      <c r="AG41">
        <v>0</v>
      </c>
      <c r="AH41">
        <v>0</v>
      </c>
      <c r="AI41">
        <v>1</v>
      </c>
      <c r="AJ41">
        <v>6.71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0.4</v>
      </c>
      <c r="AU41" t="s">
        <v>85</v>
      </c>
      <c r="AV41">
        <v>0</v>
      </c>
      <c r="AW41">
        <v>2</v>
      </c>
      <c r="AX41">
        <v>39097192</v>
      </c>
      <c r="AY41">
        <v>1</v>
      </c>
      <c r="AZ41">
        <v>0</v>
      </c>
      <c r="BA41">
        <v>51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10.199999999999999</v>
      </c>
      <c r="CY41">
        <f>AB41</f>
        <v>54.35</v>
      </c>
      <c r="CZ41">
        <f>AF41</f>
        <v>8.1</v>
      </c>
      <c r="DA41">
        <f>AJ41</f>
        <v>6.71</v>
      </c>
      <c r="DB41">
        <v>0</v>
      </c>
    </row>
    <row r="42" spans="1:106" x14ac:dyDescent="0.2">
      <c r="A42">
        <f>ROW(Source!A39)</f>
        <v>39</v>
      </c>
      <c r="B42">
        <v>39096431</v>
      </c>
      <c r="C42">
        <v>39097179</v>
      </c>
      <c r="D42">
        <v>36803256</v>
      </c>
      <c r="E42">
        <v>1</v>
      </c>
      <c r="F42">
        <v>1</v>
      </c>
      <c r="G42">
        <v>1</v>
      </c>
      <c r="H42">
        <v>3</v>
      </c>
      <c r="I42" t="s">
        <v>707</v>
      </c>
      <c r="J42" t="s">
        <v>708</v>
      </c>
      <c r="K42" t="s">
        <v>709</v>
      </c>
      <c r="L42">
        <v>1348</v>
      </c>
      <c r="N42">
        <v>1009</v>
      </c>
      <c r="O42" t="s">
        <v>110</v>
      </c>
      <c r="P42" t="s">
        <v>110</v>
      </c>
      <c r="Q42">
        <v>1000</v>
      </c>
      <c r="W42">
        <v>0</v>
      </c>
      <c r="X42">
        <v>-714836380</v>
      </c>
      <c r="Y42">
        <v>1E-4</v>
      </c>
      <c r="AA42">
        <v>69213.72</v>
      </c>
      <c r="AB42">
        <v>0</v>
      </c>
      <c r="AC42">
        <v>0</v>
      </c>
      <c r="AD42">
        <v>0</v>
      </c>
      <c r="AE42">
        <v>10315.01</v>
      </c>
      <c r="AF42">
        <v>0</v>
      </c>
      <c r="AG42">
        <v>0</v>
      </c>
      <c r="AH42">
        <v>0</v>
      </c>
      <c r="AI42">
        <v>6.71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1E-4</v>
      </c>
      <c r="AU42" t="s">
        <v>3</v>
      </c>
      <c r="AV42">
        <v>0</v>
      </c>
      <c r="AW42">
        <v>2</v>
      </c>
      <c r="AX42">
        <v>39097194</v>
      </c>
      <c r="AY42">
        <v>1</v>
      </c>
      <c r="AZ42">
        <v>0</v>
      </c>
      <c r="BA42">
        <v>53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2.0400000000000001E-3</v>
      </c>
      <c r="CY42">
        <f>AA42</f>
        <v>69213.72</v>
      </c>
      <c r="CZ42">
        <f>AE42</f>
        <v>10315.01</v>
      </c>
      <c r="DA42">
        <f>AI42</f>
        <v>6.71</v>
      </c>
      <c r="DB42">
        <v>0</v>
      </c>
    </row>
    <row r="43" spans="1:106" x14ac:dyDescent="0.2">
      <c r="A43">
        <f>ROW(Source!A39)</f>
        <v>39</v>
      </c>
      <c r="B43">
        <v>39096431</v>
      </c>
      <c r="C43">
        <v>39097179</v>
      </c>
      <c r="D43">
        <v>0</v>
      </c>
      <c r="E43">
        <v>0</v>
      </c>
      <c r="F43">
        <v>1</v>
      </c>
      <c r="G43">
        <v>1</v>
      </c>
      <c r="H43">
        <v>3</v>
      </c>
      <c r="I43" t="s">
        <v>95</v>
      </c>
      <c r="J43" t="s">
        <v>97</v>
      </c>
      <c r="K43" t="s">
        <v>96</v>
      </c>
      <c r="L43">
        <v>1354</v>
      </c>
      <c r="N43">
        <v>1010</v>
      </c>
      <c r="O43" t="s">
        <v>46</v>
      </c>
      <c r="P43" t="s">
        <v>46</v>
      </c>
      <c r="Q43">
        <v>1</v>
      </c>
      <c r="W43">
        <v>0</v>
      </c>
      <c r="X43">
        <v>445890676</v>
      </c>
      <c r="Y43">
        <v>0.147059</v>
      </c>
      <c r="AA43">
        <v>36577.620000000003</v>
      </c>
      <c r="AB43">
        <v>0</v>
      </c>
      <c r="AC43">
        <v>0</v>
      </c>
      <c r="AD43">
        <v>0</v>
      </c>
      <c r="AE43">
        <v>5451.21</v>
      </c>
      <c r="AF43">
        <v>0</v>
      </c>
      <c r="AG43">
        <v>0</v>
      </c>
      <c r="AH43">
        <v>0</v>
      </c>
      <c r="AI43">
        <v>6.71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0.147059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Y43*Source!I39</f>
        <v>3.0000035999999999</v>
      </c>
      <c r="CY43">
        <f>AA43</f>
        <v>36577.620000000003</v>
      </c>
      <c r="CZ43">
        <f>AE43</f>
        <v>5451.21</v>
      </c>
      <c r="DA43">
        <f>AI43</f>
        <v>6.71</v>
      </c>
      <c r="DB43">
        <v>0</v>
      </c>
    </row>
    <row r="44" spans="1:106" x14ac:dyDescent="0.2">
      <c r="A44">
        <f>ROW(Source!A39)</f>
        <v>39</v>
      </c>
      <c r="B44">
        <v>39096431</v>
      </c>
      <c r="C44">
        <v>39097179</v>
      </c>
      <c r="D44">
        <v>0</v>
      </c>
      <c r="E44">
        <v>0</v>
      </c>
      <c r="F44">
        <v>1</v>
      </c>
      <c r="G44">
        <v>1</v>
      </c>
      <c r="H44">
        <v>3</v>
      </c>
      <c r="I44" t="s">
        <v>91</v>
      </c>
      <c r="J44" t="s">
        <v>93</v>
      </c>
      <c r="K44" t="s">
        <v>92</v>
      </c>
      <c r="L44">
        <v>1354</v>
      </c>
      <c r="N44">
        <v>1010</v>
      </c>
      <c r="O44" t="s">
        <v>46</v>
      </c>
      <c r="P44" t="s">
        <v>46</v>
      </c>
      <c r="Q44">
        <v>1</v>
      </c>
      <c r="W44">
        <v>0</v>
      </c>
      <c r="X44">
        <v>-726818086</v>
      </c>
      <c r="Y44">
        <v>0.196078</v>
      </c>
      <c r="AA44">
        <v>20834.28</v>
      </c>
      <c r="AB44">
        <v>0</v>
      </c>
      <c r="AC44">
        <v>0</v>
      </c>
      <c r="AD44">
        <v>0</v>
      </c>
      <c r="AE44">
        <v>3104.96</v>
      </c>
      <c r="AF44">
        <v>0</v>
      </c>
      <c r="AG44">
        <v>0</v>
      </c>
      <c r="AH44">
        <v>0</v>
      </c>
      <c r="AI44">
        <v>6.71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0.196078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Y44*Source!I39</f>
        <v>3.9999911999999997</v>
      </c>
      <c r="CY44">
        <f>AA44</f>
        <v>20834.28</v>
      </c>
      <c r="CZ44">
        <f>AE44</f>
        <v>3104.96</v>
      </c>
      <c r="DA44">
        <f>AI44</f>
        <v>6.71</v>
      </c>
      <c r="DB44">
        <v>0</v>
      </c>
    </row>
    <row r="45" spans="1:106" x14ac:dyDescent="0.2">
      <c r="A45">
        <f>ROW(Source!A39)</f>
        <v>39</v>
      </c>
      <c r="B45">
        <v>39096431</v>
      </c>
      <c r="C45">
        <v>39097179</v>
      </c>
      <c r="D45">
        <v>36826512</v>
      </c>
      <c r="E45">
        <v>1</v>
      </c>
      <c r="F45">
        <v>1</v>
      </c>
      <c r="G45">
        <v>1</v>
      </c>
      <c r="H45">
        <v>3</v>
      </c>
      <c r="I45" t="s">
        <v>710</v>
      </c>
      <c r="J45" t="s">
        <v>711</v>
      </c>
      <c r="K45" t="s">
        <v>712</v>
      </c>
      <c r="L45">
        <v>1348</v>
      </c>
      <c r="N45">
        <v>1009</v>
      </c>
      <c r="O45" t="s">
        <v>110</v>
      </c>
      <c r="P45" t="s">
        <v>110</v>
      </c>
      <c r="Q45">
        <v>1000</v>
      </c>
      <c r="W45">
        <v>0</v>
      </c>
      <c r="X45">
        <v>-751617735</v>
      </c>
      <c r="Y45">
        <v>3.0000000000000001E-3</v>
      </c>
      <c r="AA45">
        <v>38944.839999999997</v>
      </c>
      <c r="AB45">
        <v>0</v>
      </c>
      <c r="AC45">
        <v>0</v>
      </c>
      <c r="AD45">
        <v>0</v>
      </c>
      <c r="AE45">
        <v>5804</v>
      </c>
      <c r="AF45">
        <v>0</v>
      </c>
      <c r="AG45">
        <v>0</v>
      </c>
      <c r="AH45">
        <v>0</v>
      </c>
      <c r="AI45">
        <v>6.71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3.0000000000000001E-3</v>
      </c>
      <c r="AU45" t="s">
        <v>3</v>
      </c>
      <c r="AV45">
        <v>0</v>
      </c>
      <c r="AW45">
        <v>2</v>
      </c>
      <c r="AX45">
        <v>39097196</v>
      </c>
      <c r="AY45">
        <v>1</v>
      </c>
      <c r="AZ45">
        <v>0</v>
      </c>
      <c r="BA45">
        <v>55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Y45*Source!I39</f>
        <v>6.1199999999999997E-2</v>
      </c>
      <c r="CY45">
        <f>AA45</f>
        <v>38944.839999999997</v>
      </c>
      <c r="CZ45">
        <f>AE45</f>
        <v>5804</v>
      </c>
      <c r="DA45">
        <f>AI45</f>
        <v>6.71</v>
      </c>
      <c r="DB45">
        <v>0</v>
      </c>
    </row>
    <row r="46" spans="1:106" x14ac:dyDescent="0.2">
      <c r="A46">
        <f>ROW(Source!A39)</f>
        <v>39</v>
      </c>
      <c r="B46">
        <v>39096431</v>
      </c>
      <c r="C46">
        <v>39097179</v>
      </c>
      <c r="D46">
        <v>36838813</v>
      </c>
      <c r="E46">
        <v>1</v>
      </c>
      <c r="F46">
        <v>1</v>
      </c>
      <c r="G46">
        <v>1</v>
      </c>
      <c r="H46">
        <v>3</v>
      </c>
      <c r="I46" t="s">
        <v>713</v>
      </c>
      <c r="J46" t="s">
        <v>714</v>
      </c>
      <c r="K46" t="s">
        <v>715</v>
      </c>
      <c r="L46">
        <v>1354</v>
      </c>
      <c r="N46">
        <v>1010</v>
      </c>
      <c r="O46" t="s">
        <v>46</v>
      </c>
      <c r="P46" t="s">
        <v>46</v>
      </c>
      <c r="Q46">
        <v>1</v>
      </c>
      <c r="W46">
        <v>0</v>
      </c>
      <c r="X46">
        <v>-1075270488</v>
      </c>
      <c r="Y46">
        <v>0.1</v>
      </c>
      <c r="AA46">
        <v>488.49</v>
      </c>
      <c r="AB46">
        <v>0</v>
      </c>
      <c r="AC46">
        <v>0</v>
      </c>
      <c r="AD46">
        <v>0</v>
      </c>
      <c r="AE46">
        <v>72.8</v>
      </c>
      <c r="AF46">
        <v>0</v>
      </c>
      <c r="AG46">
        <v>0</v>
      </c>
      <c r="AH46">
        <v>0</v>
      </c>
      <c r="AI46">
        <v>6.71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0.1</v>
      </c>
      <c r="AU46" t="s">
        <v>3</v>
      </c>
      <c r="AV46">
        <v>0</v>
      </c>
      <c r="AW46">
        <v>2</v>
      </c>
      <c r="AX46">
        <v>39097197</v>
      </c>
      <c r="AY46">
        <v>1</v>
      </c>
      <c r="AZ46">
        <v>0</v>
      </c>
      <c r="BA46">
        <v>56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Y46*Source!I39</f>
        <v>2.04</v>
      </c>
      <c r="CY46">
        <f>AA46</f>
        <v>488.49</v>
      </c>
      <c r="CZ46">
        <f>AE46</f>
        <v>72.8</v>
      </c>
      <c r="DA46">
        <f>AI46</f>
        <v>6.71</v>
      </c>
      <c r="DB46">
        <v>0</v>
      </c>
    </row>
    <row r="47" spans="1:106" x14ac:dyDescent="0.2">
      <c r="A47">
        <f>ROW(Source!A42)</f>
        <v>42</v>
      </c>
      <c r="B47">
        <v>39096431</v>
      </c>
      <c r="C47">
        <v>39097200</v>
      </c>
      <c r="D47">
        <v>37065248</v>
      </c>
      <c r="E47">
        <v>1</v>
      </c>
      <c r="F47">
        <v>1</v>
      </c>
      <c r="G47">
        <v>1</v>
      </c>
      <c r="H47">
        <v>1</v>
      </c>
      <c r="I47" t="s">
        <v>669</v>
      </c>
      <c r="J47" t="s">
        <v>3</v>
      </c>
      <c r="K47" t="s">
        <v>670</v>
      </c>
      <c r="L47">
        <v>1191</v>
      </c>
      <c r="N47">
        <v>1013</v>
      </c>
      <c r="O47" t="s">
        <v>660</v>
      </c>
      <c r="P47" t="s">
        <v>660</v>
      </c>
      <c r="Q47">
        <v>1</v>
      </c>
      <c r="W47">
        <v>0</v>
      </c>
      <c r="X47">
        <v>-400197608</v>
      </c>
      <c r="Y47">
        <v>124.23</v>
      </c>
      <c r="AA47">
        <v>0</v>
      </c>
      <c r="AB47">
        <v>0</v>
      </c>
      <c r="AC47">
        <v>0</v>
      </c>
      <c r="AD47">
        <v>57.24</v>
      </c>
      <c r="AE47">
        <v>0</v>
      </c>
      <c r="AF47">
        <v>0</v>
      </c>
      <c r="AG47">
        <v>0</v>
      </c>
      <c r="AH47">
        <v>8.5299999999999994</v>
      </c>
      <c r="AI47">
        <v>1</v>
      </c>
      <c r="AJ47">
        <v>1</v>
      </c>
      <c r="AK47">
        <v>1</v>
      </c>
      <c r="AL47">
        <v>6.71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124.23</v>
      </c>
      <c r="AU47" t="s">
        <v>3</v>
      </c>
      <c r="AV47">
        <v>1</v>
      </c>
      <c r="AW47">
        <v>2</v>
      </c>
      <c r="AX47">
        <v>39097207</v>
      </c>
      <c r="AY47">
        <v>1</v>
      </c>
      <c r="AZ47">
        <v>0</v>
      </c>
      <c r="BA47">
        <v>57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Y47*Source!I42</f>
        <v>53.418900000000001</v>
      </c>
      <c r="CY47">
        <f>AD47</f>
        <v>57.24</v>
      </c>
      <c r="CZ47">
        <f>AH47</f>
        <v>8.5299999999999994</v>
      </c>
      <c r="DA47">
        <f>AL47</f>
        <v>6.71</v>
      </c>
      <c r="DB47">
        <v>0</v>
      </c>
    </row>
    <row r="48" spans="1:106" x14ac:dyDescent="0.2">
      <c r="A48">
        <f>ROW(Source!A42)</f>
        <v>42</v>
      </c>
      <c r="B48">
        <v>39096431</v>
      </c>
      <c r="C48">
        <v>39097200</v>
      </c>
      <c r="D48">
        <v>36883883</v>
      </c>
      <c r="E48">
        <v>1</v>
      </c>
      <c r="F48">
        <v>1</v>
      </c>
      <c r="G48">
        <v>1</v>
      </c>
      <c r="H48">
        <v>2</v>
      </c>
      <c r="I48" t="s">
        <v>716</v>
      </c>
      <c r="J48" t="s">
        <v>717</v>
      </c>
      <c r="K48" t="s">
        <v>718</v>
      </c>
      <c r="L48">
        <v>1368</v>
      </c>
      <c r="N48">
        <v>1011</v>
      </c>
      <c r="O48" t="s">
        <v>666</v>
      </c>
      <c r="P48" t="s">
        <v>666</v>
      </c>
      <c r="Q48">
        <v>1</v>
      </c>
      <c r="W48">
        <v>0</v>
      </c>
      <c r="X48">
        <v>-2111251057</v>
      </c>
      <c r="Y48">
        <v>1.38</v>
      </c>
      <c r="AA48">
        <v>0</v>
      </c>
      <c r="AB48">
        <v>218.08</v>
      </c>
      <c r="AC48">
        <v>0</v>
      </c>
      <c r="AD48">
        <v>0</v>
      </c>
      <c r="AE48">
        <v>0</v>
      </c>
      <c r="AF48">
        <v>32.5</v>
      </c>
      <c r="AG48">
        <v>0</v>
      </c>
      <c r="AH48">
        <v>0</v>
      </c>
      <c r="AI48">
        <v>1</v>
      </c>
      <c r="AJ48">
        <v>6.71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1.38</v>
      </c>
      <c r="AU48" t="s">
        <v>3</v>
      </c>
      <c r="AV48">
        <v>0</v>
      </c>
      <c r="AW48">
        <v>2</v>
      </c>
      <c r="AX48">
        <v>39097208</v>
      </c>
      <c r="AY48">
        <v>1</v>
      </c>
      <c r="AZ48">
        <v>0</v>
      </c>
      <c r="BA48">
        <v>58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Y48*Source!I42</f>
        <v>0.59339999999999993</v>
      </c>
      <c r="CY48">
        <f>AB48</f>
        <v>218.08</v>
      </c>
      <c r="CZ48">
        <f>AF48</f>
        <v>32.5</v>
      </c>
      <c r="DA48">
        <f>AJ48</f>
        <v>6.71</v>
      </c>
      <c r="DB48">
        <v>0</v>
      </c>
    </row>
    <row r="49" spans="1:106" x14ac:dyDescent="0.2">
      <c r="A49">
        <f>ROW(Source!A42)</f>
        <v>42</v>
      </c>
      <c r="B49">
        <v>39096431</v>
      </c>
      <c r="C49">
        <v>39097200</v>
      </c>
      <c r="D49">
        <v>36884481</v>
      </c>
      <c r="E49">
        <v>1</v>
      </c>
      <c r="F49">
        <v>1</v>
      </c>
      <c r="G49">
        <v>1</v>
      </c>
      <c r="H49">
        <v>2</v>
      </c>
      <c r="I49" t="s">
        <v>719</v>
      </c>
      <c r="J49" t="s">
        <v>720</v>
      </c>
      <c r="K49" t="s">
        <v>721</v>
      </c>
      <c r="L49">
        <v>1368</v>
      </c>
      <c r="N49">
        <v>1011</v>
      </c>
      <c r="O49" t="s">
        <v>666</v>
      </c>
      <c r="P49" t="s">
        <v>666</v>
      </c>
      <c r="Q49">
        <v>1</v>
      </c>
      <c r="W49">
        <v>0</v>
      </c>
      <c r="X49">
        <v>1518765163</v>
      </c>
      <c r="Y49">
        <v>1.38</v>
      </c>
      <c r="AA49">
        <v>0</v>
      </c>
      <c r="AB49">
        <v>10.27</v>
      </c>
      <c r="AC49">
        <v>0</v>
      </c>
      <c r="AD49">
        <v>0</v>
      </c>
      <c r="AE49">
        <v>0</v>
      </c>
      <c r="AF49">
        <v>1.53</v>
      </c>
      <c r="AG49">
        <v>0</v>
      </c>
      <c r="AH49">
        <v>0</v>
      </c>
      <c r="AI49">
        <v>1</v>
      </c>
      <c r="AJ49">
        <v>6.71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1.38</v>
      </c>
      <c r="AU49" t="s">
        <v>3</v>
      </c>
      <c r="AV49">
        <v>0</v>
      </c>
      <c r="AW49">
        <v>2</v>
      </c>
      <c r="AX49">
        <v>39097209</v>
      </c>
      <c r="AY49">
        <v>1</v>
      </c>
      <c r="AZ49">
        <v>0</v>
      </c>
      <c r="BA49">
        <v>59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Y49*Source!I42</f>
        <v>0.59339999999999993</v>
      </c>
      <c r="CY49">
        <f>AB49</f>
        <v>10.27</v>
      </c>
      <c r="CZ49">
        <f>AF49</f>
        <v>1.53</v>
      </c>
      <c r="DA49">
        <f>AJ49</f>
        <v>6.71</v>
      </c>
      <c r="DB49">
        <v>0</v>
      </c>
    </row>
    <row r="50" spans="1:106" x14ac:dyDescent="0.2">
      <c r="A50">
        <f>ROW(Source!A42)</f>
        <v>42</v>
      </c>
      <c r="B50">
        <v>39096431</v>
      </c>
      <c r="C50">
        <v>39097200</v>
      </c>
      <c r="D50">
        <v>36801792</v>
      </c>
      <c r="E50">
        <v>1</v>
      </c>
      <c r="F50">
        <v>1</v>
      </c>
      <c r="G50">
        <v>1</v>
      </c>
      <c r="H50">
        <v>3</v>
      </c>
      <c r="I50" t="s">
        <v>671</v>
      </c>
      <c r="J50" t="s">
        <v>672</v>
      </c>
      <c r="K50" t="s">
        <v>673</v>
      </c>
      <c r="L50">
        <v>1339</v>
      </c>
      <c r="N50">
        <v>1007</v>
      </c>
      <c r="O50" t="s">
        <v>106</v>
      </c>
      <c r="P50" t="s">
        <v>106</v>
      </c>
      <c r="Q50">
        <v>1</v>
      </c>
      <c r="W50">
        <v>0</v>
      </c>
      <c r="X50">
        <v>-1660354250</v>
      </c>
      <c r="Y50">
        <v>0.1</v>
      </c>
      <c r="AA50">
        <v>16.37</v>
      </c>
      <c r="AB50">
        <v>0</v>
      </c>
      <c r="AC50">
        <v>0</v>
      </c>
      <c r="AD50">
        <v>0</v>
      </c>
      <c r="AE50">
        <v>2.44</v>
      </c>
      <c r="AF50">
        <v>0</v>
      </c>
      <c r="AG50">
        <v>0</v>
      </c>
      <c r="AH50">
        <v>0</v>
      </c>
      <c r="AI50">
        <v>6.71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0.1</v>
      </c>
      <c r="AU50" t="s">
        <v>3</v>
      </c>
      <c r="AV50">
        <v>0</v>
      </c>
      <c r="AW50">
        <v>2</v>
      </c>
      <c r="AX50">
        <v>39097210</v>
      </c>
      <c r="AY50">
        <v>1</v>
      </c>
      <c r="AZ50">
        <v>0</v>
      </c>
      <c r="BA50">
        <v>60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Y50*Source!I42</f>
        <v>4.3000000000000003E-2</v>
      </c>
      <c r="CY50">
        <f>AA50</f>
        <v>16.37</v>
      </c>
      <c r="CZ50">
        <f>AE50</f>
        <v>2.44</v>
      </c>
      <c r="DA50">
        <f>AI50</f>
        <v>6.71</v>
      </c>
      <c r="DB50">
        <v>0</v>
      </c>
    </row>
    <row r="51" spans="1:106" x14ac:dyDescent="0.2">
      <c r="A51">
        <f>ROW(Source!A42)</f>
        <v>42</v>
      </c>
      <c r="B51">
        <v>39096431</v>
      </c>
      <c r="C51">
        <v>39097200</v>
      </c>
      <c r="D51">
        <v>36796210</v>
      </c>
      <c r="E51">
        <v>17</v>
      </c>
      <c r="F51">
        <v>1</v>
      </c>
      <c r="G51">
        <v>1</v>
      </c>
      <c r="H51">
        <v>3</v>
      </c>
      <c r="I51" t="s">
        <v>104</v>
      </c>
      <c r="J51" t="s">
        <v>3</v>
      </c>
      <c r="K51" t="s">
        <v>105</v>
      </c>
      <c r="L51">
        <v>1339</v>
      </c>
      <c r="N51">
        <v>1007</v>
      </c>
      <c r="O51" t="s">
        <v>106</v>
      </c>
      <c r="P51" t="s">
        <v>106</v>
      </c>
      <c r="Q51">
        <v>1</v>
      </c>
      <c r="W51">
        <v>0</v>
      </c>
      <c r="X51">
        <v>-2113302258</v>
      </c>
      <c r="Y51">
        <v>2.14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6.71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3</v>
      </c>
      <c r="AT51">
        <v>2.14</v>
      </c>
      <c r="AU51" t="s">
        <v>3</v>
      </c>
      <c r="AV51">
        <v>0</v>
      </c>
      <c r="AW51">
        <v>2</v>
      </c>
      <c r="AX51">
        <v>39097213</v>
      </c>
      <c r="AY51">
        <v>1</v>
      </c>
      <c r="AZ51">
        <v>0</v>
      </c>
      <c r="BA51">
        <v>63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Y51*Source!I42</f>
        <v>0.92020000000000002</v>
      </c>
      <c r="CY51">
        <f>AA51</f>
        <v>0</v>
      </c>
      <c r="CZ51">
        <f>AE51</f>
        <v>0</v>
      </c>
      <c r="DA51">
        <f>AI51</f>
        <v>6.71</v>
      </c>
      <c r="DB51">
        <v>0</v>
      </c>
    </row>
    <row r="52" spans="1:106" x14ac:dyDescent="0.2">
      <c r="A52">
        <f>ROW(Source!A42)</f>
        <v>42</v>
      </c>
      <c r="B52">
        <v>39096431</v>
      </c>
      <c r="C52">
        <v>39097200</v>
      </c>
      <c r="D52">
        <v>36807812</v>
      </c>
      <c r="E52">
        <v>1</v>
      </c>
      <c r="F52">
        <v>1</v>
      </c>
      <c r="G52">
        <v>1</v>
      </c>
      <c r="H52">
        <v>3</v>
      </c>
      <c r="I52" t="s">
        <v>108</v>
      </c>
      <c r="J52" t="s">
        <v>111</v>
      </c>
      <c r="K52" t="s">
        <v>109</v>
      </c>
      <c r="L52">
        <v>1348</v>
      </c>
      <c r="N52">
        <v>1009</v>
      </c>
      <c r="O52" t="s">
        <v>110</v>
      </c>
      <c r="P52" t="s">
        <v>110</v>
      </c>
      <c r="Q52">
        <v>1000</v>
      </c>
      <c r="W52">
        <v>0</v>
      </c>
      <c r="X52">
        <v>50694098</v>
      </c>
      <c r="Y52">
        <v>4.6431149999999999</v>
      </c>
      <c r="AA52">
        <v>4885.82</v>
      </c>
      <c r="AB52">
        <v>0</v>
      </c>
      <c r="AC52">
        <v>0</v>
      </c>
      <c r="AD52">
        <v>0</v>
      </c>
      <c r="AE52">
        <v>728.14</v>
      </c>
      <c r="AF52">
        <v>0</v>
      </c>
      <c r="AG52">
        <v>0</v>
      </c>
      <c r="AH52">
        <v>0</v>
      </c>
      <c r="AI52">
        <v>6.71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4.6431149999999999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Y52*Source!I42</f>
        <v>1.99653945</v>
      </c>
      <c r="CY52">
        <f>AA52</f>
        <v>4885.82</v>
      </c>
      <c r="CZ52">
        <f>AE52</f>
        <v>728.14</v>
      </c>
      <c r="DA52">
        <f>AI52</f>
        <v>6.71</v>
      </c>
      <c r="DB52">
        <v>0</v>
      </c>
    </row>
    <row r="53" spans="1:106" x14ac:dyDescent="0.2">
      <c r="A53">
        <f>ROW(Source!A45)</f>
        <v>45</v>
      </c>
      <c r="B53">
        <v>39096431</v>
      </c>
      <c r="C53">
        <v>39097216</v>
      </c>
      <c r="D53">
        <v>37065248</v>
      </c>
      <c r="E53">
        <v>1</v>
      </c>
      <c r="F53">
        <v>1</v>
      </c>
      <c r="G53">
        <v>1</v>
      </c>
      <c r="H53">
        <v>1</v>
      </c>
      <c r="I53" t="s">
        <v>669</v>
      </c>
      <c r="J53" t="s">
        <v>3</v>
      </c>
      <c r="K53" t="s">
        <v>670</v>
      </c>
      <c r="L53">
        <v>1191</v>
      </c>
      <c r="N53">
        <v>1013</v>
      </c>
      <c r="O53" t="s">
        <v>660</v>
      </c>
      <c r="P53" t="s">
        <v>660</v>
      </c>
      <c r="Q53">
        <v>1</v>
      </c>
      <c r="W53">
        <v>0</v>
      </c>
      <c r="X53">
        <v>-400197608</v>
      </c>
      <c r="Y53">
        <v>43.320499999999996</v>
      </c>
      <c r="AA53">
        <v>0</v>
      </c>
      <c r="AB53">
        <v>0</v>
      </c>
      <c r="AC53">
        <v>0</v>
      </c>
      <c r="AD53">
        <v>57.24</v>
      </c>
      <c r="AE53">
        <v>0</v>
      </c>
      <c r="AF53">
        <v>0</v>
      </c>
      <c r="AG53">
        <v>0</v>
      </c>
      <c r="AH53">
        <v>8.5299999999999994</v>
      </c>
      <c r="AI53">
        <v>1</v>
      </c>
      <c r="AJ53">
        <v>1</v>
      </c>
      <c r="AK53">
        <v>1</v>
      </c>
      <c r="AL53">
        <v>6.71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37.67</v>
      </c>
      <c r="AU53" t="s">
        <v>86</v>
      </c>
      <c r="AV53">
        <v>1</v>
      </c>
      <c r="AW53">
        <v>2</v>
      </c>
      <c r="AX53">
        <v>39097817</v>
      </c>
      <c r="AY53">
        <v>1</v>
      </c>
      <c r="AZ53">
        <v>0</v>
      </c>
      <c r="BA53">
        <v>64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Y53*Source!I45</f>
        <v>143.73741899999999</v>
      </c>
      <c r="CY53">
        <f>AD53</f>
        <v>57.24</v>
      </c>
      <c r="CZ53">
        <f>AH53</f>
        <v>8.5299999999999994</v>
      </c>
      <c r="DA53">
        <f>AL53</f>
        <v>6.71</v>
      </c>
      <c r="DB53">
        <v>0</v>
      </c>
    </row>
    <row r="54" spans="1:106" x14ac:dyDescent="0.2">
      <c r="A54">
        <f>ROW(Source!A45)</f>
        <v>45</v>
      </c>
      <c r="B54">
        <v>39096431</v>
      </c>
      <c r="C54">
        <v>39097216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661</v>
      </c>
      <c r="J54" t="s">
        <v>3</v>
      </c>
      <c r="K54" t="s">
        <v>662</v>
      </c>
      <c r="L54">
        <v>1191</v>
      </c>
      <c r="N54">
        <v>1013</v>
      </c>
      <c r="O54" t="s">
        <v>660</v>
      </c>
      <c r="P54" t="s">
        <v>660</v>
      </c>
      <c r="Q54">
        <v>1</v>
      </c>
      <c r="W54">
        <v>0</v>
      </c>
      <c r="X54">
        <v>-1417349443</v>
      </c>
      <c r="Y54">
        <v>0.17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6.71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0.17</v>
      </c>
      <c r="AU54" t="s">
        <v>3</v>
      </c>
      <c r="AV54">
        <v>2</v>
      </c>
      <c r="AW54">
        <v>2</v>
      </c>
      <c r="AX54">
        <v>39097818</v>
      </c>
      <c r="AY54">
        <v>1</v>
      </c>
      <c r="AZ54">
        <v>2048</v>
      </c>
      <c r="BA54">
        <v>65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Y54*Source!I45</f>
        <v>0.56406000000000001</v>
      </c>
      <c r="CY54">
        <f>AD54</f>
        <v>0</v>
      </c>
      <c r="CZ54">
        <f>AH54</f>
        <v>0</v>
      </c>
      <c r="DA54">
        <f>AL54</f>
        <v>1</v>
      </c>
      <c r="DB54">
        <v>0</v>
      </c>
    </row>
    <row r="55" spans="1:106" x14ac:dyDescent="0.2">
      <c r="A55">
        <f>ROW(Source!A45)</f>
        <v>45</v>
      </c>
      <c r="B55">
        <v>39096431</v>
      </c>
      <c r="C55">
        <v>39097216</v>
      </c>
      <c r="D55">
        <v>36882448</v>
      </c>
      <c r="E55">
        <v>1</v>
      </c>
      <c r="F55">
        <v>1</v>
      </c>
      <c r="G55">
        <v>1</v>
      </c>
      <c r="H55">
        <v>2</v>
      </c>
      <c r="I55" t="s">
        <v>722</v>
      </c>
      <c r="J55" t="s">
        <v>723</v>
      </c>
      <c r="K55" t="s">
        <v>724</v>
      </c>
      <c r="L55">
        <v>1368</v>
      </c>
      <c r="N55">
        <v>1011</v>
      </c>
      <c r="O55" t="s">
        <v>666</v>
      </c>
      <c r="P55" t="s">
        <v>666</v>
      </c>
      <c r="Q55">
        <v>1</v>
      </c>
      <c r="W55">
        <v>0</v>
      </c>
      <c r="X55">
        <v>368031958</v>
      </c>
      <c r="Y55">
        <v>0.16250000000000001</v>
      </c>
      <c r="AA55">
        <v>0</v>
      </c>
      <c r="AB55">
        <v>185.6</v>
      </c>
      <c r="AC55">
        <v>11.6</v>
      </c>
      <c r="AD55">
        <v>0</v>
      </c>
      <c r="AE55">
        <v>0</v>
      </c>
      <c r="AF55">
        <v>27.66</v>
      </c>
      <c r="AG55">
        <v>11.6</v>
      </c>
      <c r="AH55">
        <v>0</v>
      </c>
      <c r="AI55">
        <v>1</v>
      </c>
      <c r="AJ55">
        <v>6.71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0.13</v>
      </c>
      <c r="AU55" t="s">
        <v>85</v>
      </c>
      <c r="AV55">
        <v>0</v>
      </c>
      <c r="AW55">
        <v>2</v>
      </c>
      <c r="AX55">
        <v>39097819</v>
      </c>
      <c r="AY55">
        <v>1</v>
      </c>
      <c r="AZ55">
        <v>0</v>
      </c>
      <c r="BA55">
        <v>66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0.53917500000000007</v>
      </c>
      <c r="CY55">
        <f>AB55</f>
        <v>185.6</v>
      </c>
      <c r="CZ55">
        <f>AF55</f>
        <v>27.66</v>
      </c>
      <c r="DA55">
        <f>AJ55</f>
        <v>6.71</v>
      </c>
      <c r="DB55">
        <v>0</v>
      </c>
    </row>
    <row r="56" spans="1:106" x14ac:dyDescent="0.2">
      <c r="A56">
        <f>ROW(Source!A45)</f>
        <v>45</v>
      </c>
      <c r="B56">
        <v>39096431</v>
      </c>
      <c r="C56">
        <v>39097216</v>
      </c>
      <c r="D56">
        <v>36883554</v>
      </c>
      <c r="E56">
        <v>1</v>
      </c>
      <c r="F56">
        <v>1</v>
      </c>
      <c r="G56">
        <v>1</v>
      </c>
      <c r="H56">
        <v>2</v>
      </c>
      <c r="I56" t="s">
        <v>679</v>
      </c>
      <c r="J56" t="s">
        <v>680</v>
      </c>
      <c r="K56" t="s">
        <v>681</v>
      </c>
      <c r="L56">
        <v>1368</v>
      </c>
      <c r="N56">
        <v>1011</v>
      </c>
      <c r="O56" t="s">
        <v>666</v>
      </c>
      <c r="P56" t="s">
        <v>666</v>
      </c>
      <c r="Q56">
        <v>1</v>
      </c>
      <c r="W56">
        <v>0</v>
      </c>
      <c r="X56">
        <v>1372534845</v>
      </c>
      <c r="Y56">
        <v>0.05</v>
      </c>
      <c r="AA56">
        <v>0</v>
      </c>
      <c r="AB56">
        <v>440.91</v>
      </c>
      <c r="AC56">
        <v>11.6</v>
      </c>
      <c r="AD56">
        <v>0</v>
      </c>
      <c r="AE56">
        <v>0</v>
      </c>
      <c r="AF56">
        <v>65.709999999999994</v>
      </c>
      <c r="AG56">
        <v>11.6</v>
      </c>
      <c r="AH56">
        <v>0</v>
      </c>
      <c r="AI56">
        <v>1</v>
      </c>
      <c r="AJ56">
        <v>6.71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0.04</v>
      </c>
      <c r="AU56" t="s">
        <v>85</v>
      </c>
      <c r="AV56">
        <v>0</v>
      </c>
      <c r="AW56">
        <v>2</v>
      </c>
      <c r="AX56">
        <v>39097820</v>
      </c>
      <c r="AY56">
        <v>1</v>
      </c>
      <c r="AZ56">
        <v>0</v>
      </c>
      <c r="BA56">
        <v>67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0.16590000000000002</v>
      </c>
      <c r="CY56">
        <f>AB56</f>
        <v>440.91</v>
      </c>
      <c r="CZ56">
        <f>AF56</f>
        <v>65.709999999999994</v>
      </c>
      <c r="DA56">
        <f>AJ56</f>
        <v>6.71</v>
      </c>
      <c r="DB56">
        <v>0</v>
      </c>
    </row>
    <row r="57" spans="1:106" x14ac:dyDescent="0.2">
      <c r="A57">
        <f>ROW(Source!A45)</f>
        <v>45</v>
      </c>
      <c r="B57">
        <v>39096431</v>
      </c>
      <c r="C57">
        <v>39097216</v>
      </c>
      <c r="D57">
        <v>36801792</v>
      </c>
      <c r="E57">
        <v>1</v>
      </c>
      <c r="F57">
        <v>1</v>
      </c>
      <c r="G57">
        <v>1</v>
      </c>
      <c r="H57">
        <v>3</v>
      </c>
      <c r="I57" t="s">
        <v>671</v>
      </c>
      <c r="J57" t="s">
        <v>672</v>
      </c>
      <c r="K57" t="s">
        <v>673</v>
      </c>
      <c r="L57">
        <v>1339</v>
      </c>
      <c r="N57">
        <v>1007</v>
      </c>
      <c r="O57" t="s">
        <v>106</v>
      </c>
      <c r="P57" t="s">
        <v>106</v>
      </c>
      <c r="Q57">
        <v>1</v>
      </c>
      <c r="W57">
        <v>0</v>
      </c>
      <c r="X57">
        <v>-1660354250</v>
      </c>
      <c r="Y57">
        <v>0.17399999999999999</v>
      </c>
      <c r="AA57">
        <v>16.37</v>
      </c>
      <c r="AB57">
        <v>0</v>
      </c>
      <c r="AC57">
        <v>0</v>
      </c>
      <c r="AD57">
        <v>0</v>
      </c>
      <c r="AE57">
        <v>2.44</v>
      </c>
      <c r="AF57">
        <v>0</v>
      </c>
      <c r="AG57">
        <v>0</v>
      </c>
      <c r="AH57">
        <v>0</v>
      </c>
      <c r="AI57">
        <v>6.71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0.17399999999999999</v>
      </c>
      <c r="AU57" t="s">
        <v>3</v>
      </c>
      <c r="AV57">
        <v>0</v>
      </c>
      <c r="AW57">
        <v>2</v>
      </c>
      <c r="AX57">
        <v>39097821</v>
      </c>
      <c r="AY57">
        <v>1</v>
      </c>
      <c r="AZ57">
        <v>0</v>
      </c>
      <c r="BA57">
        <v>68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0.57733199999999996</v>
      </c>
      <c r="CY57">
        <f>AA57</f>
        <v>16.37</v>
      </c>
      <c r="CZ57">
        <f>AE57</f>
        <v>2.44</v>
      </c>
      <c r="DA57">
        <f>AI57</f>
        <v>6.71</v>
      </c>
      <c r="DB57">
        <v>0</v>
      </c>
    </row>
    <row r="58" spans="1:106" x14ac:dyDescent="0.2">
      <c r="A58">
        <f>ROW(Source!A45)</f>
        <v>45</v>
      </c>
      <c r="B58">
        <v>39096431</v>
      </c>
      <c r="C58">
        <v>39097216</v>
      </c>
      <c r="D58">
        <v>36807412</v>
      </c>
      <c r="E58">
        <v>1</v>
      </c>
      <c r="F58">
        <v>1</v>
      </c>
      <c r="G58">
        <v>1</v>
      </c>
      <c r="H58">
        <v>3</v>
      </c>
      <c r="I58" t="s">
        <v>725</v>
      </c>
      <c r="J58" t="s">
        <v>726</v>
      </c>
      <c r="K58" t="s">
        <v>727</v>
      </c>
      <c r="L58">
        <v>1348</v>
      </c>
      <c r="N58">
        <v>1009</v>
      </c>
      <c r="O58" t="s">
        <v>110</v>
      </c>
      <c r="P58" t="s">
        <v>110</v>
      </c>
      <c r="Q58">
        <v>1000</v>
      </c>
      <c r="W58">
        <v>0</v>
      </c>
      <c r="X58">
        <v>-2114578287</v>
      </c>
      <c r="Y58">
        <v>0.9</v>
      </c>
      <c r="AA58">
        <v>76370.33</v>
      </c>
      <c r="AB58">
        <v>0</v>
      </c>
      <c r="AC58">
        <v>0</v>
      </c>
      <c r="AD58">
        <v>0</v>
      </c>
      <c r="AE58">
        <v>11381.57</v>
      </c>
      <c r="AF58">
        <v>0</v>
      </c>
      <c r="AG58">
        <v>0</v>
      </c>
      <c r="AH58">
        <v>0</v>
      </c>
      <c r="AI58">
        <v>6.71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0.9</v>
      </c>
      <c r="AU58" t="s">
        <v>3</v>
      </c>
      <c r="AV58">
        <v>0</v>
      </c>
      <c r="AW58">
        <v>2</v>
      </c>
      <c r="AX58">
        <v>39097822</v>
      </c>
      <c r="AY58">
        <v>1</v>
      </c>
      <c r="AZ58">
        <v>0</v>
      </c>
      <c r="BA58">
        <v>69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2.9862000000000002</v>
      </c>
      <c r="CY58">
        <f>AA58</f>
        <v>76370.33</v>
      </c>
      <c r="CZ58">
        <f>AE58</f>
        <v>11381.57</v>
      </c>
      <c r="DA58">
        <f>AI58</f>
        <v>6.71</v>
      </c>
      <c r="DB58">
        <v>0</v>
      </c>
    </row>
    <row r="59" spans="1:106" x14ac:dyDescent="0.2">
      <c r="A59">
        <f>ROW(Source!A45)</f>
        <v>45</v>
      </c>
      <c r="B59">
        <v>39096431</v>
      </c>
      <c r="C59">
        <v>39097216</v>
      </c>
      <c r="D59">
        <v>36837972</v>
      </c>
      <c r="E59">
        <v>1</v>
      </c>
      <c r="F59">
        <v>1</v>
      </c>
      <c r="G59">
        <v>1</v>
      </c>
      <c r="H59">
        <v>3</v>
      </c>
      <c r="I59" t="s">
        <v>728</v>
      </c>
      <c r="J59" t="s">
        <v>729</v>
      </c>
      <c r="K59" t="s">
        <v>730</v>
      </c>
      <c r="L59">
        <v>1346</v>
      </c>
      <c r="N59">
        <v>1009</v>
      </c>
      <c r="O59" t="s">
        <v>138</v>
      </c>
      <c r="P59" t="s">
        <v>138</v>
      </c>
      <c r="Q59">
        <v>1</v>
      </c>
      <c r="W59">
        <v>0</v>
      </c>
      <c r="X59">
        <v>303141801</v>
      </c>
      <c r="Y59">
        <v>30</v>
      </c>
      <c r="AA59">
        <v>102.33</v>
      </c>
      <c r="AB59">
        <v>0</v>
      </c>
      <c r="AC59">
        <v>0</v>
      </c>
      <c r="AD59">
        <v>0</v>
      </c>
      <c r="AE59">
        <v>15.25</v>
      </c>
      <c r="AF59">
        <v>0</v>
      </c>
      <c r="AG59">
        <v>0</v>
      </c>
      <c r="AH59">
        <v>0</v>
      </c>
      <c r="AI59">
        <v>6.71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30</v>
      </c>
      <c r="AU59" t="s">
        <v>3</v>
      </c>
      <c r="AV59">
        <v>0</v>
      </c>
      <c r="AW59">
        <v>2</v>
      </c>
      <c r="AX59">
        <v>39097823</v>
      </c>
      <c r="AY59">
        <v>1</v>
      </c>
      <c r="AZ59">
        <v>0</v>
      </c>
      <c r="BA59">
        <v>70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99.54</v>
      </c>
      <c r="CY59">
        <f>AA59</f>
        <v>102.33</v>
      </c>
      <c r="CZ59">
        <f>AE59</f>
        <v>15.25</v>
      </c>
      <c r="DA59">
        <f>AI59</f>
        <v>6.71</v>
      </c>
      <c r="DB59">
        <v>0</v>
      </c>
    </row>
    <row r="60" spans="1:106" x14ac:dyDescent="0.2">
      <c r="A60">
        <f>ROW(Source!A46)</f>
        <v>46</v>
      </c>
      <c r="B60">
        <v>39096431</v>
      </c>
      <c r="C60">
        <v>39101106</v>
      </c>
      <c r="D60">
        <v>37065248</v>
      </c>
      <c r="E60">
        <v>1</v>
      </c>
      <c r="F60">
        <v>1</v>
      </c>
      <c r="G60">
        <v>1</v>
      </c>
      <c r="H60">
        <v>1</v>
      </c>
      <c r="I60" t="s">
        <v>669</v>
      </c>
      <c r="J60" t="s">
        <v>3</v>
      </c>
      <c r="K60" t="s">
        <v>670</v>
      </c>
      <c r="L60">
        <v>1191</v>
      </c>
      <c r="N60">
        <v>1013</v>
      </c>
      <c r="O60" t="s">
        <v>660</v>
      </c>
      <c r="P60" t="s">
        <v>660</v>
      </c>
      <c r="Q60">
        <v>1</v>
      </c>
      <c r="W60">
        <v>0</v>
      </c>
      <c r="X60">
        <v>-400197608</v>
      </c>
      <c r="Y60">
        <v>13.914999999999999</v>
      </c>
      <c r="AA60">
        <v>0</v>
      </c>
      <c r="AB60">
        <v>0</v>
      </c>
      <c r="AC60">
        <v>0</v>
      </c>
      <c r="AD60">
        <v>57.24</v>
      </c>
      <c r="AE60">
        <v>0</v>
      </c>
      <c r="AF60">
        <v>0</v>
      </c>
      <c r="AG60">
        <v>0</v>
      </c>
      <c r="AH60">
        <v>8.5299999999999994</v>
      </c>
      <c r="AI60">
        <v>1</v>
      </c>
      <c r="AJ60">
        <v>1</v>
      </c>
      <c r="AK60">
        <v>1</v>
      </c>
      <c r="AL60">
        <v>6.71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2.42</v>
      </c>
      <c r="AU60" t="s">
        <v>123</v>
      </c>
      <c r="AV60">
        <v>1</v>
      </c>
      <c r="AW60">
        <v>2</v>
      </c>
      <c r="AX60">
        <v>39101107</v>
      </c>
      <c r="AY60">
        <v>1</v>
      </c>
      <c r="AZ60">
        <v>0</v>
      </c>
      <c r="BA60">
        <v>71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46.169969999999999</v>
      </c>
      <c r="CY60">
        <f>AD60</f>
        <v>57.24</v>
      </c>
      <c r="CZ60">
        <f>AH60</f>
        <v>8.5299999999999994</v>
      </c>
      <c r="DA60">
        <f>AL60</f>
        <v>6.71</v>
      </c>
      <c r="DB60">
        <v>0</v>
      </c>
    </row>
    <row r="61" spans="1:106" x14ac:dyDescent="0.2">
      <c r="A61">
        <f>ROW(Source!A46)</f>
        <v>46</v>
      </c>
      <c r="B61">
        <v>39096431</v>
      </c>
      <c r="C61">
        <v>39101106</v>
      </c>
      <c r="D61">
        <v>37064876</v>
      </c>
      <c r="E61">
        <v>1</v>
      </c>
      <c r="F61">
        <v>1</v>
      </c>
      <c r="G61">
        <v>1</v>
      </c>
      <c r="H61">
        <v>1</v>
      </c>
      <c r="I61" t="s">
        <v>661</v>
      </c>
      <c r="J61" t="s">
        <v>3</v>
      </c>
      <c r="K61" t="s">
        <v>662</v>
      </c>
      <c r="L61">
        <v>1191</v>
      </c>
      <c r="N61">
        <v>1013</v>
      </c>
      <c r="O61" t="s">
        <v>660</v>
      </c>
      <c r="P61" t="s">
        <v>660</v>
      </c>
      <c r="Q61">
        <v>1</v>
      </c>
      <c r="W61">
        <v>0</v>
      </c>
      <c r="X61">
        <v>-1417349443</v>
      </c>
      <c r="Y61">
        <v>0.03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6.71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0.03</v>
      </c>
      <c r="AU61" t="s">
        <v>3</v>
      </c>
      <c r="AV61">
        <v>2</v>
      </c>
      <c r="AW61">
        <v>2</v>
      </c>
      <c r="AX61">
        <v>39101108</v>
      </c>
      <c r="AY61">
        <v>1</v>
      </c>
      <c r="AZ61">
        <v>2048</v>
      </c>
      <c r="BA61">
        <v>72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9.9540000000000003E-2</v>
      </c>
      <c r="CY61">
        <f>AD61</f>
        <v>0</v>
      </c>
      <c r="CZ61">
        <f>AH61</f>
        <v>0</v>
      </c>
      <c r="DA61">
        <f>AL61</f>
        <v>1</v>
      </c>
      <c r="DB61">
        <v>0</v>
      </c>
    </row>
    <row r="62" spans="1:106" x14ac:dyDescent="0.2">
      <c r="A62">
        <f>ROW(Source!A46)</f>
        <v>46</v>
      </c>
      <c r="B62">
        <v>39096431</v>
      </c>
      <c r="C62">
        <v>39101106</v>
      </c>
      <c r="D62">
        <v>36882448</v>
      </c>
      <c r="E62">
        <v>1</v>
      </c>
      <c r="F62">
        <v>1</v>
      </c>
      <c r="G62">
        <v>1</v>
      </c>
      <c r="H62">
        <v>2</v>
      </c>
      <c r="I62" t="s">
        <v>722</v>
      </c>
      <c r="J62" t="s">
        <v>723</v>
      </c>
      <c r="K62" t="s">
        <v>724</v>
      </c>
      <c r="L62">
        <v>1368</v>
      </c>
      <c r="N62">
        <v>1011</v>
      </c>
      <c r="O62" t="s">
        <v>666</v>
      </c>
      <c r="P62" t="s">
        <v>666</v>
      </c>
      <c r="Q62">
        <v>1</v>
      </c>
      <c r="W62">
        <v>0</v>
      </c>
      <c r="X62">
        <v>368031958</v>
      </c>
      <c r="Y62">
        <v>0.125</v>
      </c>
      <c r="AA62">
        <v>0</v>
      </c>
      <c r="AB62">
        <v>185.6</v>
      </c>
      <c r="AC62">
        <v>11.6</v>
      </c>
      <c r="AD62">
        <v>0</v>
      </c>
      <c r="AE62">
        <v>0</v>
      </c>
      <c r="AF62">
        <v>27.66</v>
      </c>
      <c r="AG62">
        <v>11.6</v>
      </c>
      <c r="AH62">
        <v>0</v>
      </c>
      <c r="AI62">
        <v>1</v>
      </c>
      <c r="AJ62">
        <v>6.71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0.02</v>
      </c>
      <c r="AU62" t="s">
        <v>122</v>
      </c>
      <c r="AV62">
        <v>0</v>
      </c>
      <c r="AW62">
        <v>2</v>
      </c>
      <c r="AX62">
        <v>39101109</v>
      </c>
      <c r="AY62">
        <v>1</v>
      </c>
      <c r="AZ62">
        <v>0</v>
      </c>
      <c r="BA62">
        <v>73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0.41475000000000001</v>
      </c>
      <c r="CY62">
        <f>AB62</f>
        <v>185.6</v>
      </c>
      <c r="CZ62">
        <f>AF62</f>
        <v>27.66</v>
      </c>
      <c r="DA62">
        <f>AJ62</f>
        <v>6.71</v>
      </c>
      <c r="DB62">
        <v>0</v>
      </c>
    </row>
    <row r="63" spans="1:106" x14ac:dyDescent="0.2">
      <c r="A63">
        <f>ROW(Source!A46)</f>
        <v>46</v>
      </c>
      <c r="B63">
        <v>39096431</v>
      </c>
      <c r="C63">
        <v>39101106</v>
      </c>
      <c r="D63">
        <v>36883554</v>
      </c>
      <c r="E63">
        <v>1</v>
      </c>
      <c r="F63">
        <v>1</v>
      </c>
      <c r="G63">
        <v>1</v>
      </c>
      <c r="H63">
        <v>2</v>
      </c>
      <c r="I63" t="s">
        <v>679</v>
      </c>
      <c r="J63" t="s">
        <v>680</v>
      </c>
      <c r="K63" t="s">
        <v>681</v>
      </c>
      <c r="L63">
        <v>1368</v>
      </c>
      <c r="N63">
        <v>1011</v>
      </c>
      <c r="O63" t="s">
        <v>666</v>
      </c>
      <c r="P63" t="s">
        <v>666</v>
      </c>
      <c r="Q63">
        <v>1</v>
      </c>
      <c r="W63">
        <v>0</v>
      </c>
      <c r="X63">
        <v>1372534845</v>
      </c>
      <c r="Y63">
        <v>6.25E-2</v>
      </c>
      <c r="AA63">
        <v>0</v>
      </c>
      <c r="AB63">
        <v>440.91</v>
      </c>
      <c r="AC63">
        <v>11.6</v>
      </c>
      <c r="AD63">
        <v>0</v>
      </c>
      <c r="AE63">
        <v>0</v>
      </c>
      <c r="AF63">
        <v>65.709999999999994</v>
      </c>
      <c r="AG63">
        <v>11.6</v>
      </c>
      <c r="AH63">
        <v>0</v>
      </c>
      <c r="AI63">
        <v>1</v>
      </c>
      <c r="AJ63">
        <v>6.71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0.01</v>
      </c>
      <c r="AU63" t="s">
        <v>122</v>
      </c>
      <c r="AV63">
        <v>0</v>
      </c>
      <c r="AW63">
        <v>2</v>
      </c>
      <c r="AX63">
        <v>39101110</v>
      </c>
      <c r="AY63">
        <v>1</v>
      </c>
      <c r="AZ63">
        <v>0</v>
      </c>
      <c r="BA63">
        <v>74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0.207375</v>
      </c>
      <c r="CY63">
        <f>AB63</f>
        <v>440.91</v>
      </c>
      <c r="CZ63">
        <f>AF63</f>
        <v>65.709999999999994</v>
      </c>
      <c r="DA63">
        <f>AJ63</f>
        <v>6.71</v>
      </c>
      <c r="DB63">
        <v>0</v>
      </c>
    </row>
    <row r="64" spans="1:106" x14ac:dyDescent="0.2">
      <c r="A64">
        <f>ROW(Source!A46)</f>
        <v>46</v>
      </c>
      <c r="B64">
        <v>39096431</v>
      </c>
      <c r="C64">
        <v>39101106</v>
      </c>
      <c r="D64">
        <v>36801792</v>
      </c>
      <c r="E64">
        <v>1</v>
      </c>
      <c r="F64">
        <v>1</v>
      </c>
      <c r="G64">
        <v>1</v>
      </c>
      <c r="H64">
        <v>3</v>
      </c>
      <c r="I64" t="s">
        <v>671</v>
      </c>
      <c r="J64" t="s">
        <v>672</v>
      </c>
      <c r="K64" t="s">
        <v>673</v>
      </c>
      <c r="L64">
        <v>1339</v>
      </c>
      <c r="N64">
        <v>1007</v>
      </c>
      <c r="O64" t="s">
        <v>106</v>
      </c>
      <c r="P64" t="s">
        <v>106</v>
      </c>
      <c r="Q64">
        <v>1</v>
      </c>
      <c r="W64">
        <v>0</v>
      </c>
      <c r="X64">
        <v>-1660354250</v>
      </c>
      <c r="Y64">
        <v>0.15</v>
      </c>
      <c r="AA64">
        <v>16.37</v>
      </c>
      <c r="AB64">
        <v>0</v>
      </c>
      <c r="AC64">
        <v>0</v>
      </c>
      <c r="AD64">
        <v>0</v>
      </c>
      <c r="AE64">
        <v>2.44</v>
      </c>
      <c r="AF64">
        <v>0</v>
      </c>
      <c r="AG64">
        <v>0</v>
      </c>
      <c r="AH64">
        <v>0</v>
      </c>
      <c r="AI64">
        <v>6.71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0.03</v>
      </c>
      <c r="AU64" t="s">
        <v>121</v>
      </c>
      <c r="AV64">
        <v>0</v>
      </c>
      <c r="AW64">
        <v>2</v>
      </c>
      <c r="AX64">
        <v>39101111</v>
      </c>
      <c r="AY64">
        <v>1</v>
      </c>
      <c r="AZ64">
        <v>0</v>
      </c>
      <c r="BA64">
        <v>75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0.49769999999999998</v>
      </c>
      <c r="CY64">
        <f>AA64</f>
        <v>16.37</v>
      </c>
      <c r="CZ64">
        <f>AE64</f>
        <v>2.44</v>
      </c>
      <c r="DA64">
        <f>AI64</f>
        <v>6.71</v>
      </c>
      <c r="DB64">
        <v>0</v>
      </c>
    </row>
    <row r="65" spans="1:106" x14ac:dyDescent="0.2">
      <c r="A65">
        <f>ROW(Source!A46)</f>
        <v>46</v>
      </c>
      <c r="B65">
        <v>39096431</v>
      </c>
      <c r="C65">
        <v>39101106</v>
      </c>
      <c r="D65">
        <v>36807412</v>
      </c>
      <c r="E65">
        <v>1</v>
      </c>
      <c r="F65">
        <v>1</v>
      </c>
      <c r="G65">
        <v>1</v>
      </c>
      <c r="H65">
        <v>3</v>
      </c>
      <c r="I65" t="s">
        <v>725</v>
      </c>
      <c r="J65" t="s">
        <v>726</v>
      </c>
      <c r="K65" t="s">
        <v>727</v>
      </c>
      <c r="L65">
        <v>1348</v>
      </c>
      <c r="N65">
        <v>1009</v>
      </c>
      <c r="O65" t="s">
        <v>110</v>
      </c>
      <c r="P65" t="s">
        <v>110</v>
      </c>
      <c r="Q65">
        <v>1000</v>
      </c>
      <c r="W65">
        <v>0</v>
      </c>
      <c r="X65">
        <v>-2114578287</v>
      </c>
      <c r="Y65">
        <v>0.89999999999999991</v>
      </c>
      <c r="AA65">
        <v>76370.33</v>
      </c>
      <c r="AB65">
        <v>0</v>
      </c>
      <c r="AC65">
        <v>0</v>
      </c>
      <c r="AD65">
        <v>0</v>
      </c>
      <c r="AE65">
        <v>11381.57</v>
      </c>
      <c r="AF65">
        <v>0</v>
      </c>
      <c r="AG65">
        <v>0</v>
      </c>
      <c r="AH65">
        <v>0</v>
      </c>
      <c r="AI65">
        <v>6.71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0.18</v>
      </c>
      <c r="AU65" t="s">
        <v>121</v>
      </c>
      <c r="AV65">
        <v>0</v>
      </c>
      <c r="AW65">
        <v>2</v>
      </c>
      <c r="AX65">
        <v>39101112</v>
      </c>
      <c r="AY65">
        <v>1</v>
      </c>
      <c r="AZ65">
        <v>0</v>
      </c>
      <c r="BA65">
        <v>76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2.9861999999999997</v>
      </c>
      <c r="CY65">
        <f>AA65</f>
        <v>76370.33</v>
      </c>
      <c r="CZ65">
        <f>AE65</f>
        <v>11381.57</v>
      </c>
      <c r="DA65">
        <f>AI65</f>
        <v>6.71</v>
      </c>
      <c r="DB65">
        <v>0</v>
      </c>
    </row>
    <row r="66" spans="1:106" x14ac:dyDescent="0.2">
      <c r="A66">
        <f>ROW(Source!A47)</f>
        <v>47</v>
      </c>
      <c r="B66">
        <v>39096431</v>
      </c>
      <c r="C66">
        <v>39097262</v>
      </c>
      <c r="D66">
        <v>37066837</v>
      </c>
      <c r="E66">
        <v>1</v>
      </c>
      <c r="F66">
        <v>1</v>
      </c>
      <c r="G66">
        <v>1</v>
      </c>
      <c r="H66">
        <v>1</v>
      </c>
      <c r="I66" t="s">
        <v>731</v>
      </c>
      <c r="J66" t="s">
        <v>3</v>
      </c>
      <c r="K66" t="s">
        <v>732</v>
      </c>
      <c r="L66">
        <v>1191</v>
      </c>
      <c r="N66">
        <v>1013</v>
      </c>
      <c r="O66" t="s">
        <v>660</v>
      </c>
      <c r="P66" t="s">
        <v>660</v>
      </c>
      <c r="Q66">
        <v>1</v>
      </c>
      <c r="W66">
        <v>0</v>
      </c>
      <c r="X66">
        <v>1850719656</v>
      </c>
      <c r="Y66">
        <v>48.76</v>
      </c>
      <c r="AA66">
        <v>0</v>
      </c>
      <c r="AB66">
        <v>0</v>
      </c>
      <c r="AC66">
        <v>0</v>
      </c>
      <c r="AD66">
        <v>55.76</v>
      </c>
      <c r="AE66">
        <v>0</v>
      </c>
      <c r="AF66">
        <v>0</v>
      </c>
      <c r="AG66">
        <v>0</v>
      </c>
      <c r="AH66">
        <v>8.31</v>
      </c>
      <c r="AI66">
        <v>1</v>
      </c>
      <c r="AJ66">
        <v>1</v>
      </c>
      <c r="AK66">
        <v>1</v>
      </c>
      <c r="AL66">
        <v>6.71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42.4</v>
      </c>
      <c r="AU66" t="s">
        <v>86</v>
      </c>
      <c r="AV66">
        <v>1</v>
      </c>
      <c r="AW66">
        <v>2</v>
      </c>
      <c r="AX66">
        <v>39097272</v>
      </c>
      <c r="AY66">
        <v>1</v>
      </c>
      <c r="AZ66">
        <v>0</v>
      </c>
      <c r="BA66">
        <v>77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Y66*Source!I47</f>
        <v>161.78567999999999</v>
      </c>
      <c r="CY66">
        <f>AD66</f>
        <v>55.76</v>
      </c>
      <c r="CZ66">
        <f>AH66</f>
        <v>8.31</v>
      </c>
      <c r="DA66">
        <f>AL66</f>
        <v>6.71</v>
      </c>
      <c r="DB66">
        <v>0</v>
      </c>
    </row>
    <row r="67" spans="1:106" x14ac:dyDescent="0.2">
      <c r="A67">
        <f>ROW(Source!A47)</f>
        <v>47</v>
      </c>
      <c r="B67">
        <v>39096431</v>
      </c>
      <c r="C67">
        <v>39097262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661</v>
      </c>
      <c r="J67" t="s">
        <v>3</v>
      </c>
      <c r="K67" t="s">
        <v>662</v>
      </c>
      <c r="L67">
        <v>1191</v>
      </c>
      <c r="N67">
        <v>1013</v>
      </c>
      <c r="O67" t="s">
        <v>660</v>
      </c>
      <c r="P67" t="s">
        <v>660</v>
      </c>
      <c r="Q67">
        <v>1</v>
      </c>
      <c r="W67">
        <v>0</v>
      </c>
      <c r="X67">
        <v>-1417349443</v>
      </c>
      <c r="Y67">
        <v>0.85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6.71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0.85</v>
      </c>
      <c r="AU67" t="s">
        <v>3</v>
      </c>
      <c r="AV67">
        <v>2</v>
      </c>
      <c r="AW67">
        <v>2</v>
      </c>
      <c r="AX67">
        <v>39097273</v>
      </c>
      <c r="AY67">
        <v>1</v>
      </c>
      <c r="AZ67">
        <v>2048</v>
      </c>
      <c r="BA67">
        <v>78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Y67*Source!I47</f>
        <v>2.8203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ROW(Source!A47)</f>
        <v>47</v>
      </c>
      <c r="B68">
        <v>39096431</v>
      </c>
      <c r="C68">
        <v>39097262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663</v>
      </c>
      <c r="J68" t="s">
        <v>664</v>
      </c>
      <c r="K68" t="s">
        <v>665</v>
      </c>
      <c r="L68">
        <v>1368</v>
      </c>
      <c r="N68">
        <v>1011</v>
      </c>
      <c r="O68" t="s">
        <v>666</v>
      </c>
      <c r="P68" t="s">
        <v>666</v>
      </c>
      <c r="Q68">
        <v>1</v>
      </c>
      <c r="W68">
        <v>0</v>
      </c>
      <c r="X68">
        <v>1188625873</v>
      </c>
      <c r="Y68">
        <v>0.4375</v>
      </c>
      <c r="AA68">
        <v>0</v>
      </c>
      <c r="AB68">
        <v>209.75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6.71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0.35</v>
      </c>
      <c r="AU68" t="s">
        <v>85</v>
      </c>
      <c r="AV68">
        <v>0</v>
      </c>
      <c r="AW68">
        <v>2</v>
      </c>
      <c r="AX68">
        <v>39097274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Y68*Source!I47</f>
        <v>1.4516249999999999</v>
      </c>
      <c r="CY68">
        <f>AB68</f>
        <v>209.75</v>
      </c>
      <c r="CZ68">
        <f>AF68</f>
        <v>31.26</v>
      </c>
      <c r="DA68">
        <f>AJ68</f>
        <v>6.71</v>
      </c>
      <c r="DB68">
        <v>0</v>
      </c>
    </row>
    <row r="69" spans="1:106" x14ac:dyDescent="0.2">
      <c r="A69">
        <f>ROW(Source!A47)</f>
        <v>47</v>
      </c>
      <c r="B69">
        <v>39096431</v>
      </c>
      <c r="C69">
        <v>39097262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679</v>
      </c>
      <c r="J69" t="s">
        <v>680</v>
      </c>
      <c r="K69" t="s">
        <v>681</v>
      </c>
      <c r="L69">
        <v>1368</v>
      </c>
      <c r="N69">
        <v>1011</v>
      </c>
      <c r="O69" t="s">
        <v>666</v>
      </c>
      <c r="P69" t="s">
        <v>666</v>
      </c>
      <c r="Q69">
        <v>1</v>
      </c>
      <c r="W69">
        <v>0</v>
      </c>
      <c r="X69">
        <v>1372534845</v>
      </c>
      <c r="Y69">
        <v>0.625</v>
      </c>
      <c r="AA69">
        <v>0</v>
      </c>
      <c r="AB69">
        <v>440.91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6.71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0.5</v>
      </c>
      <c r="AU69" t="s">
        <v>85</v>
      </c>
      <c r="AV69">
        <v>0</v>
      </c>
      <c r="AW69">
        <v>2</v>
      </c>
      <c r="AX69">
        <v>39097275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Y69*Source!I47</f>
        <v>2.07375</v>
      </c>
      <c r="CY69">
        <f>AB69</f>
        <v>440.91</v>
      </c>
      <c r="CZ69">
        <f>AF69</f>
        <v>65.709999999999994</v>
      </c>
      <c r="DA69">
        <f>AJ69</f>
        <v>6.71</v>
      </c>
      <c r="DB69">
        <v>0</v>
      </c>
    </row>
    <row r="70" spans="1:106" x14ac:dyDescent="0.2">
      <c r="A70">
        <f>ROW(Source!A47)</f>
        <v>47</v>
      </c>
      <c r="B70">
        <v>39096431</v>
      </c>
      <c r="C70">
        <v>39097262</v>
      </c>
      <c r="D70">
        <v>36797243</v>
      </c>
      <c r="E70">
        <v>17</v>
      </c>
      <c r="F70">
        <v>1</v>
      </c>
      <c r="G70">
        <v>1</v>
      </c>
      <c r="H70">
        <v>3</v>
      </c>
      <c r="I70" t="s">
        <v>129</v>
      </c>
      <c r="J70" t="s">
        <v>3</v>
      </c>
      <c r="K70" t="s">
        <v>130</v>
      </c>
      <c r="L70">
        <v>1327</v>
      </c>
      <c r="N70">
        <v>1005</v>
      </c>
      <c r="O70" t="s">
        <v>83</v>
      </c>
      <c r="P70" t="s">
        <v>83</v>
      </c>
      <c r="Q70">
        <v>1</v>
      </c>
      <c r="W70">
        <v>0</v>
      </c>
      <c r="X70">
        <v>-919469713</v>
      </c>
      <c r="Y70">
        <v>102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6.71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102</v>
      </c>
      <c r="AU70" t="s">
        <v>3</v>
      </c>
      <c r="AV70">
        <v>0</v>
      </c>
      <c r="AW70">
        <v>2</v>
      </c>
      <c r="AX70">
        <v>39097276</v>
      </c>
      <c r="AY70">
        <v>1</v>
      </c>
      <c r="AZ70">
        <v>0</v>
      </c>
      <c r="BA70">
        <v>81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Y70*Source!I47</f>
        <v>338.43599999999998</v>
      </c>
      <c r="CY70">
        <f>AA70</f>
        <v>0</v>
      </c>
      <c r="CZ70">
        <f>AE70</f>
        <v>0</v>
      </c>
      <c r="DA70">
        <f>AI70</f>
        <v>6.71</v>
      </c>
      <c r="DB70">
        <v>0</v>
      </c>
    </row>
    <row r="71" spans="1:106" x14ac:dyDescent="0.2">
      <c r="A71">
        <f>ROW(Source!A47)</f>
        <v>47</v>
      </c>
      <c r="B71">
        <v>39096431</v>
      </c>
      <c r="C71">
        <v>39097262</v>
      </c>
      <c r="D71">
        <v>36801524</v>
      </c>
      <c r="E71">
        <v>1</v>
      </c>
      <c r="F71">
        <v>1</v>
      </c>
      <c r="G71">
        <v>1</v>
      </c>
      <c r="H71">
        <v>3</v>
      </c>
      <c r="I71" t="s">
        <v>132</v>
      </c>
      <c r="J71" t="s">
        <v>134</v>
      </c>
      <c r="K71" t="s">
        <v>133</v>
      </c>
      <c r="L71">
        <v>1327</v>
      </c>
      <c r="N71">
        <v>1005</v>
      </c>
      <c r="O71" t="s">
        <v>83</v>
      </c>
      <c r="P71" t="s">
        <v>83</v>
      </c>
      <c r="Q71">
        <v>1</v>
      </c>
      <c r="W71">
        <v>0</v>
      </c>
      <c r="X71">
        <v>1392042579</v>
      </c>
      <c r="Y71">
        <v>102</v>
      </c>
      <c r="AA71">
        <v>520.03</v>
      </c>
      <c r="AB71">
        <v>0</v>
      </c>
      <c r="AC71">
        <v>0</v>
      </c>
      <c r="AD71">
        <v>0</v>
      </c>
      <c r="AE71">
        <v>77.5</v>
      </c>
      <c r="AF71">
        <v>0</v>
      </c>
      <c r="AG71">
        <v>0</v>
      </c>
      <c r="AH71">
        <v>0</v>
      </c>
      <c r="AI71">
        <v>6.71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102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Y71*Source!I47</f>
        <v>338.43599999999998</v>
      </c>
      <c r="CY71">
        <f>AA71</f>
        <v>520.03</v>
      </c>
      <c r="CZ71">
        <f>AE71</f>
        <v>77.5</v>
      </c>
      <c r="DA71">
        <f>AI71</f>
        <v>6.71</v>
      </c>
      <c r="DB71">
        <v>0</v>
      </c>
    </row>
    <row r="72" spans="1:106" x14ac:dyDescent="0.2">
      <c r="A72">
        <f>ROW(Source!A47)</f>
        <v>47</v>
      </c>
      <c r="B72">
        <v>39096431</v>
      </c>
      <c r="C72">
        <v>39097262</v>
      </c>
      <c r="D72">
        <v>36805524</v>
      </c>
      <c r="E72">
        <v>1</v>
      </c>
      <c r="F72">
        <v>1</v>
      </c>
      <c r="G72">
        <v>1</v>
      </c>
      <c r="H72">
        <v>3</v>
      </c>
      <c r="I72" t="s">
        <v>688</v>
      </c>
      <c r="J72" t="s">
        <v>689</v>
      </c>
      <c r="K72" t="s">
        <v>690</v>
      </c>
      <c r="L72">
        <v>1346</v>
      </c>
      <c r="N72">
        <v>1009</v>
      </c>
      <c r="O72" t="s">
        <v>138</v>
      </c>
      <c r="P72" t="s">
        <v>138</v>
      </c>
      <c r="Q72">
        <v>1</v>
      </c>
      <c r="W72">
        <v>0</v>
      </c>
      <c r="X72">
        <v>813963326</v>
      </c>
      <c r="Y72">
        <v>0.5</v>
      </c>
      <c r="AA72">
        <v>12.21</v>
      </c>
      <c r="AB72">
        <v>0</v>
      </c>
      <c r="AC72">
        <v>0</v>
      </c>
      <c r="AD72">
        <v>0</v>
      </c>
      <c r="AE72">
        <v>1.82</v>
      </c>
      <c r="AF72">
        <v>0</v>
      </c>
      <c r="AG72">
        <v>0</v>
      </c>
      <c r="AH72">
        <v>0</v>
      </c>
      <c r="AI72">
        <v>6.71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0.5</v>
      </c>
      <c r="AU72" t="s">
        <v>3</v>
      </c>
      <c r="AV72">
        <v>0</v>
      </c>
      <c r="AW72">
        <v>2</v>
      </c>
      <c r="AX72">
        <v>39097277</v>
      </c>
      <c r="AY72">
        <v>1</v>
      </c>
      <c r="AZ72">
        <v>0</v>
      </c>
      <c r="BA72">
        <v>82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Y72*Source!I47</f>
        <v>1.659</v>
      </c>
      <c r="CY72">
        <f>AA72</f>
        <v>12.21</v>
      </c>
      <c r="CZ72">
        <f>AE72</f>
        <v>1.82</v>
      </c>
      <c r="DA72">
        <f>AI72</f>
        <v>6.71</v>
      </c>
      <c r="DB72">
        <v>0</v>
      </c>
    </row>
    <row r="73" spans="1:106" x14ac:dyDescent="0.2">
      <c r="A73">
        <f>ROW(Source!A47)</f>
        <v>47</v>
      </c>
      <c r="B73">
        <v>39096431</v>
      </c>
      <c r="C73">
        <v>39097262</v>
      </c>
      <c r="D73">
        <v>36836950</v>
      </c>
      <c r="E73">
        <v>1</v>
      </c>
      <c r="F73">
        <v>1</v>
      </c>
      <c r="G73">
        <v>1</v>
      </c>
      <c r="H73">
        <v>3</v>
      </c>
      <c r="I73" t="s">
        <v>140</v>
      </c>
      <c r="J73" t="s">
        <v>142</v>
      </c>
      <c r="K73" t="s">
        <v>141</v>
      </c>
      <c r="L73">
        <v>1346</v>
      </c>
      <c r="N73">
        <v>1009</v>
      </c>
      <c r="O73" t="s">
        <v>138</v>
      </c>
      <c r="P73" t="s">
        <v>138</v>
      </c>
      <c r="Q73">
        <v>1</v>
      </c>
      <c r="W73">
        <v>0</v>
      </c>
      <c r="X73">
        <v>1104462431</v>
      </c>
      <c r="Y73">
        <v>50</v>
      </c>
      <c r="AA73">
        <v>106.69</v>
      </c>
      <c r="AB73">
        <v>0</v>
      </c>
      <c r="AC73">
        <v>0</v>
      </c>
      <c r="AD73">
        <v>0</v>
      </c>
      <c r="AE73">
        <v>15.9</v>
      </c>
      <c r="AF73">
        <v>0</v>
      </c>
      <c r="AG73">
        <v>0</v>
      </c>
      <c r="AH73">
        <v>0</v>
      </c>
      <c r="AI73">
        <v>6.71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3</v>
      </c>
      <c r="AT73">
        <v>50</v>
      </c>
      <c r="AU73" t="s">
        <v>3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Y73*Source!I47</f>
        <v>165.9</v>
      </c>
      <c r="CY73">
        <f>AA73</f>
        <v>106.69</v>
      </c>
      <c r="CZ73">
        <f>AE73</f>
        <v>15.9</v>
      </c>
      <c r="DA73">
        <f>AI73</f>
        <v>6.71</v>
      </c>
      <c r="DB73">
        <v>0</v>
      </c>
    </row>
    <row r="74" spans="1:106" x14ac:dyDescent="0.2">
      <c r="A74">
        <f>ROW(Source!A47)</f>
        <v>47</v>
      </c>
      <c r="B74">
        <v>39096431</v>
      </c>
      <c r="C74">
        <v>39097262</v>
      </c>
      <c r="D74">
        <v>36796764</v>
      </c>
      <c r="E74">
        <v>17</v>
      </c>
      <c r="F74">
        <v>1</v>
      </c>
      <c r="G74">
        <v>1</v>
      </c>
      <c r="H74">
        <v>3</v>
      </c>
      <c r="I74" t="s">
        <v>136</v>
      </c>
      <c r="J74" t="s">
        <v>3</v>
      </c>
      <c r="K74" t="s">
        <v>137</v>
      </c>
      <c r="L74">
        <v>1346</v>
      </c>
      <c r="N74">
        <v>1009</v>
      </c>
      <c r="O74" t="s">
        <v>138</v>
      </c>
      <c r="P74" t="s">
        <v>138</v>
      </c>
      <c r="Q74">
        <v>1</v>
      </c>
      <c r="W74">
        <v>0</v>
      </c>
      <c r="X74">
        <v>290394019</v>
      </c>
      <c r="Y74">
        <v>50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6.71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50</v>
      </c>
      <c r="AU74" t="s">
        <v>3</v>
      </c>
      <c r="AV74">
        <v>0</v>
      </c>
      <c r="AW74">
        <v>2</v>
      </c>
      <c r="AX74">
        <v>39097278</v>
      </c>
      <c r="AY74">
        <v>1</v>
      </c>
      <c r="AZ74">
        <v>0</v>
      </c>
      <c r="BA74">
        <v>83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Y74*Source!I47</f>
        <v>165.9</v>
      </c>
      <c r="CY74">
        <f>AA74</f>
        <v>0</v>
      </c>
      <c r="CZ74">
        <f>AE74</f>
        <v>0</v>
      </c>
      <c r="DA74">
        <f>AI74</f>
        <v>6.71</v>
      </c>
      <c r="DB74">
        <v>0</v>
      </c>
    </row>
    <row r="75" spans="1:106" x14ac:dyDescent="0.2">
      <c r="A75">
        <f>ROW(Source!A52)</f>
        <v>52</v>
      </c>
      <c r="B75">
        <v>39096431</v>
      </c>
      <c r="C75">
        <v>39097283</v>
      </c>
      <c r="D75">
        <v>37072767</v>
      </c>
      <c r="E75">
        <v>1</v>
      </c>
      <c r="F75">
        <v>1</v>
      </c>
      <c r="G75">
        <v>1</v>
      </c>
      <c r="H75">
        <v>1</v>
      </c>
      <c r="I75" t="s">
        <v>733</v>
      </c>
      <c r="J75" t="s">
        <v>3</v>
      </c>
      <c r="K75" t="s">
        <v>734</v>
      </c>
      <c r="L75">
        <v>1191</v>
      </c>
      <c r="N75">
        <v>1013</v>
      </c>
      <c r="O75" t="s">
        <v>660</v>
      </c>
      <c r="P75" t="s">
        <v>660</v>
      </c>
      <c r="Q75">
        <v>1</v>
      </c>
      <c r="W75">
        <v>0</v>
      </c>
      <c r="X75">
        <v>-1027537862</v>
      </c>
      <c r="Y75">
        <v>7.6819999999999995</v>
      </c>
      <c r="AA75">
        <v>0</v>
      </c>
      <c r="AB75">
        <v>0</v>
      </c>
      <c r="AC75">
        <v>0</v>
      </c>
      <c r="AD75">
        <v>61.6</v>
      </c>
      <c r="AE75">
        <v>0</v>
      </c>
      <c r="AF75">
        <v>0</v>
      </c>
      <c r="AG75">
        <v>0</v>
      </c>
      <c r="AH75">
        <v>9.18</v>
      </c>
      <c r="AI75">
        <v>1</v>
      </c>
      <c r="AJ75">
        <v>1</v>
      </c>
      <c r="AK75">
        <v>1</v>
      </c>
      <c r="AL75">
        <v>6.71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6.68</v>
      </c>
      <c r="AU75" t="s">
        <v>86</v>
      </c>
      <c r="AV75">
        <v>1</v>
      </c>
      <c r="AW75">
        <v>2</v>
      </c>
      <c r="AX75">
        <v>39097302</v>
      </c>
      <c r="AY75">
        <v>1</v>
      </c>
      <c r="AZ75">
        <v>0</v>
      </c>
      <c r="BA75">
        <v>84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14.7094936</v>
      </c>
      <c r="CY75">
        <f>AD75</f>
        <v>61.6</v>
      </c>
      <c r="CZ75">
        <f>AH75</f>
        <v>9.18</v>
      </c>
      <c r="DA75">
        <f>AL75</f>
        <v>6.71</v>
      </c>
      <c r="DB75">
        <v>0</v>
      </c>
    </row>
    <row r="76" spans="1:106" x14ac:dyDescent="0.2">
      <c r="A76">
        <f>ROW(Source!A52)</f>
        <v>52</v>
      </c>
      <c r="B76">
        <v>39096431</v>
      </c>
      <c r="C76">
        <v>39097283</v>
      </c>
      <c r="D76">
        <v>37064876</v>
      </c>
      <c r="E76">
        <v>1</v>
      </c>
      <c r="F76">
        <v>1</v>
      </c>
      <c r="G76">
        <v>1</v>
      </c>
      <c r="H76">
        <v>1</v>
      </c>
      <c r="I76" t="s">
        <v>661</v>
      </c>
      <c r="J76" t="s">
        <v>3</v>
      </c>
      <c r="K76" t="s">
        <v>662</v>
      </c>
      <c r="L76">
        <v>1191</v>
      </c>
      <c r="N76">
        <v>1013</v>
      </c>
      <c r="O76" t="s">
        <v>660</v>
      </c>
      <c r="P76" t="s">
        <v>660</v>
      </c>
      <c r="Q76">
        <v>1</v>
      </c>
      <c r="W76">
        <v>0</v>
      </c>
      <c r="X76">
        <v>-1417349443</v>
      </c>
      <c r="Y76">
        <v>0.04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6.71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0.04</v>
      </c>
      <c r="AU76" t="s">
        <v>3</v>
      </c>
      <c r="AV76">
        <v>2</v>
      </c>
      <c r="AW76">
        <v>2</v>
      </c>
      <c r="AX76">
        <v>39097303</v>
      </c>
      <c r="AY76">
        <v>1</v>
      </c>
      <c r="AZ76">
        <v>2048</v>
      </c>
      <c r="BA76">
        <v>85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Y76*Source!I52</f>
        <v>7.6592000000000007E-2</v>
      </c>
      <c r="CY76">
        <f>AD76</f>
        <v>0</v>
      </c>
      <c r="CZ76">
        <f>AH76</f>
        <v>0</v>
      </c>
      <c r="DA76">
        <f>AL76</f>
        <v>1</v>
      </c>
      <c r="DB76">
        <v>0</v>
      </c>
    </row>
    <row r="77" spans="1:106" x14ac:dyDescent="0.2">
      <c r="A77">
        <f>ROW(Source!A52)</f>
        <v>52</v>
      </c>
      <c r="B77">
        <v>39096431</v>
      </c>
      <c r="C77">
        <v>39097283</v>
      </c>
      <c r="D77">
        <v>36882452</v>
      </c>
      <c r="E77">
        <v>1</v>
      </c>
      <c r="F77">
        <v>1</v>
      </c>
      <c r="G77">
        <v>1</v>
      </c>
      <c r="H77">
        <v>2</v>
      </c>
      <c r="I77" t="s">
        <v>663</v>
      </c>
      <c r="J77" t="s">
        <v>664</v>
      </c>
      <c r="K77" t="s">
        <v>665</v>
      </c>
      <c r="L77">
        <v>1368</v>
      </c>
      <c r="N77">
        <v>1011</v>
      </c>
      <c r="O77" t="s">
        <v>666</v>
      </c>
      <c r="P77" t="s">
        <v>666</v>
      </c>
      <c r="Q77">
        <v>1</v>
      </c>
      <c r="W77">
        <v>0</v>
      </c>
      <c r="X77">
        <v>1188625873</v>
      </c>
      <c r="Y77">
        <v>6.2500000000000003E-3</v>
      </c>
      <c r="AA77">
        <v>0</v>
      </c>
      <c r="AB77">
        <v>209.75</v>
      </c>
      <c r="AC77">
        <v>13.5</v>
      </c>
      <c r="AD77">
        <v>0</v>
      </c>
      <c r="AE77">
        <v>0</v>
      </c>
      <c r="AF77">
        <v>31.26</v>
      </c>
      <c r="AG77">
        <v>13.5</v>
      </c>
      <c r="AH77">
        <v>0</v>
      </c>
      <c r="AI77">
        <v>1</v>
      </c>
      <c r="AJ77">
        <v>6.71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5.0000000000000001E-3</v>
      </c>
      <c r="AU77" t="s">
        <v>85</v>
      </c>
      <c r="AV77">
        <v>0</v>
      </c>
      <c r="AW77">
        <v>2</v>
      </c>
      <c r="AX77">
        <v>39097304</v>
      </c>
      <c r="AY77">
        <v>1</v>
      </c>
      <c r="AZ77">
        <v>0</v>
      </c>
      <c r="BA77">
        <v>86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Y77*Source!I52</f>
        <v>1.1967500000000001E-2</v>
      </c>
      <c r="CY77">
        <f>AB77</f>
        <v>209.75</v>
      </c>
      <c r="CZ77">
        <f>AF77</f>
        <v>31.26</v>
      </c>
      <c r="DA77">
        <f>AJ77</f>
        <v>6.71</v>
      </c>
      <c r="DB77">
        <v>0</v>
      </c>
    </row>
    <row r="78" spans="1:106" x14ac:dyDescent="0.2">
      <c r="A78">
        <f>ROW(Source!A52)</f>
        <v>52</v>
      </c>
      <c r="B78">
        <v>39096431</v>
      </c>
      <c r="C78">
        <v>39097283</v>
      </c>
      <c r="D78">
        <v>36883554</v>
      </c>
      <c r="E78">
        <v>1</v>
      </c>
      <c r="F78">
        <v>1</v>
      </c>
      <c r="G78">
        <v>1</v>
      </c>
      <c r="H78">
        <v>2</v>
      </c>
      <c r="I78" t="s">
        <v>679</v>
      </c>
      <c r="J78" t="s">
        <v>680</v>
      </c>
      <c r="K78" t="s">
        <v>681</v>
      </c>
      <c r="L78">
        <v>1368</v>
      </c>
      <c r="N78">
        <v>1011</v>
      </c>
      <c r="O78" t="s">
        <v>666</v>
      </c>
      <c r="P78" t="s">
        <v>666</v>
      </c>
      <c r="Q78">
        <v>1</v>
      </c>
      <c r="W78">
        <v>0</v>
      </c>
      <c r="X78">
        <v>1372534845</v>
      </c>
      <c r="Y78">
        <v>3.7499999999999999E-2</v>
      </c>
      <c r="AA78">
        <v>0</v>
      </c>
      <c r="AB78">
        <v>440.91</v>
      </c>
      <c r="AC78">
        <v>11.6</v>
      </c>
      <c r="AD78">
        <v>0</v>
      </c>
      <c r="AE78">
        <v>0</v>
      </c>
      <c r="AF78">
        <v>65.709999999999994</v>
      </c>
      <c r="AG78">
        <v>11.6</v>
      </c>
      <c r="AH78">
        <v>0</v>
      </c>
      <c r="AI78">
        <v>1</v>
      </c>
      <c r="AJ78">
        <v>6.71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0.03</v>
      </c>
      <c r="AU78" t="s">
        <v>85</v>
      </c>
      <c r="AV78">
        <v>0</v>
      </c>
      <c r="AW78">
        <v>2</v>
      </c>
      <c r="AX78">
        <v>39097305</v>
      </c>
      <c r="AY78">
        <v>1</v>
      </c>
      <c r="AZ78">
        <v>0</v>
      </c>
      <c r="BA78">
        <v>87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Y78*Source!I52</f>
        <v>7.1804999999999994E-2</v>
      </c>
      <c r="CY78">
        <f>AB78</f>
        <v>440.91</v>
      </c>
      <c r="CZ78">
        <f>AF78</f>
        <v>65.709999999999994</v>
      </c>
      <c r="DA78">
        <f>AJ78</f>
        <v>6.71</v>
      </c>
      <c r="DB78">
        <v>0</v>
      </c>
    </row>
    <row r="79" spans="1:106" x14ac:dyDescent="0.2">
      <c r="A79">
        <f>ROW(Source!A52)</f>
        <v>52</v>
      </c>
      <c r="B79">
        <v>39096431</v>
      </c>
      <c r="C79">
        <v>39097283</v>
      </c>
      <c r="D79">
        <v>36804478</v>
      </c>
      <c r="E79">
        <v>1</v>
      </c>
      <c r="F79">
        <v>1</v>
      </c>
      <c r="G79">
        <v>1</v>
      </c>
      <c r="H79">
        <v>3</v>
      </c>
      <c r="I79" t="s">
        <v>735</v>
      </c>
      <c r="J79" t="s">
        <v>736</v>
      </c>
      <c r="K79" t="s">
        <v>737</v>
      </c>
      <c r="L79">
        <v>1355</v>
      </c>
      <c r="N79">
        <v>1010</v>
      </c>
      <c r="O79" t="s">
        <v>161</v>
      </c>
      <c r="P79" t="s">
        <v>161</v>
      </c>
      <c r="Q79">
        <v>100</v>
      </c>
      <c r="W79">
        <v>0</v>
      </c>
      <c r="X79">
        <v>-725528132</v>
      </c>
      <c r="Y79">
        <v>2.63</v>
      </c>
      <c r="AA79">
        <v>80.52</v>
      </c>
      <c r="AB79">
        <v>0</v>
      </c>
      <c r="AC79">
        <v>0</v>
      </c>
      <c r="AD79">
        <v>0</v>
      </c>
      <c r="AE79">
        <v>12</v>
      </c>
      <c r="AF79">
        <v>0</v>
      </c>
      <c r="AG79">
        <v>0</v>
      </c>
      <c r="AH79">
        <v>0</v>
      </c>
      <c r="AI79">
        <v>6.71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2.63</v>
      </c>
      <c r="AU79" t="s">
        <v>3</v>
      </c>
      <c r="AV79">
        <v>0</v>
      </c>
      <c r="AW79">
        <v>2</v>
      </c>
      <c r="AX79">
        <v>39097306</v>
      </c>
      <c r="AY79">
        <v>1</v>
      </c>
      <c r="AZ79">
        <v>0</v>
      </c>
      <c r="BA79">
        <v>88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Y79*Source!I52</f>
        <v>5.0359239999999996</v>
      </c>
      <c r="CY79">
        <f t="shared" ref="CY79:CY92" si="0">AA79</f>
        <v>80.52</v>
      </c>
      <c r="CZ79">
        <f t="shared" ref="CZ79:CZ92" si="1">AE79</f>
        <v>12</v>
      </c>
      <c r="DA79">
        <f t="shared" ref="DA79:DA92" si="2">AI79</f>
        <v>6.71</v>
      </c>
      <c r="DB79">
        <v>0</v>
      </c>
    </row>
    <row r="80" spans="1:106" x14ac:dyDescent="0.2">
      <c r="A80">
        <f>ROW(Source!A52)</f>
        <v>52</v>
      </c>
      <c r="B80">
        <v>39096431</v>
      </c>
      <c r="C80">
        <v>39097283</v>
      </c>
      <c r="D80">
        <v>36804581</v>
      </c>
      <c r="E80">
        <v>1</v>
      </c>
      <c r="F80">
        <v>1</v>
      </c>
      <c r="G80">
        <v>1</v>
      </c>
      <c r="H80">
        <v>3</v>
      </c>
      <c r="I80" t="s">
        <v>738</v>
      </c>
      <c r="J80" t="s">
        <v>739</v>
      </c>
      <c r="K80" t="s">
        <v>740</v>
      </c>
      <c r="L80">
        <v>1356</v>
      </c>
      <c r="N80">
        <v>1010</v>
      </c>
      <c r="O80" t="s">
        <v>741</v>
      </c>
      <c r="P80" t="s">
        <v>741</v>
      </c>
      <c r="Q80">
        <v>1000</v>
      </c>
      <c r="W80">
        <v>0</v>
      </c>
      <c r="X80">
        <v>1130533903</v>
      </c>
      <c r="Y80">
        <v>0.26300000000000001</v>
      </c>
      <c r="AA80">
        <v>1073.5999999999999</v>
      </c>
      <c r="AB80">
        <v>0</v>
      </c>
      <c r="AC80">
        <v>0</v>
      </c>
      <c r="AD80">
        <v>0</v>
      </c>
      <c r="AE80">
        <v>160</v>
      </c>
      <c r="AF80">
        <v>0</v>
      </c>
      <c r="AG80">
        <v>0</v>
      </c>
      <c r="AH80">
        <v>0</v>
      </c>
      <c r="AI80">
        <v>6.71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0.26300000000000001</v>
      </c>
      <c r="AU80" t="s">
        <v>3</v>
      </c>
      <c r="AV80">
        <v>0</v>
      </c>
      <c r="AW80">
        <v>2</v>
      </c>
      <c r="AX80">
        <v>39097307</v>
      </c>
      <c r="AY80">
        <v>1</v>
      </c>
      <c r="AZ80">
        <v>0</v>
      </c>
      <c r="BA80">
        <v>89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Y80*Source!I52</f>
        <v>0.50359240000000005</v>
      </c>
      <c r="CY80">
        <f t="shared" si="0"/>
        <v>1073.5999999999999</v>
      </c>
      <c r="CZ80">
        <f t="shared" si="1"/>
        <v>160</v>
      </c>
      <c r="DA80">
        <f t="shared" si="2"/>
        <v>6.71</v>
      </c>
      <c r="DB80">
        <v>0</v>
      </c>
    </row>
    <row r="81" spans="1:106" x14ac:dyDescent="0.2">
      <c r="A81">
        <f>ROW(Source!A52)</f>
        <v>52</v>
      </c>
      <c r="B81">
        <v>39096431</v>
      </c>
      <c r="C81">
        <v>39097283</v>
      </c>
      <c r="D81">
        <v>36797263</v>
      </c>
      <c r="E81">
        <v>17</v>
      </c>
      <c r="F81">
        <v>1</v>
      </c>
      <c r="G81">
        <v>1</v>
      </c>
      <c r="H81">
        <v>3</v>
      </c>
      <c r="I81" t="s">
        <v>148</v>
      </c>
      <c r="J81" t="s">
        <v>3</v>
      </c>
      <c r="K81" t="s">
        <v>149</v>
      </c>
      <c r="L81">
        <v>1301</v>
      </c>
      <c r="N81">
        <v>1003</v>
      </c>
      <c r="O81" t="s">
        <v>150</v>
      </c>
      <c r="P81" t="s">
        <v>150</v>
      </c>
      <c r="Q81">
        <v>1</v>
      </c>
      <c r="W81">
        <v>0</v>
      </c>
      <c r="X81">
        <v>-2049262376</v>
      </c>
      <c r="Y81">
        <v>101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6.71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3</v>
      </c>
      <c r="AT81">
        <v>101</v>
      </c>
      <c r="AU81" t="s">
        <v>3</v>
      </c>
      <c r="AV81">
        <v>0</v>
      </c>
      <c r="AW81">
        <v>2</v>
      </c>
      <c r="AX81">
        <v>39097308</v>
      </c>
      <c r="AY81">
        <v>1</v>
      </c>
      <c r="AZ81">
        <v>0</v>
      </c>
      <c r="BA81">
        <v>90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Y81*Source!I52</f>
        <v>193.3948</v>
      </c>
      <c r="CY81">
        <f t="shared" si="0"/>
        <v>0</v>
      </c>
      <c r="CZ81">
        <f t="shared" si="1"/>
        <v>0</v>
      </c>
      <c r="DA81">
        <f t="shared" si="2"/>
        <v>6.71</v>
      </c>
      <c r="DB81">
        <v>0</v>
      </c>
    </row>
    <row r="82" spans="1:106" x14ac:dyDescent="0.2">
      <c r="A82">
        <f>ROW(Source!A52)</f>
        <v>52</v>
      </c>
      <c r="B82">
        <v>39096431</v>
      </c>
      <c r="C82">
        <v>39097283</v>
      </c>
      <c r="D82">
        <v>36832175</v>
      </c>
      <c r="E82">
        <v>1</v>
      </c>
      <c r="F82">
        <v>1</v>
      </c>
      <c r="G82">
        <v>1</v>
      </c>
      <c r="H82">
        <v>3</v>
      </c>
      <c r="I82" t="s">
        <v>152</v>
      </c>
      <c r="J82" t="s">
        <v>154</v>
      </c>
      <c r="K82" t="s">
        <v>153</v>
      </c>
      <c r="L82">
        <v>1301</v>
      </c>
      <c r="N82">
        <v>1003</v>
      </c>
      <c r="O82" t="s">
        <v>150</v>
      </c>
      <c r="P82" t="s">
        <v>150</v>
      </c>
      <c r="Q82">
        <v>1</v>
      </c>
      <c r="W82">
        <v>0</v>
      </c>
      <c r="X82">
        <v>1744309368</v>
      </c>
      <c r="Y82">
        <v>101</v>
      </c>
      <c r="AA82">
        <v>82.53</v>
      </c>
      <c r="AB82">
        <v>0</v>
      </c>
      <c r="AC82">
        <v>0</v>
      </c>
      <c r="AD82">
        <v>0</v>
      </c>
      <c r="AE82">
        <v>12.3</v>
      </c>
      <c r="AF82">
        <v>0</v>
      </c>
      <c r="AG82">
        <v>0</v>
      </c>
      <c r="AH82">
        <v>0</v>
      </c>
      <c r="AI82">
        <v>6.71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101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Y82*Source!I52</f>
        <v>193.3948</v>
      </c>
      <c r="CY82">
        <f t="shared" si="0"/>
        <v>82.53</v>
      </c>
      <c r="CZ82">
        <f t="shared" si="1"/>
        <v>12.3</v>
      </c>
      <c r="DA82">
        <f t="shared" si="2"/>
        <v>6.71</v>
      </c>
      <c r="DB82">
        <v>0</v>
      </c>
    </row>
    <row r="83" spans="1:106" x14ac:dyDescent="0.2">
      <c r="A83">
        <f>ROW(Source!A52)</f>
        <v>52</v>
      </c>
      <c r="B83">
        <v>39096431</v>
      </c>
      <c r="C83">
        <v>39097283</v>
      </c>
      <c r="D83">
        <v>36797266</v>
      </c>
      <c r="E83">
        <v>17</v>
      </c>
      <c r="F83">
        <v>1</v>
      </c>
      <c r="G83">
        <v>1</v>
      </c>
      <c r="H83">
        <v>3</v>
      </c>
      <c r="I83" t="s">
        <v>156</v>
      </c>
      <c r="J83" t="s">
        <v>3</v>
      </c>
      <c r="K83" t="s">
        <v>157</v>
      </c>
      <c r="L83">
        <v>1354</v>
      </c>
      <c r="N83">
        <v>1010</v>
      </c>
      <c r="O83" t="s">
        <v>46</v>
      </c>
      <c r="P83" t="s">
        <v>46</v>
      </c>
      <c r="Q83">
        <v>1</v>
      </c>
      <c r="W83">
        <v>0</v>
      </c>
      <c r="X83">
        <v>457303772</v>
      </c>
      <c r="Y83">
        <v>7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6.71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3</v>
      </c>
      <c r="AT83">
        <v>7</v>
      </c>
      <c r="AU83" t="s">
        <v>3</v>
      </c>
      <c r="AV83">
        <v>0</v>
      </c>
      <c r="AW83">
        <v>2</v>
      </c>
      <c r="AX83">
        <v>39097309</v>
      </c>
      <c r="AY83">
        <v>1</v>
      </c>
      <c r="AZ83">
        <v>0</v>
      </c>
      <c r="BA83">
        <v>91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Y83*Source!I52</f>
        <v>13.403600000000001</v>
      </c>
      <c r="CY83">
        <f t="shared" si="0"/>
        <v>0</v>
      </c>
      <c r="CZ83">
        <f t="shared" si="1"/>
        <v>0</v>
      </c>
      <c r="DA83">
        <f t="shared" si="2"/>
        <v>6.71</v>
      </c>
      <c r="DB83">
        <v>0</v>
      </c>
    </row>
    <row r="84" spans="1:106" x14ac:dyDescent="0.2">
      <c r="A84">
        <f>ROW(Source!A52)</f>
        <v>52</v>
      </c>
      <c r="B84">
        <v>39096431</v>
      </c>
      <c r="C84">
        <v>39097283</v>
      </c>
      <c r="D84">
        <v>36797266</v>
      </c>
      <c r="E84">
        <v>17</v>
      </c>
      <c r="F84">
        <v>1</v>
      </c>
      <c r="G84">
        <v>1</v>
      </c>
      <c r="H84">
        <v>3</v>
      </c>
      <c r="I84" t="s">
        <v>156</v>
      </c>
      <c r="J84" t="s">
        <v>3</v>
      </c>
      <c r="K84" t="s">
        <v>180</v>
      </c>
      <c r="L84">
        <v>1354</v>
      </c>
      <c r="N84">
        <v>1010</v>
      </c>
      <c r="O84" t="s">
        <v>46</v>
      </c>
      <c r="P84" t="s">
        <v>46</v>
      </c>
      <c r="Q84">
        <v>1</v>
      </c>
      <c r="W84">
        <v>0</v>
      </c>
      <c r="X84">
        <v>119324816</v>
      </c>
      <c r="Y84">
        <v>6.981344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6.71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6.981344</v>
      </c>
      <c r="AU84" t="s">
        <v>3</v>
      </c>
      <c r="AV84">
        <v>0</v>
      </c>
      <c r="AW84">
        <v>2</v>
      </c>
      <c r="AX84">
        <v>39097310</v>
      </c>
      <c r="AY84">
        <v>1</v>
      </c>
      <c r="AZ84">
        <v>6144</v>
      </c>
      <c r="BA84">
        <v>92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Y84*Source!I52</f>
        <v>13.3678774912</v>
      </c>
      <c r="CY84">
        <f t="shared" si="0"/>
        <v>0</v>
      </c>
      <c r="CZ84">
        <f t="shared" si="1"/>
        <v>0</v>
      </c>
      <c r="DA84">
        <f t="shared" si="2"/>
        <v>6.71</v>
      </c>
      <c r="DB84">
        <v>0</v>
      </c>
    </row>
    <row r="85" spans="1:106" x14ac:dyDescent="0.2">
      <c r="A85">
        <f>ROW(Source!A52)</f>
        <v>52</v>
      </c>
      <c r="B85">
        <v>39096431</v>
      </c>
      <c r="C85">
        <v>39097283</v>
      </c>
      <c r="D85">
        <v>36797266</v>
      </c>
      <c r="E85">
        <v>17</v>
      </c>
      <c r="F85">
        <v>1</v>
      </c>
      <c r="G85">
        <v>1</v>
      </c>
      <c r="H85">
        <v>3</v>
      </c>
      <c r="I85" t="s">
        <v>156</v>
      </c>
      <c r="J85" t="s">
        <v>3</v>
      </c>
      <c r="K85" t="s">
        <v>182</v>
      </c>
      <c r="L85">
        <v>1354</v>
      </c>
      <c r="N85">
        <v>1010</v>
      </c>
      <c r="O85" t="s">
        <v>46</v>
      </c>
      <c r="P85" t="s">
        <v>46</v>
      </c>
      <c r="Q85">
        <v>1</v>
      </c>
      <c r="W85">
        <v>0</v>
      </c>
      <c r="X85">
        <v>2133044040</v>
      </c>
      <c r="Y85">
        <v>39.948802999999998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6.71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3</v>
      </c>
      <c r="AT85">
        <v>39.948802999999998</v>
      </c>
      <c r="AU85" t="s">
        <v>3</v>
      </c>
      <c r="AV85">
        <v>0</v>
      </c>
      <c r="AW85">
        <v>2</v>
      </c>
      <c r="AX85">
        <v>39097311</v>
      </c>
      <c r="AY85">
        <v>1</v>
      </c>
      <c r="AZ85">
        <v>6144</v>
      </c>
      <c r="BA85">
        <v>93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Y85*Source!I52</f>
        <v>76.493967984400001</v>
      </c>
      <c r="CY85">
        <f t="shared" si="0"/>
        <v>0</v>
      </c>
      <c r="CZ85">
        <f t="shared" si="1"/>
        <v>0</v>
      </c>
      <c r="DA85">
        <f t="shared" si="2"/>
        <v>6.71</v>
      </c>
      <c r="DB85">
        <v>0</v>
      </c>
    </row>
    <row r="86" spans="1:106" x14ac:dyDescent="0.2">
      <c r="A86">
        <f>ROW(Source!A52)</f>
        <v>52</v>
      </c>
      <c r="B86">
        <v>39096431</v>
      </c>
      <c r="C86">
        <v>39097283</v>
      </c>
      <c r="D86">
        <v>36797266</v>
      </c>
      <c r="E86">
        <v>17</v>
      </c>
      <c r="F86">
        <v>1</v>
      </c>
      <c r="G86">
        <v>1</v>
      </c>
      <c r="H86">
        <v>3</v>
      </c>
      <c r="I86" t="s">
        <v>156</v>
      </c>
      <c r="J86" t="s">
        <v>3</v>
      </c>
      <c r="K86" t="s">
        <v>184</v>
      </c>
      <c r="L86">
        <v>1354</v>
      </c>
      <c r="N86">
        <v>1010</v>
      </c>
      <c r="O86" t="s">
        <v>46</v>
      </c>
      <c r="P86" t="s">
        <v>46</v>
      </c>
      <c r="Q86">
        <v>1</v>
      </c>
      <c r="W86">
        <v>0</v>
      </c>
      <c r="X86">
        <v>1953413105</v>
      </c>
      <c r="Y86">
        <v>7.9509749999999997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6.71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3</v>
      </c>
      <c r="AT86">
        <v>7.9509749999999997</v>
      </c>
      <c r="AU86" t="s">
        <v>3</v>
      </c>
      <c r="AV86">
        <v>0</v>
      </c>
      <c r="AW86">
        <v>2</v>
      </c>
      <c r="AX86">
        <v>39097312</v>
      </c>
      <c r="AY86">
        <v>1</v>
      </c>
      <c r="AZ86">
        <v>6144</v>
      </c>
      <c r="BA86">
        <v>94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Y86*Source!I52</f>
        <v>15.22452693</v>
      </c>
      <c r="CY86">
        <f t="shared" si="0"/>
        <v>0</v>
      </c>
      <c r="CZ86">
        <f t="shared" si="1"/>
        <v>0</v>
      </c>
      <c r="DA86">
        <f t="shared" si="2"/>
        <v>6.71</v>
      </c>
      <c r="DB86">
        <v>0</v>
      </c>
    </row>
    <row r="87" spans="1:106" x14ac:dyDescent="0.2">
      <c r="A87">
        <f>ROW(Source!A52)</f>
        <v>52</v>
      </c>
      <c r="B87">
        <v>39096431</v>
      </c>
      <c r="C87">
        <v>39097283</v>
      </c>
      <c r="D87">
        <v>36797266</v>
      </c>
      <c r="E87">
        <v>17</v>
      </c>
      <c r="F87">
        <v>1</v>
      </c>
      <c r="G87">
        <v>1</v>
      </c>
      <c r="H87">
        <v>3</v>
      </c>
      <c r="I87" t="s">
        <v>156</v>
      </c>
      <c r="J87" t="s">
        <v>3</v>
      </c>
      <c r="K87" t="s">
        <v>186</v>
      </c>
      <c r="L87">
        <v>1354</v>
      </c>
      <c r="N87">
        <v>1010</v>
      </c>
      <c r="O87" t="s">
        <v>46</v>
      </c>
      <c r="P87" t="s">
        <v>46</v>
      </c>
      <c r="Q87">
        <v>1</v>
      </c>
      <c r="W87">
        <v>0</v>
      </c>
      <c r="X87">
        <v>-333106949</v>
      </c>
      <c r="Y87">
        <v>7.9509749999999997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6.71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3</v>
      </c>
      <c r="AT87">
        <v>7.9509749999999997</v>
      </c>
      <c r="AU87" t="s">
        <v>3</v>
      </c>
      <c r="AV87">
        <v>0</v>
      </c>
      <c r="AW87">
        <v>2</v>
      </c>
      <c r="AX87">
        <v>39097313</v>
      </c>
      <c r="AY87">
        <v>1</v>
      </c>
      <c r="AZ87">
        <v>6144</v>
      </c>
      <c r="BA87">
        <v>95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Y87*Source!I52</f>
        <v>15.22452693</v>
      </c>
      <c r="CY87">
        <f t="shared" si="0"/>
        <v>0</v>
      </c>
      <c r="CZ87">
        <f t="shared" si="1"/>
        <v>0</v>
      </c>
      <c r="DA87">
        <f t="shared" si="2"/>
        <v>6.71</v>
      </c>
      <c r="DB87">
        <v>0</v>
      </c>
    </row>
    <row r="88" spans="1:106" x14ac:dyDescent="0.2">
      <c r="A88">
        <f>ROW(Source!A52)</f>
        <v>52</v>
      </c>
      <c r="B88">
        <v>39096431</v>
      </c>
      <c r="C88">
        <v>39097283</v>
      </c>
      <c r="D88">
        <v>36832261</v>
      </c>
      <c r="E88">
        <v>1</v>
      </c>
      <c r="F88">
        <v>1</v>
      </c>
      <c r="G88">
        <v>1</v>
      </c>
      <c r="H88">
        <v>3</v>
      </c>
      <c r="I88" t="s">
        <v>164</v>
      </c>
      <c r="J88" t="s">
        <v>166</v>
      </c>
      <c r="K88" t="s">
        <v>165</v>
      </c>
      <c r="L88">
        <v>1355</v>
      </c>
      <c r="N88">
        <v>1010</v>
      </c>
      <c r="O88" t="s">
        <v>161</v>
      </c>
      <c r="P88" t="s">
        <v>161</v>
      </c>
      <c r="Q88">
        <v>100</v>
      </c>
      <c r="W88">
        <v>0</v>
      </c>
      <c r="X88">
        <v>1345842772</v>
      </c>
      <c r="Y88">
        <v>7.9509999999999997E-2</v>
      </c>
      <c r="AA88">
        <v>422.73</v>
      </c>
      <c r="AB88">
        <v>0</v>
      </c>
      <c r="AC88">
        <v>0</v>
      </c>
      <c r="AD88">
        <v>0</v>
      </c>
      <c r="AE88">
        <v>63</v>
      </c>
      <c r="AF88">
        <v>0</v>
      </c>
      <c r="AG88">
        <v>0</v>
      </c>
      <c r="AH88">
        <v>0</v>
      </c>
      <c r="AI88">
        <v>6.71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7.9509999999999997E-2</v>
      </c>
      <c r="AU88" t="s">
        <v>3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Y88*Source!I52</f>
        <v>0.15224574799999999</v>
      </c>
      <c r="CY88">
        <f t="shared" si="0"/>
        <v>422.73</v>
      </c>
      <c r="CZ88">
        <f t="shared" si="1"/>
        <v>63</v>
      </c>
      <c r="DA88">
        <f t="shared" si="2"/>
        <v>6.71</v>
      </c>
      <c r="DB88">
        <v>0</v>
      </c>
    </row>
    <row r="89" spans="1:106" x14ac:dyDescent="0.2">
      <c r="A89">
        <f>ROW(Source!A52)</f>
        <v>52</v>
      </c>
      <c r="B89">
        <v>39096431</v>
      </c>
      <c r="C89">
        <v>39097283</v>
      </c>
      <c r="D89">
        <v>36832263</v>
      </c>
      <c r="E89">
        <v>1</v>
      </c>
      <c r="F89">
        <v>1</v>
      </c>
      <c r="G89">
        <v>1</v>
      </c>
      <c r="H89">
        <v>3</v>
      </c>
      <c r="I89" t="s">
        <v>159</v>
      </c>
      <c r="J89" t="s">
        <v>162</v>
      </c>
      <c r="K89" t="s">
        <v>160</v>
      </c>
      <c r="L89">
        <v>1355</v>
      </c>
      <c r="N89">
        <v>1010</v>
      </c>
      <c r="O89" t="s">
        <v>161</v>
      </c>
      <c r="P89" t="s">
        <v>161</v>
      </c>
      <c r="Q89">
        <v>100</v>
      </c>
      <c r="W89">
        <v>0</v>
      </c>
      <c r="X89">
        <v>1906340979</v>
      </c>
      <c r="Y89">
        <v>7.9509999999999997E-2</v>
      </c>
      <c r="AA89">
        <v>422.73</v>
      </c>
      <c r="AB89">
        <v>0</v>
      </c>
      <c r="AC89">
        <v>0</v>
      </c>
      <c r="AD89">
        <v>0</v>
      </c>
      <c r="AE89">
        <v>63</v>
      </c>
      <c r="AF89">
        <v>0</v>
      </c>
      <c r="AG89">
        <v>0</v>
      </c>
      <c r="AH89">
        <v>0</v>
      </c>
      <c r="AI89">
        <v>6.71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7.9509999999999997E-2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Y89*Source!I52</f>
        <v>0.15224574799999999</v>
      </c>
      <c r="CY89">
        <f t="shared" si="0"/>
        <v>422.73</v>
      </c>
      <c r="CZ89">
        <f t="shared" si="1"/>
        <v>63</v>
      </c>
      <c r="DA89">
        <f t="shared" si="2"/>
        <v>6.71</v>
      </c>
      <c r="DB89">
        <v>0</v>
      </c>
    </row>
    <row r="90" spans="1:106" x14ac:dyDescent="0.2">
      <c r="A90">
        <f>ROW(Source!A52)</f>
        <v>52</v>
      </c>
      <c r="B90">
        <v>39096431</v>
      </c>
      <c r="C90">
        <v>39097283</v>
      </c>
      <c r="D90">
        <v>36832265</v>
      </c>
      <c r="E90">
        <v>1</v>
      </c>
      <c r="F90">
        <v>1</v>
      </c>
      <c r="G90">
        <v>1</v>
      </c>
      <c r="H90">
        <v>3</v>
      </c>
      <c r="I90" t="s">
        <v>168</v>
      </c>
      <c r="J90" t="s">
        <v>170</v>
      </c>
      <c r="K90" t="s">
        <v>169</v>
      </c>
      <c r="L90">
        <v>1355</v>
      </c>
      <c r="N90">
        <v>1010</v>
      </c>
      <c r="O90" t="s">
        <v>161</v>
      </c>
      <c r="P90" t="s">
        <v>161</v>
      </c>
      <c r="Q90">
        <v>100</v>
      </c>
      <c r="W90">
        <v>0</v>
      </c>
      <c r="X90">
        <v>848075668</v>
      </c>
      <c r="Y90">
        <v>0.39948800000000001</v>
      </c>
      <c r="AA90">
        <v>858.88</v>
      </c>
      <c r="AB90">
        <v>0</v>
      </c>
      <c r="AC90">
        <v>0</v>
      </c>
      <c r="AD90">
        <v>0</v>
      </c>
      <c r="AE90">
        <v>128</v>
      </c>
      <c r="AF90">
        <v>0</v>
      </c>
      <c r="AG90">
        <v>0</v>
      </c>
      <c r="AH90">
        <v>0</v>
      </c>
      <c r="AI90">
        <v>6.71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3</v>
      </c>
      <c r="AT90">
        <v>0.39948800000000001</v>
      </c>
      <c r="AU90" t="s">
        <v>3</v>
      </c>
      <c r="AV90">
        <v>0</v>
      </c>
      <c r="AW90">
        <v>1</v>
      </c>
      <c r="AX90">
        <v>-1</v>
      </c>
      <c r="AY90">
        <v>0</v>
      </c>
      <c r="AZ90">
        <v>0</v>
      </c>
      <c r="BA90" t="s">
        <v>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Y90*Source!I52</f>
        <v>0.76493962240000002</v>
      </c>
      <c r="CY90">
        <f t="shared" si="0"/>
        <v>858.88</v>
      </c>
      <c r="CZ90">
        <f t="shared" si="1"/>
        <v>128</v>
      </c>
      <c r="DA90">
        <f t="shared" si="2"/>
        <v>6.71</v>
      </c>
      <c r="DB90">
        <v>0</v>
      </c>
    </row>
    <row r="91" spans="1:106" x14ac:dyDescent="0.2">
      <c r="A91">
        <f>ROW(Source!A52)</f>
        <v>52</v>
      </c>
      <c r="B91">
        <v>39096431</v>
      </c>
      <c r="C91">
        <v>39097283</v>
      </c>
      <c r="D91">
        <v>36832267</v>
      </c>
      <c r="E91">
        <v>1</v>
      </c>
      <c r="F91">
        <v>1</v>
      </c>
      <c r="G91">
        <v>1</v>
      </c>
      <c r="H91">
        <v>3</v>
      </c>
      <c r="I91" t="s">
        <v>172</v>
      </c>
      <c r="J91" t="s">
        <v>174</v>
      </c>
      <c r="K91" t="s">
        <v>173</v>
      </c>
      <c r="L91">
        <v>1355</v>
      </c>
      <c r="N91">
        <v>1010</v>
      </c>
      <c r="O91" t="s">
        <v>161</v>
      </c>
      <c r="P91" t="s">
        <v>161</v>
      </c>
      <c r="Q91">
        <v>100</v>
      </c>
      <c r="W91">
        <v>0</v>
      </c>
      <c r="X91">
        <v>1508644261</v>
      </c>
      <c r="Y91">
        <v>6.981344</v>
      </c>
      <c r="AA91">
        <v>858.88</v>
      </c>
      <c r="AB91">
        <v>0</v>
      </c>
      <c r="AC91">
        <v>0</v>
      </c>
      <c r="AD91">
        <v>0</v>
      </c>
      <c r="AE91">
        <v>128</v>
      </c>
      <c r="AF91">
        <v>0</v>
      </c>
      <c r="AG91">
        <v>0</v>
      </c>
      <c r="AH91">
        <v>0</v>
      </c>
      <c r="AI91">
        <v>6.71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3</v>
      </c>
      <c r="AT91">
        <v>6.981344</v>
      </c>
      <c r="AU91" t="s">
        <v>3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Y91*Source!I52</f>
        <v>13.3678774912</v>
      </c>
      <c r="CY91">
        <f t="shared" si="0"/>
        <v>858.88</v>
      </c>
      <c r="CZ91">
        <f t="shared" si="1"/>
        <v>128</v>
      </c>
      <c r="DA91">
        <f t="shared" si="2"/>
        <v>6.71</v>
      </c>
      <c r="DB91">
        <v>0</v>
      </c>
    </row>
    <row r="92" spans="1:106" x14ac:dyDescent="0.2">
      <c r="A92">
        <f>ROW(Source!A52)</f>
        <v>52</v>
      </c>
      <c r="B92">
        <v>39096431</v>
      </c>
      <c r="C92">
        <v>39097283</v>
      </c>
      <c r="D92">
        <v>36832269</v>
      </c>
      <c r="E92">
        <v>1</v>
      </c>
      <c r="F92">
        <v>1</v>
      </c>
      <c r="G92">
        <v>1</v>
      </c>
      <c r="H92">
        <v>3</v>
      </c>
      <c r="I92" t="s">
        <v>176</v>
      </c>
      <c r="J92" t="s">
        <v>178</v>
      </c>
      <c r="K92" t="s">
        <v>177</v>
      </c>
      <c r="L92">
        <v>1355</v>
      </c>
      <c r="N92">
        <v>1010</v>
      </c>
      <c r="O92" t="s">
        <v>161</v>
      </c>
      <c r="P92" t="s">
        <v>161</v>
      </c>
      <c r="Q92">
        <v>100</v>
      </c>
      <c r="W92">
        <v>0</v>
      </c>
      <c r="X92">
        <v>-1530028590</v>
      </c>
      <c r="Y92">
        <v>6.9813E-2</v>
      </c>
      <c r="AA92">
        <v>858.88</v>
      </c>
      <c r="AB92">
        <v>0</v>
      </c>
      <c r="AC92">
        <v>0</v>
      </c>
      <c r="AD92">
        <v>0</v>
      </c>
      <c r="AE92">
        <v>128</v>
      </c>
      <c r="AF92">
        <v>0</v>
      </c>
      <c r="AG92">
        <v>0</v>
      </c>
      <c r="AH92">
        <v>0</v>
      </c>
      <c r="AI92">
        <v>6.71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6.9813E-2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Y92*Source!I52</f>
        <v>0.1336779324</v>
      </c>
      <c r="CY92">
        <f t="shared" si="0"/>
        <v>858.88</v>
      </c>
      <c r="CZ92">
        <f t="shared" si="1"/>
        <v>128</v>
      </c>
      <c r="DA92">
        <f t="shared" si="2"/>
        <v>6.71</v>
      </c>
      <c r="DB92">
        <v>0</v>
      </c>
    </row>
    <row r="93" spans="1:106" x14ac:dyDescent="0.2">
      <c r="A93">
        <f>ROW(Source!A65)</f>
        <v>65</v>
      </c>
      <c r="B93">
        <v>39096431</v>
      </c>
      <c r="C93">
        <v>39097326</v>
      </c>
      <c r="D93">
        <v>37070495</v>
      </c>
      <c r="E93">
        <v>1</v>
      </c>
      <c r="F93">
        <v>1</v>
      </c>
      <c r="G93">
        <v>1</v>
      </c>
      <c r="H93">
        <v>1</v>
      </c>
      <c r="I93" t="s">
        <v>742</v>
      </c>
      <c r="J93" t="s">
        <v>3</v>
      </c>
      <c r="K93" t="s">
        <v>743</v>
      </c>
      <c r="L93">
        <v>1191</v>
      </c>
      <c r="N93">
        <v>1013</v>
      </c>
      <c r="O93" t="s">
        <v>660</v>
      </c>
      <c r="P93" t="s">
        <v>660</v>
      </c>
      <c r="Q93">
        <v>1</v>
      </c>
      <c r="W93">
        <v>0</v>
      </c>
      <c r="X93">
        <v>-784637506</v>
      </c>
      <c r="Y93">
        <v>19.135999999999999</v>
      </c>
      <c r="AA93">
        <v>0</v>
      </c>
      <c r="AB93">
        <v>0</v>
      </c>
      <c r="AC93">
        <v>0</v>
      </c>
      <c r="AD93">
        <v>58.65</v>
      </c>
      <c r="AE93">
        <v>0</v>
      </c>
      <c r="AF93">
        <v>0</v>
      </c>
      <c r="AG93">
        <v>0</v>
      </c>
      <c r="AH93">
        <v>8.74</v>
      </c>
      <c r="AI93">
        <v>1</v>
      </c>
      <c r="AJ93">
        <v>1</v>
      </c>
      <c r="AK93">
        <v>1</v>
      </c>
      <c r="AL93">
        <v>6.71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16.64</v>
      </c>
      <c r="AU93" t="s">
        <v>86</v>
      </c>
      <c r="AV93">
        <v>1</v>
      </c>
      <c r="AW93">
        <v>2</v>
      </c>
      <c r="AX93">
        <v>39097332</v>
      </c>
      <c r="AY93">
        <v>1</v>
      </c>
      <c r="AZ93">
        <v>0</v>
      </c>
      <c r="BA93">
        <v>96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Y93*Source!I65</f>
        <v>1.5500160000000001</v>
      </c>
      <c r="CY93">
        <f>AD93</f>
        <v>58.65</v>
      </c>
      <c r="CZ93">
        <f>AH93</f>
        <v>8.74</v>
      </c>
      <c r="DA93">
        <f>AL93</f>
        <v>6.71</v>
      </c>
      <c r="DB93">
        <v>0</v>
      </c>
    </row>
    <row r="94" spans="1:106" x14ac:dyDescent="0.2">
      <c r="A94">
        <f>ROW(Source!A65)</f>
        <v>65</v>
      </c>
      <c r="B94">
        <v>39096431</v>
      </c>
      <c r="C94">
        <v>39097326</v>
      </c>
      <c r="D94">
        <v>36804478</v>
      </c>
      <c r="E94">
        <v>1</v>
      </c>
      <c r="F94">
        <v>1</v>
      </c>
      <c r="G94">
        <v>1</v>
      </c>
      <c r="H94">
        <v>3</v>
      </c>
      <c r="I94" t="s">
        <v>735</v>
      </c>
      <c r="J94" t="s">
        <v>736</v>
      </c>
      <c r="K94" t="s">
        <v>737</v>
      </c>
      <c r="L94">
        <v>1355</v>
      </c>
      <c r="N94">
        <v>1010</v>
      </c>
      <c r="O94" t="s">
        <v>161</v>
      </c>
      <c r="P94" t="s">
        <v>161</v>
      </c>
      <c r="Q94">
        <v>100</v>
      </c>
      <c r="W94">
        <v>0</v>
      </c>
      <c r="X94">
        <v>-725528132</v>
      </c>
      <c r="Y94">
        <v>6.7</v>
      </c>
      <c r="AA94">
        <v>80.52</v>
      </c>
      <c r="AB94">
        <v>0</v>
      </c>
      <c r="AC94">
        <v>0</v>
      </c>
      <c r="AD94">
        <v>0</v>
      </c>
      <c r="AE94">
        <v>12</v>
      </c>
      <c r="AF94">
        <v>0</v>
      </c>
      <c r="AG94">
        <v>0</v>
      </c>
      <c r="AH94">
        <v>0</v>
      </c>
      <c r="AI94">
        <v>6.71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6.7</v>
      </c>
      <c r="AU94" t="s">
        <v>3</v>
      </c>
      <c r="AV94">
        <v>0</v>
      </c>
      <c r="AW94">
        <v>2</v>
      </c>
      <c r="AX94">
        <v>39097333</v>
      </c>
      <c r="AY94">
        <v>1</v>
      </c>
      <c r="AZ94">
        <v>0</v>
      </c>
      <c r="BA94">
        <v>97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Y94*Source!I65</f>
        <v>0.54270000000000007</v>
      </c>
      <c r="CY94">
        <f>AA94</f>
        <v>80.52</v>
      </c>
      <c r="CZ94">
        <f>AE94</f>
        <v>12</v>
      </c>
      <c r="DA94">
        <f>AI94</f>
        <v>6.71</v>
      </c>
      <c r="DB94">
        <v>0</v>
      </c>
    </row>
    <row r="95" spans="1:106" x14ac:dyDescent="0.2">
      <c r="A95">
        <f>ROW(Source!A65)</f>
        <v>65</v>
      </c>
      <c r="B95">
        <v>39096431</v>
      </c>
      <c r="C95">
        <v>39097326</v>
      </c>
      <c r="D95">
        <v>36797282</v>
      </c>
      <c r="E95">
        <v>17</v>
      </c>
      <c r="F95">
        <v>1</v>
      </c>
      <c r="G95">
        <v>1</v>
      </c>
      <c r="H95">
        <v>3</v>
      </c>
      <c r="I95" t="s">
        <v>200</v>
      </c>
      <c r="J95" t="s">
        <v>3</v>
      </c>
      <c r="K95" t="s">
        <v>201</v>
      </c>
      <c r="L95">
        <v>1301</v>
      </c>
      <c r="N95">
        <v>1003</v>
      </c>
      <c r="O95" t="s">
        <v>150</v>
      </c>
      <c r="P95" t="s">
        <v>150</v>
      </c>
      <c r="Q95">
        <v>1</v>
      </c>
      <c r="W95">
        <v>0</v>
      </c>
      <c r="X95">
        <v>2101938969</v>
      </c>
      <c r="Y95">
        <v>105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6.71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3</v>
      </c>
      <c r="AT95">
        <v>105</v>
      </c>
      <c r="AU95" t="s">
        <v>3</v>
      </c>
      <c r="AV95">
        <v>0</v>
      </c>
      <c r="AW95">
        <v>2</v>
      </c>
      <c r="AX95">
        <v>39097334</v>
      </c>
      <c r="AY95">
        <v>1</v>
      </c>
      <c r="AZ95">
        <v>0</v>
      </c>
      <c r="BA95">
        <v>98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Y95*Source!I65</f>
        <v>8.5050000000000008</v>
      </c>
      <c r="CY95">
        <f>AA95</f>
        <v>0</v>
      </c>
      <c r="CZ95">
        <f>AE95</f>
        <v>0</v>
      </c>
      <c r="DA95">
        <f>AI95</f>
        <v>6.71</v>
      </c>
      <c r="DB95">
        <v>0</v>
      </c>
    </row>
    <row r="96" spans="1:106" x14ac:dyDescent="0.2">
      <c r="A96">
        <f>ROW(Source!A65)</f>
        <v>65</v>
      </c>
      <c r="B96">
        <v>39096431</v>
      </c>
      <c r="C96">
        <v>39097326</v>
      </c>
      <c r="D96">
        <v>36827371</v>
      </c>
      <c r="E96">
        <v>1</v>
      </c>
      <c r="F96">
        <v>1</v>
      </c>
      <c r="G96">
        <v>1</v>
      </c>
      <c r="H96">
        <v>3</v>
      </c>
      <c r="I96" t="s">
        <v>196</v>
      </c>
      <c r="J96" t="s">
        <v>198</v>
      </c>
      <c r="K96" t="s">
        <v>197</v>
      </c>
      <c r="L96">
        <v>1354</v>
      </c>
      <c r="N96">
        <v>1010</v>
      </c>
      <c r="O96" t="s">
        <v>46</v>
      </c>
      <c r="P96" t="s">
        <v>46</v>
      </c>
      <c r="Q96">
        <v>1</v>
      </c>
      <c r="W96">
        <v>0</v>
      </c>
      <c r="X96">
        <v>-1858633972</v>
      </c>
      <c r="Y96">
        <v>61.728394999999999</v>
      </c>
      <c r="AA96">
        <v>101.12</v>
      </c>
      <c r="AB96">
        <v>0</v>
      </c>
      <c r="AC96">
        <v>0</v>
      </c>
      <c r="AD96">
        <v>0</v>
      </c>
      <c r="AE96">
        <v>15.07</v>
      </c>
      <c r="AF96">
        <v>0</v>
      </c>
      <c r="AG96">
        <v>0</v>
      </c>
      <c r="AH96">
        <v>0</v>
      </c>
      <c r="AI96">
        <v>6.71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61.728394999999999</v>
      </c>
      <c r="AU96" t="s">
        <v>3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Y96*Source!I65</f>
        <v>4.9999999950000005</v>
      </c>
      <c r="CY96">
        <f>AA96</f>
        <v>101.12</v>
      </c>
      <c r="CZ96">
        <f>AE96</f>
        <v>15.07</v>
      </c>
      <c r="DA96">
        <f>AI96</f>
        <v>6.71</v>
      </c>
      <c r="DB96">
        <v>0</v>
      </c>
    </row>
    <row r="97" spans="1:106" x14ac:dyDescent="0.2">
      <c r="A97">
        <f>ROW(Source!A65)</f>
        <v>65</v>
      </c>
      <c r="B97">
        <v>39096431</v>
      </c>
      <c r="C97">
        <v>39097326</v>
      </c>
      <c r="D97">
        <v>36827372</v>
      </c>
      <c r="E97">
        <v>1</v>
      </c>
      <c r="F97">
        <v>1</v>
      </c>
      <c r="G97">
        <v>1</v>
      </c>
      <c r="H97">
        <v>3</v>
      </c>
      <c r="I97" t="s">
        <v>192</v>
      </c>
      <c r="J97" t="s">
        <v>194</v>
      </c>
      <c r="K97" t="s">
        <v>193</v>
      </c>
      <c r="L97">
        <v>1354</v>
      </c>
      <c r="N97">
        <v>1010</v>
      </c>
      <c r="O97" t="s">
        <v>46</v>
      </c>
      <c r="P97" t="s">
        <v>46</v>
      </c>
      <c r="Q97">
        <v>1</v>
      </c>
      <c r="W97">
        <v>0</v>
      </c>
      <c r="X97">
        <v>577992781</v>
      </c>
      <c r="Y97">
        <v>24.691358000000001</v>
      </c>
      <c r="AA97">
        <v>209.89</v>
      </c>
      <c r="AB97">
        <v>0</v>
      </c>
      <c r="AC97">
        <v>0</v>
      </c>
      <c r="AD97">
        <v>0</v>
      </c>
      <c r="AE97">
        <v>31.28</v>
      </c>
      <c r="AF97">
        <v>0</v>
      </c>
      <c r="AG97">
        <v>0</v>
      </c>
      <c r="AH97">
        <v>0</v>
      </c>
      <c r="AI97">
        <v>6.71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3</v>
      </c>
      <c r="AT97">
        <v>24.691358000000001</v>
      </c>
      <c r="AU97" t="s">
        <v>3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Y97*Source!I65</f>
        <v>1.9999999980000001</v>
      </c>
      <c r="CY97">
        <f>AA97</f>
        <v>209.89</v>
      </c>
      <c r="CZ97">
        <f>AE97</f>
        <v>31.28</v>
      </c>
      <c r="DA97">
        <f>AI97</f>
        <v>6.71</v>
      </c>
      <c r="DB97">
        <v>0</v>
      </c>
    </row>
    <row r="98" spans="1:106" x14ac:dyDescent="0.2">
      <c r="A98">
        <f>ROW(Source!A69)</f>
        <v>69</v>
      </c>
      <c r="B98">
        <v>39096431</v>
      </c>
      <c r="C98">
        <v>39101223</v>
      </c>
      <c r="D98">
        <v>37064878</v>
      </c>
      <c r="E98">
        <v>1</v>
      </c>
      <c r="F98">
        <v>1</v>
      </c>
      <c r="G98">
        <v>1</v>
      </c>
      <c r="H98">
        <v>1</v>
      </c>
      <c r="I98" t="s">
        <v>744</v>
      </c>
      <c r="J98" t="s">
        <v>3</v>
      </c>
      <c r="K98" t="s">
        <v>745</v>
      </c>
      <c r="L98">
        <v>1191</v>
      </c>
      <c r="N98">
        <v>1013</v>
      </c>
      <c r="O98" t="s">
        <v>660</v>
      </c>
      <c r="P98" t="s">
        <v>660</v>
      </c>
      <c r="Q98">
        <v>1</v>
      </c>
      <c r="W98">
        <v>0</v>
      </c>
      <c r="X98">
        <v>-1081351934</v>
      </c>
      <c r="Y98">
        <v>98.715999999999994</v>
      </c>
      <c r="AA98">
        <v>0</v>
      </c>
      <c r="AB98">
        <v>0</v>
      </c>
      <c r="AC98">
        <v>0</v>
      </c>
      <c r="AD98">
        <v>63.07</v>
      </c>
      <c r="AE98">
        <v>0</v>
      </c>
      <c r="AF98">
        <v>0</v>
      </c>
      <c r="AG98">
        <v>0</v>
      </c>
      <c r="AH98">
        <v>9.4</v>
      </c>
      <c r="AI98">
        <v>1</v>
      </c>
      <c r="AJ98">
        <v>1</v>
      </c>
      <c r="AK98">
        <v>1</v>
      </c>
      <c r="AL98">
        <v>6.71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85.84</v>
      </c>
      <c r="AU98" t="s">
        <v>86</v>
      </c>
      <c r="AV98">
        <v>1</v>
      </c>
      <c r="AW98">
        <v>2</v>
      </c>
      <c r="AX98">
        <v>39101224</v>
      </c>
      <c r="AY98">
        <v>1</v>
      </c>
      <c r="AZ98">
        <v>0</v>
      </c>
      <c r="BA98">
        <v>99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Y98*Source!I69</f>
        <v>166.80042519999998</v>
      </c>
      <c r="CY98">
        <f>AD98</f>
        <v>63.07</v>
      </c>
      <c r="CZ98">
        <f>AH98</f>
        <v>9.4</v>
      </c>
      <c r="DA98">
        <f>AL98</f>
        <v>6.71</v>
      </c>
      <c r="DB98">
        <v>0</v>
      </c>
    </row>
    <row r="99" spans="1:106" x14ac:dyDescent="0.2">
      <c r="A99">
        <f>ROW(Source!A69)</f>
        <v>69</v>
      </c>
      <c r="B99">
        <v>39096431</v>
      </c>
      <c r="C99">
        <v>39101223</v>
      </c>
      <c r="D99">
        <v>37064876</v>
      </c>
      <c r="E99">
        <v>1</v>
      </c>
      <c r="F99">
        <v>1</v>
      </c>
      <c r="G99">
        <v>1</v>
      </c>
      <c r="H99">
        <v>1</v>
      </c>
      <c r="I99" t="s">
        <v>661</v>
      </c>
      <c r="J99" t="s">
        <v>3</v>
      </c>
      <c r="K99" t="s">
        <v>662</v>
      </c>
      <c r="L99">
        <v>1191</v>
      </c>
      <c r="N99">
        <v>1013</v>
      </c>
      <c r="O99" t="s">
        <v>660</v>
      </c>
      <c r="P99" t="s">
        <v>660</v>
      </c>
      <c r="Q99">
        <v>1</v>
      </c>
      <c r="W99">
        <v>0</v>
      </c>
      <c r="X99">
        <v>-1417349443</v>
      </c>
      <c r="Y99">
        <v>6.29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6.71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6.29</v>
      </c>
      <c r="AU99" t="s">
        <v>3</v>
      </c>
      <c r="AV99">
        <v>2</v>
      </c>
      <c r="AW99">
        <v>2</v>
      </c>
      <c r="AX99">
        <v>39101225</v>
      </c>
      <c r="AY99">
        <v>1</v>
      </c>
      <c r="AZ99">
        <v>2048</v>
      </c>
      <c r="BA99">
        <v>100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Y99*Source!I69</f>
        <v>10.628213000000001</v>
      </c>
      <c r="CY99">
        <f>AD99</f>
        <v>0</v>
      </c>
      <c r="CZ99">
        <f>AH99</f>
        <v>0</v>
      </c>
      <c r="DA99">
        <f>AL99</f>
        <v>1</v>
      </c>
      <c r="DB99">
        <v>0</v>
      </c>
    </row>
    <row r="100" spans="1:106" x14ac:dyDescent="0.2">
      <c r="A100">
        <f>ROW(Source!A69)</f>
        <v>69</v>
      </c>
      <c r="B100">
        <v>39096431</v>
      </c>
      <c r="C100">
        <v>39101223</v>
      </c>
      <c r="D100">
        <v>36882452</v>
      </c>
      <c r="E100">
        <v>1</v>
      </c>
      <c r="F100">
        <v>1</v>
      </c>
      <c r="G100">
        <v>1</v>
      </c>
      <c r="H100">
        <v>2</v>
      </c>
      <c r="I100" t="s">
        <v>663</v>
      </c>
      <c r="J100" t="s">
        <v>664</v>
      </c>
      <c r="K100" t="s">
        <v>665</v>
      </c>
      <c r="L100">
        <v>1368</v>
      </c>
      <c r="N100">
        <v>1011</v>
      </c>
      <c r="O100" t="s">
        <v>666</v>
      </c>
      <c r="P100" t="s">
        <v>666</v>
      </c>
      <c r="Q100">
        <v>1</v>
      </c>
      <c r="W100">
        <v>0</v>
      </c>
      <c r="X100">
        <v>1188625873</v>
      </c>
      <c r="Y100">
        <v>1.05</v>
      </c>
      <c r="AA100">
        <v>0</v>
      </c>
      <c r="AB100">
        <v>209.75</v>
      </c>
      <c r="AC100">
        <v>13.5</v>
      </c>
      <c r="AD100">
        <v>0</v>
      </c>
      <c r="AE100">
        <v>0</v>
      </c>
      <c r="AF100">
        <v>31.26</v>
      </c>
      <c r="AG100">
        <v>13.5</v>
      </c>
      <c r="AH100">
        <v>0</v>
      </c>
      <c r="AI100">
        <v>1</v>
      </c>
      <c r="AJ100">
        <v>6.71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0.84</v>
      </c>
      <c r="AU100" t="s">
        <v>85</v>
      </c>
      <c r="AV100">
        <v>0</v>
      </c>
      <c r="AW100">
        <v>2</v>
      </c>
      <c r="AX100">
        <v>39101226</v>
      </c>
      <c r="AY100">
        <v>1</v>
      </c>
      <c r="AZ100">
        <v>0</v>
      </c>
      <c r="BA100">
        <v>101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Y100*Source!I69</f>
        <v>1.7741850000000001</v>
      </c>
      <c r="CY100">
        <f>AB100</f>
        <v>209.75</v>
      </c>
      <c r="CZ100">
        <f>AF100</f>
        <v>31.26</v>
      </c>
      <c r="DA100">
        <f>AJ100</f>
        <v>6.71</v>
      </c>
      <c r="DB100">
        <v>0</v>
      </c>
    </row>
    <row r="101" spans="1:106" x14ac:dyDescent="0.2">
      <c r="A101">
        <f>ROW(Source!A69)</f>
        <v>69</v>
      </c>
      <c r="B101">
        <v>39096431</v>
      </c>
      <c r="C101">
        <v>39101223</v>
      </c>
      <c r="D101">
        <v>36882608</v>
      </c>
      <c r="E101">
        <v>1</v>
      </c>
      <c r="F101">
        <v>1</v>
      </c>
      <c r="G101">
        <v>1</v>
      </c>
      <c r="H101">
        <v>2</v>
      </c>
      <c r="I101" t="s">
        <v>746</v>
      </c>
      <c r="J101" t="s">
        <v>747</v>
      </c>
      <c r="K101" t="s">
        <v>748</v>
      </c>
      <c r="L101">
        <v>1368</v>
      </c>
      <c r="N101">
        <v>1011</v>
      </c>
      <c r="O101" t="s">
        <v>666</v>
      </c>
      <c r="P101" t="s">
        <v>666</v>
      </c>
      <c r="Q101">
        <v>1</v>
      </c>
      <c r="W101">
        <v>0</v>
      </c>
      <c r="X101">
        <v>1573467769</v>
      </c>
      <c r="Y101">
        <v>6.8125</v>
      </c>
      <c r="AA101">
        <v>0</v>
      </c>
      <c r="AB101">
        <v>94.95</v>
      </c>
      <c r="AC101">
        <v>8.91</v>
      </c>
      <c r="AD101">
        <v>0</v>
      </c>
      <c r="AE101">
        <v>0</v>
      </c>
      <c r="AF101">
        <v>14.15</v>
      </c>
      <c r="AG101">
        <v>8.91</v>
      </c>
      <c r="AH101">
        <v>0</v>
      </c>
      <c r="AI101">
        <v>1</v>
      </c>
      <c r="AJ101">
        <v>6.71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5.45</v>
      </c>
      <c r="AU101" t="s">
        <v>85</v>
      </c>
      <c r="AV101">
        <v>0</v>
      </c>
      <c r="AW101">
        <v>2</v>
      </c>
      <c r="AX101">
        <v>39101227</v>
      </c>
      <c r="AY101">
        <v>1</v>
      </c>
      <c r="AZ101">
        <v>0</v>
      </c>
      <c r="BA101">
        <v>102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Y101*Source!I69</f>
        <v>11.51108125</v>
      </c>
      <c r="CY101">
        <f>AB101</f>
        <v>94.95</v>
      </c>
      <c r="CZ101">
        <f>AF101</f>
        <v>14.15</v>
      </c>
      <c r="DA101">
        <f>AJ101</f>
        <v>6.71</v>
      </c>
      <c r="DB101">
        <v>0</v>
      </c>
    </row>
    <row r="102" spans="1:106" x14ac:dyDescent="0.2">
      <c r="A102">
        <f>ROW(Source!A69)</f>
        <v>69</v>
      </c>
      <c r="B102">
        <v>39096431</v>
      </c>
      <c r="C102">
        <v>39101223</v>
      </c>
      <c r="D102">
        <v>36804547</v>
      </c>
      <c r="E102">
        <v>1</v>
      </c>
      <c r="F102">
        <v>1</v>
      </c>
      <c r="G102">
        <v>1</v>
      </c>
      <c r="H102">
        <v>3</v>
      </c>
      <c r="I102" t="s">
        <v>749</v>
      </c>
      <c r="J102" t="s">
        <v>750</v>
      </c>
      <c r="K102" t="s">
        <v>751</v>
      </c>
      <c r="L102">
        <v>1348</v>
      </c>
      <c r="N102">
        <v>1009</v>
      </c>
      <c r="O102" t="s">
        <v>110</v>
      </c>
      <c r="P102" t="s">
        <v>110</v>
      </c>
      <c r="Q102">
        <v>1000</v>
      </c>
      <c r="W102">
        <v>0</v>
      </c>
      <c r="X102">
        <v>2032238625</v>
      </c>
      <c r="Y102">
        <v>1.2E-4</v>
      </c>
      <c r="AA102">
        <v>56867.25</v>
      </c>
      <c r="AB102">
        <v>0</v>
      </c>
      <c r="AC102">
        <v>0</v>
      </c>
      <c r="AD102">
        <v>0</v>
      </c>
      <c r="AE102">
        <v>8475</v>
      </c>
      <c r="AF102">
        <v>0</v>
      </c>
      <c r="AG102">
        <v>0</v>
      </c>
      <c r="AH102">
        <v>0</v>
      </c>
      <c r="AI102">
        <v>6.71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1.2E-4</v>
      </c>
      <c r="AU102" t="s">
        <v>3</v>
      </c>
      <c r="AV102">
        <v>0</v>
      </c>
      <c r="AW102">
        <v>2</v>
      </c>
      <c r="AX102">
        <v>39101228</v>
      </c>
      <c r="AY102">
        <v>1</v>
      </c>
      <c r="AZ102">
        <v>0</v>
      </c>
      <c r="BA102">
        <v>103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Y102*Source!I69</f>
        <v>2.02764E-4</v>
      </c>
      <c r="CY102">
        <f>AA102</f>
        <v>56867.25</v>
      </c>
      <c r="CZ102">
        <f>AE102</f>
        <v>8475</v>
      </c>
      <c r="DA102">
        <f>AI102</f>
        <v>6.71</v>
      </c>
      <c r="DB102">
        <v>0</v>
      </c>
    </row>
    <row r="103" spans="1:106" x14ac:dyDescent="0.2">
      <c r="A103">
        <f>ROW(Source!A69)</f>
        <v>69</v>
      </c>
      <c r="B103">
        <v>39096431</v>
      </c>
      <c r="C103">
        <v>39101223</v>
      </c>
      <c r="D103">
        <v>36806488</v>
      </c>
      <c r="E103">
        <v>1</v>
      </c>
      <c r="F103">
        <v>1</v>
      </c>
      <c r="G103">
        <v>1</v>
      </c>
      <c r="H103">
        <v>3</v>
      </c>
      <c r="I103" t="s">
        <v>674</v>
      </c>
      <c r="J103" t="s">
        <v>675</v>
      </c>
      <c r="K103" t="s">
        <v>676</v>
      </c>
      <c r="L103">
        <v>1348</v>
      </c>
      <c r="N103">
        <v>1009</v>
      </c>
      <c r="O103" t="s">
        <v>110</v>
      </c>
      <c r="P103" t="s">
        <v>110</v>
      </c>
      <c r="Q103">
        <v>1000</v>
      </c>
      <c r="W103">
        <v>0</v>
      </c>
      <c r="X103">
        <v>-1421715385</v>
      </c>
      <c r="Y103">
        <v>6.0000000000000001E-3</v>
      </c>
      <c r="AA103">
        <v>4898.17</v>
      </c>
      <c r="AB103">
        <v>0</v>
      </c>
      <c r="AC103">
        <v>0</v>
      </c>
      <c r="AD103">
        <v>0</v>
      </c>
      <c r="AE103">
        <v>729.98</v>
      </c>
      <c r="AF103">
        <v>0</v>
      </c>
      <c r="AG103">
        <v>0</v>
      </c>
      <c r="AH103">
        <v>0</v>
      </c>
      <c r="AI103">
        <v>6.71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6.0000000000000001E-3</v>
      </c>
      <c r="AU103" t="s">
        <v>3</v>
      </c>
      <c r="AV103">
        <v>0</v>
      </c>
      <c r="AW103">
        <v>2</v>
      </c>
      <c r="AX103">
        <v>39101229</v>
      </c>
      <c r="AY103">
        <v>1</v>
      </c>
      <c r="AZ103">
        <v>0</v>
      </c>
      <c r="BA103">
        <v>104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Y103*Source!I69</f>
        <v>1.01382E-2</v>
      </c>
      <c r="CY103">
        <f>AA103</f>
        <v>4898.17</v>
      </c>
      <c r="CZ103">
        <f>AE103</f>
        <v>729.98</v>
      </c>
      <c r="DA103">
        <f>AI103</f>
        <v>6.71</v>
      </c>
      <c r="DB103">
        <v>0</v>
      </c>
    </row>
    <row r="104" spans="1:106" x14ac:dyDescent="0.2">
      <c r="A104">
        <f>ROW(Source!A69)</f>
        <v>69</v>
      </c>
      <c r="B104">
        <v>39096431</v>
      </c>
      <c r="C104">
        <v>39101223</v>
      </c>
      <c r="D104">
        <v>36807381</v>
      </c>
      <c r="E104">
        <v>1</v>
      </c>
      <c r="F104">
        <v>1</v>
      </c>
      <c r="G104">
        <v>1</v>
      </c>
      <c r="H104">
        <v>3</v>
      </c>
      <c r="I104" t="s">
        <v>217</v>
      </c>
      <c r="J104" t="s">
        <v>219</v>
      </c>
      <c r="K104" t="s">
        <v>218</v>
      </c>
      <c r="L104">
        <v>1339</v>
      </c>
      <c r="N104">
        <v>1007</v>
      </c>
      <c r="O104" t="s">
        <v>106</v>
      </c>
      <c r="P104" t="s">
        <v>106</v>
      </c>
      <c r="Q104">
        <v>1</v>
      </c>
      <c r="W104">
        <v>0</v>
      </c>
      <c r="X104">
        <v>-1001479081</v>
      </c>
      <c r="Y104">
        <v>1.87</v>
      </c>
      <c r="AA104">
        <v>3475.18</v>
      </c>
      <c r="AB104">
        <v>0</v>
      </c>
      <c r="AC104">
        <v>0</v>
      </c>
      <c r="AD104">
        <v>0</v>
      </c>
      <c r="AE104">
        <v>517.91</v>
      </c>
      <c r="AF104">
        <v>0</v>
      </c>
      <c r="AG104">
        <v>0</v>
      </c>
      <c r="AH104">
        <v>0</v>
      </c>
      <c r="AI104">
        <v>6.71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1.87</v>
      </c>
      <c r="AU104" t="s">
        <v>3</v>
      </c>
      <c r="AV104">
        <v>0</v>
      </c>
      <c r="AW104">
        <v>2</v>
      </c>
      <c r="AX104">
        <v>39101230</v>
      </c>
      <c r="AY104">
        <v>1</v>
      </c>
      <c r="AZ104">
        <v>0</v>
      </c>
      <c r="BA104">
        <v>105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Y104*Source!I69</f>
        <v>3.1597390000000001</v>
      </c>
      <c r="CY104">
        <f>AA104</f>
        <v>3475.18</v>
      </c>
      <c r="CZ104">
        <f>AE104</f>
        <v>517.91</v>
      </c>
      <c r="DA104">
        <f>AI104</f>
        <v>6.71</v>
      </c>
      <c r="DB104">
        <v>0</v>
      </c>
    </row>
    <row r="105" spans="1:106" x14ac:dyDescent="0.2">
      <c r="A105">
        <f>ROW(Source!A69)</f>
        <v>69</v>
      </c>
      <c r="B105">
        <v>39096431</v>
      </c>
      <c r="C105">
        <v>39101223</v>
      </c>
      <c r="D105">
        <v>36824423</v>
      </c>
      <c r="E105">
        <v>1</v>
      </c>
      <c r="F105">
        <v>1</v>
      </c>
      <c r="G105">
        <v>1</v>
      </c>
      <c r="H105">
        <v>3</v>
      </c>
      <c r="I105" t="s">
        <v>752</v>
      </c>
      <c r="J105" t="s">
        <v>753</v>
      </c>
      <c r="K105" t="s">
        <v>754</v>
      </c>
      <c r="L105">
        <v>1327</v>
      </c>
      <c r="N105">
        <v>1005</v>
      </c>
      <c r="O105" t="s">
        <v>83</v>
      </c>
      <c r="P105" t="s">
        <v>83</v>
      </c>
      <c r="Q105">
        <v>1</v>
      </c>
      <c r="W105">
        <v>0</v>
      </c>
      <c r="X105">
        <v>1704710638</v>
      </c>
      <c r="Y105">
        <v>5.54</v>
      </c>
      <c r="AA105">
        <v>189.56</v>
      </c>
      <c r="AB105">
        <v>0</v>
      </c>
      <c r="AC105">
        <v>0</v>
      </c>
      <c r="AD105">
        <v>0</v>
      </c>
      <c r="AE105">
        <v>28.25</v>
      </c>
      <c r="AF105">
        <v>0</v>
      </c>
      <c r="AG105">
        <v>0</v>
      </c>
      <c r="AH105">
        <v>0</v>
      </c>
      <c r="AI105">
        <v>6.71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5.54</v>
      </c>
      <c r="AU105" t="s">
        <v>3</v>
      </c>
      <c r="AV105">
        <v>0</v>
      </c>
      <c r="AW105">
        <v>2</v>
      </c>
      <c r="AX105">
        <v>39101231</v>
      </c>
      <c r="AY105">
        <v>1</v>
      </c>
      <c r="AZ105">
        <v>0</v>
      </c>
      <c r="BA105">
        <v>106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Y105*Source!I69</f>
        <v>9.3609379999999991</v>
      </c>
      <c r="CY105">
        <f>AA105</f>
        <v>189.56</v>
      </c>
      <c r="CZ105">
        <f>AE105</f>
        <v>28.25</v>
      </c>
      <c r="DA105">
        <f>AI105</f>
        <v>6.71</v>
      </c>
      <c r="DB105">
        <v>0</v>
      </c>
    </row>
    <row r="106" spans="1:106" x14ac:dyDescent="0.2">
      <c r="A106">
        <f>ROW(Source!A70)</f>
        <v>70</v>
      </c>
      <c r="B106">
        <v>39096431</v>
      </c>
      <c r="C106">
        <v>39097350</v>
      </c>
      <c r="D106">
        <v>37064878</v>
      </c>
      <c r="E106">
        <v>1</v>
      </c>
      <c r="F106">
        <v>1</v>
      </c>
      <c r="G106">
        <v>1</v>
      </c>
      <c r="H106">
        <v>1</v>
      </c>
      <c r="I106" t="s">
        <v>744</v>
      </c>
      <c r="J106" t="s">
        <v>3</v>
      </c>
      <c r="K106" t="s">
        <v>745</v>
      </c>
      <c r="L106">
        <v>1191</v>
      </c>
      <c r="N106">
        <v>1013</v>
      </c>
      <c r="O106" t="s">
        <v>660</v>
      </c>
      <c r="P106" t="s">
        <v>660</v>
      </c>
      <c r="Q106">
        <v>1</v>
      </c>
      <c r="W106">
        <v>0</v>
      </c>
      <c r="X106">
        <v>-1081351934</v>
      </c>
      <c r="Y106">
        <v>117.82899999999998</v>
      </c>
      <c r="AA106">
        <v>0</v>
      </c>
      <c r="AB106">
        <v>0</v>
      </c>
      <c r="AC106">
        <v>0</v>
      </c>
      <c r="AD106">
        <v>63.07</v>
      </c>
      <c r="AE106">
        <v>0</v>
      </c>
      <c r="AF106">
        <v>0</v>
      </c>
      <c r="AG106">
        <v>0</v>
      </c>
      <c r="AH106">
        <v>9.4</v>
      </c>
      <c r="AI106">
        <v>1</v>
      </c>
      <c r="AJ106">
        <v>1</v>
      </c>
      <c r="AK106">
        <v>1</v>
      </c>
      <c r="AL106">
        <v>6.71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102.46</v>
      </c>
      <c r="AU106" t="s">
        <v>86</v>
      </c>
      <c r="AV106">
        <v>1</v>
      </c>
      <c r="AW106">
        <v>2</v>
      </c>
      <c r="AX106">
        <v>39097356</v>
      </c>
      <c r="AY106">
        <v>1</v>
      </c>
      <c r="AZ106">
        <v>0</v>
      </c>
      <c r="BA106">
        <v>107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Y106*Source!I70</f>
        <v>390.95662199999992</v>
      </c>
      <c r="CY106">
        <f>AD106</f>
        <v>63.07</v>
      </c>
      <c r="CZ106">
        <f>AH106</f>
        <v>9.4</v>
      </c>
      <c r="DA106">
        <f>AL106</f>
        <v>6.71</v>
      </c>
      <c r="DB106">
        <v>0</v>
      </c>
    </row>
    <row r="107" spans="1:106" x14ac:dyDescent="0.2">
      <c r="A107">
        <f>ROW(Source!A70)</f>
        <v>70</v>
      </c>
      <c r="B107">
        <v>39096431</v>
      </c>
      <c r="C107">
        <v>39097350</v>
      </c>
      <c r="D107">
        <v>37064876</v>
      </c>
      <c r="E107">
        <v>1</v>
      </c>
      <c r="F107">
        <v>1</v>
      </c>
      <c r="G107">
        <v>1</v>
      </c>
      <c r="H107">
        <v>1</v>
      </c>
      <c r="I107" t="s">
        <v>661</v>
      </c>
      <c r="J107" t="s">
        <v>3</v>
      </c>
      <c r="K107" t="s">
        <v>662</v>
      </c>
      <c r="L107">
        <v>1191</v>
      </c>
      <c r="N107">
        <v>1013</v>
      </c>
      <c r="O107" t="s">
        <v>660</v>
      </c>
      <c r="P107" t="s">
        <v>660</v>
      </c>
      <c r="Q107">
        <v>1</v>
      </c>
      <c r="W107">
        <v>0</v>
      </c>
      <c r="X107">
        <v>-1417349443</v>
      </c>
      <c r="Y107">
        <v>5.34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6.71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5.34</v>
      </c>
      <c r="AU107" t="s">
        <v>3</v>
      </c>
      <c r="AV107">
        <v>2</v>
      </c>
      <c r="AW107">
        <v>2</v>
      </c>
      <c r="AX107">
        <v>39097357</v>
      </c>
      <c r="AY107">
        <v>1</v>
      </c>
      <c r="AZ107">
        <v>2048</v>
      </c>
      <c r="BA107">
        <v>108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Y107*Source!I70</f>
        <v>17.718119999999999</v>
      </c>
      <c r="CY107">
        <f>AD107</f>
        <v>0</v>
      </c>
      <c r="CZ107">
        <f>AH107</f>
        <v>0</v>
      </c>
      <c r="DA107">
        <f>AL107</f>
        <v>1</v>
      </c>
      <c r="DB107">
        <v>0</v>
      </c>
    </row>
    <row r="108" spans="1:106" x14ac:dyDescent="0.2">
      <c r="A108">
        <f>ROW(Source!A70)</f>
        <v>70</v>
      </c>
      <c r="B108">
        <v>39096431</v>
      </c>
      <c r="C108">
        <v>39097350</v>
      </c>
      <c r="D108">
        <v>36882452</v>
      </c>
      <c r="E108">
        <v>1</v>
      </c>
      <c r="F108">
        <v>1</v>
      </c>
      <c r="G108">
        <v>1</v>
      </c>
      <c r="H108">
        <v>2</v>
      </c>
      <c r="I108" t="s">
        <v>663</v>
      </c>
      <c r="J108" t="s">
        <v>664</v>
      </c>
      <c r="K108" t="s">
        <v>665</v>
      </c>
      <c r="L108">
        <v>1368</v>
      </c>
      <c r="N108">
        <v>1011</v>
      </c>
      <c r="O108" t="s">
        <v>666</v>
      </c>
      <c r="P108" t="s">
        <v>666</v>
      </c>
      <c r="Q108">
        <v>1</v>
      </c>
      <c r="W108">
        <v>0</v>
      </c>
      <c r="X108">
        <v>1188625873</v>
      </c>
      <c r="Y108">
        <v>0.95</v>
      </c>
      <c r="AA108">
        <v>0</v>
      </c>
      <c r="AB108">
        <v>209.75</v>
      </c>
      <c r="AC108">
        <v>13.5</v>
      </c>
      <c r="AD108">
        <v>0</v>
      </c>
      <c r="AE108">
        <v>0</v>
      </c>
      <c r="AF108">
        <v>31.26</v>
      </c>
      <c r="AG108">
        <v>13.5</v>
      </c>
      <c r="AH108">
        <v>0</v>
      </c>
      <c r="AI108">
        <v>1</v>
      </c>
      <c r="AJ108">
        <v>6.71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0.76</v>
      </c>
      <c r="AU108" t="s">
        <v>85</v>
      </c>
      <c r="AV108">
        <v>0</v>
      </c>
      <c r="AW108">
        <v>2</v>
      </c>
      <c r="AX108">
        <v>39097358</v>
      </c>
      <c r="AY108">
        <v>1</v>
      </c>
      <c r="AZ108">
        <v>0</v>
      </c>
      <c r="BA108">
        <v>109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Y108*Source!I70</f>
        <v>3.1520999999999999</v>
      </c>
      <c r="CY108">
        <f>AB108</f>
        <v>209.75</v>
      </c>
      <c r="CZ108">
        <f>AF108</f>
        <v>31.26</v>
      </c>
      <c r="DA108">
        <f>AJ108</f>
        <v>6.71</v>
      </c>
      <c r="DB108">
        <v>0</v>
      </c>
    </row>
    <row r="109" spans="1:106" x14ac:dyDescent="0.2">
      <c r="A109">
        <f>ROW(Source!A70)</f>
        <v>70</v>
      </c>
      <c r="B109">
        <v>39096431</v>
      </c>
      <c r="C109">
        <v>39097350</v>
      </c>
      <c r="D109">
        <v>36883554</v>
      </c>
      <c r="E109">
        <v>1</v>
      </c>
      <c r="F109">
        <v>1</v>
      </c>
      <c r="G109">
        <v>1</v>
      </c>
      <c r="H109">
        <v>2</v>
      </c>
      <c r="I109" t="s">
        <v>679</v>
      </c>
      <c r="J109" t="s">
        <v>680</v>
      </c>
      <c r="K109" t="s">
        <v>681</v>
      </c>
      <c r="L109">
        <v>1368</v>
      </c>
      <c r="N109">
        <v>1011</v>
      </c>
      <c r="O109" t="s">
        <v>666</v>
      </c>
      <c r="P109" t="s">
        <v>666</v>
      </c>
      <c r="Q109">
        <v>1</v>
      </c>
      <c r="W109">
        <v>0</v>
      </c>
      <c r="X109">
        <v>1372534845</v>
      </c>
      <c r="Y109">
        <v>5.7249999999999996</v>
      </c>
      <c r="AA109">
        <v>0</v>
      </c>
      <c r="AB109">
        <v>440.91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6.71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4.58</v>
      </c>
      <c r="AU109" t="s">
        <v>85</v>
      </c>
      <c r="AV109">
        <v>0</v>
      </c>
      <c r="AW109">
        <v>2</v>
      </c>
      <c r="AX109">
        <v>39097359</v>
      </c>
      <c r="AY109">
        <v>1</v>
      </c>
      <c r="AZ109">
        <v>0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Y109*Source!I70</f>
        <v>18.995549999999998</v>
      </c>
      <c r="CY109">
        <f>AB109</f>
        <v>440.91</v>
      </c>
      <c r="CZ109">
        <f>AF109</f>
        <v>65.709999999999994</v>
      </c>
      <c r="DA109">
        <f>AJ109</f>
        <v>6.71</v>
      </c>
      <c r="DB109">
        <v>0</v>
      </c>
    </row>
    <row r="110" spans="1:106" x14ac:dyDescent="0.2">
      <c r="A110">
        <f>ROW(Source!A70)</f>
        <v>70</v>
      </c>
      <c r="B110">
        <v>39096431</v>
      </c>
      <c r="C110">
        <v>39097350</v>
      </c>
      <c r="D110">
        <v>36801649</v>
      </c>
      <c r="E110">
        <v>1</v>
      </c>
      <c r="F110">
        <v>1</v>
      </c>
      <c r="G110">
        <v>1</v>
      </c>
      <c r="H110">
        <v>3</v>
      </c>
      <c r="I110" t="s">
        <v>755</v>
      </c>
      <c r="J110" t="s">
        <v>756</v>
      </c>
      <c r="K110" t="s">
        <v>757</v>
      </c>
      <c r="L110">
        <v>1327</v>
      </c>
      <c r="N110">
        <v>1005</v>
      </c>
      <c r="O110" t="s">
        <v>83</v>
      </c>
      <c r="P110" t="s">
        <v>83</v>
      </c>
      <c r="Q110">
        <v>1</v>
      </c>
      <c r="W110">
        <v>0</v>
      </c>
      <c r="X110">
        <v>1385600515</v>
      </c>
      <c r="Y110">
        <v>103</v>
      </c>
      <c r="AA110">
        <v>347.58</v>
      </c>
      <c r="AB110">
        <v>0</v>
      </c>
      <c r="AC110">
        <v>0</v>
      </c>
      <c r="AD110">
        <v>0</v>
      </c>
      <c r="AE110">
        <v>51.8</v>
      </c>
      <c r="AF110">
        <v>0</v>
      </c>
      <c r="AG110">
        <v>0</v>
      </c>
      <c r="AH110">
        <v>0</v>
      </c>
      <c r="AI110">
        <v>6.71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103</v>
      </c>
      <c r="AU110" t="s">
        <v>3</v>
      </c>
      <c r="AV110">
        <v>0</v>
      </c>
      <c r="AW110">
        <v>2</v>
      </c>
      <c r="AX110">
        <v>39097360</v>
      </c>
      <c r="AY110">
        <v>1</v>
      </c>
      <c r="AZ110">
        <v>0</v>
      </c>
      <c r="BA110">
        <v>111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Y110*Source!I70</f>
        <v>341.75400000000002</v>
      </c>
      <c r="CY110">
        <f>AA110</f>
        <v>347.58</v>
      </c>
      <c r="CZ110">
        <f>AE110</f>
        <v>51.8</v>
      </c>
      <c r="DA110">
        <f>AI110</f>
        <v>6.71</v>
      </c>
      <c r="DB110">
        <v>0</v>
      </c>
    </row>
    <row r="111" spans="1:106" x14ac:dyDescent="0.2">
      <c r="A111">
        <f>ROW(Source!A71)</f>
        <v>71</v>
      </c>
      <c r="B111">
        <v>39096431</v>
      </c>
      <c r="C111">
        <v>39097361</v>
      </c>
      <c r="D111">
        <v>37066837</v>
      </c>
      <c r="E111">
        <v>1</v>
      </c>
      <c r="F111">
        <v>1</v>
      </c>
      <c r="G111">
        <v>1</v>
      </c>
      <c r="H111">
        <v>1</v>
      </c>
      <c r="I111" t="s">
        <v>731</v>
      </c>
      <c r="J111" t="s">
        <v>3</v>
      </c>
      <c r="K111" t="s">
        <v>732</v>
      </c>
      <c r="L111">
        <v>1191</v>
      </c>
      <c r="N111">
        <v>1013</v>
      </c>
      <c r="O111" t="s">
        <v>660</v>
      </c>
      <c r="P111" t="s">
        <v>660</v>
      </c>
      <c r="Q111">
        <v>1</v>
      </c>
      <c r="W111">
        <v>0</v>
      </c>
      <c r="X111">
        <v>1850719656</v>
      </c>
      <c r="Y111">
        <v>42.37</v>
      </c>
      <c r="AA111">
        <v>0</v>
      </c>
      <c r="AB111">
        <v>0</v>
      </c>
      <c r="AC111">
        <v>0</v>
      </c>
      <c r="AD111">
        <v>55.76</v>
      </c>
      <c r="AE111">
        <v>0</v>
      </c>
      <c r="AF111">
        <v>0</v>
      </c>
      <c r="AG111">
        <v>0</v>
      </c>
      <c r="AH111">
        <v>8.31</v>
      </c>
      <c r="AI111">
        <v>1</v>
      </c>
      <c r="AJ111">
        <v>1</v>
      </c>
      <c r="AK111">
        <v>1</v>
      </c>
      <c r="AL111">
        <v>6.71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42.37</v>
      </c>
      <c r="AU111" t="s">
        <v>3</v>
      </c>
      <c r="AV111">
        <v>1</v>
      </c>
      <c r="AW111">
        <v>2</v>
      </c>
      <c r="AX111">
        <v>39097368</v>
      </c>
      <c r="AY111">
        <v>1</v>
      </c>
      <c r="AZ111">
        <v>0</v>
      </c>
      <c r="BA111">
        <v>112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Y111*Source!I71</f>
        <v>213.68885799999998</v>
      </c>
      <c r="CY111">
        <f>AD111</f>
        <v>55.76</v>
      </c>
      <c r="CZ111">
        <f>AH111</f>
        <v>8.31</v>
      </c>
      <c r="DA111">
        <f>AL111</f>
        <v>6.71</v>
      </c>
      <c r="DB111">
        <v>0</v>
      </c>
    </row>
    <row r="112" spans="1:106" x14ac:dyDescent="0.2">
      <c r="A112">
        <f>ROW(Source!A71)</f>
        <v>71</v>
      </c>
      <c r="B112">
        <v>39096431</v>
      </c>
      <c r="C112">
        <v>39097361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661</v>
      </c>
      <c r="J112" t="s">
        <v>3</v>
      </c>
      <c r="K112" t="s">
        <v>662</v>
      </c>
      <c r="L112">
        <v>1191</v>
      </c>
      <c r="N112">
        <v>1013</v>
      </c>
      <c r="O112" t="s">
        <v>660</v>
      </c>
      <c r="P112" t="s">
        <v>660</v>
      </c>
      <c r="Q112">
        <v>1</v>
      </c>
      <c r="W112">
        <v>0</v>
      </c>
      <c r="X112">
        <v>-1417349443</v>
      </c>
      <c r="Y112">
        <v>0.64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6.71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0.64</v>
      </c>
      <c r="AU112" t="s">
        <v>3</v>
      </c>
      <c r="AV112">
        <v>2</v>
      </c>
      <c r="AW112">
        <v>2</v>
      </c>
      <c r="AX112">
        <v>39097369</v>
      </c>
      <c r="AY112">
        <v>1</v>
      </c>
      <c r="AZ112">
        <v>0</v>
      </c>
      <c r="BA112">
        <v>113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Y112*Source!I71</f>
        <v>3.227776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ROW(Source!A71)</f>
        <v>71</v>
      </c>
      <c r="B113">
        <v>39096431</v>
      </c>
      <c r="C113">
        <v>39097361</v>
      </c>
      <c r="D113">
        <v>36882452</v>
      </c>
      <c r="E113">
        <v>1</v>
      </c>
      <c r="F113">
        <v>1</v>
      </c>
      <c r="G113">
        <v>1</v>
      </c>
      <c r="H113">
        <v>2</v>
      </c>
      <c r="I113" t="s">
        <v>663</v>
      </c>
      <c r="J113" t="s">
        <v>664</v>
      </c>
      <c r="K113" t="s">
        <v>665</v>
      </c>
      <c r="L113">
        <v>1368</v>
      </c>
      <c r="N113">
        <v>1011</v>
      </c>
      <c r="O113" t="s">
        <v>666</v>
      </c>
      <c r="P113" t="s">
        <v>666</v>
      </c>
      <c r="Q113">
        <v>1</v>
      </c>
      <c r="W113">
        <v>0</v>
      </c>
      <c r="X113">
        <v>1188625873</v>
      </c>
      <c r="Y113">
        <v>0.64</v>
      </c>
      <c r="AA113">
        <v>0</v>
      </c>
      <c r="AB113">
        <v>209.75</v>
      </c>
      <c r="AC113">
        <v>13.5</v>
      </c>
      <c r="AD113">
        <v>0</v>
      </c>
      <c r="AE113">
        <v>0</v>
      </c>
      <c r="AF113">
        <v>31.26</v>
      </c>
      <c r="AG113">
        <v>13.5</v>
      </c>
      <c r="AH113">
        <v>0</v>
      </c>
      <c r="AI113">
        <v>1</v>
      </c>
      <c r="AJ113">
        <v>6.71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0.64</v>
      </c>
      <c r="AU113" t="s">
        <v>3</v>
      </c>
      <c r="AV113">
        <v>0</v>
      </c>
      <c r="AW113">
        <v>2</v>
      </c>
      <c r="AX113">
        <v>39097370</v>
      </c>
      <c r="AY113">
        <v>1</v>
      </c>
      <c r="AZ113">
        <v>0</v>
      </c>
      <c r="BA113">
        <v>114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Y113*Source!I71</f>
        <v>3.227776</v>
      </c>
      <c r="CY113">
        <f>AB113</f>
        <v>209.75</v>
      </c>
      <c r="CZ113">
        <f>AF113</f>
        <v>31.26</v>
      </c>
      <c r="DA113">
        <f>AJ113</f>
        <v>6.71</v>
      </c>
      <c r="DB113">
        <v>0</v>
      </c>
    </row>
    <row r="114" spans="1:106" x14ac:dyDescent="0.2">
      <c r="A114">
        <f>ROW(Source!A71)</f>
        <v>71</v>
      </c>
      <c r="B114">
        <v>39096431</v>
      </c>
      <c r="C114">
        <v>39097361</v>
      </c>
      <c r="D114">
        <v>36801792</v>
      </c>
      <c r="E114">
        <v>1</v>
      </c>
      <c r="F114">
        <v>1</v>
      </c>
      <c r="G114">
        <v>1</v>
      </c>
      <c r="H114">
        <v>3</v>
      </c>
      <c r="I114" t="s">
        <v>671</v>
      </c>
      <c r="J114" t="s">
        <v>672</v>
      </c>
      <c r="K114" t="s">
        <v>673</v>
      </c>
      <c r="L114">
        <v>1339</v>
      </c>
      <c r="N114">
        <v>1007</v>
      </c>
      <c r="O114" t="s">
        <v>106</v>
      </c>
      <c r="P114" t="s">
        <v>106</v>
      </c>
      <c r="Q114">
        <v>1</v>
      </c>
      <c r="W114">
        <v>0</v>
      </c>
      <c r="X114">
        <v>-1660354250</v>
      </c>
      <c r="Y114">
        <v>0.35</v>
      </c>
      <c r="AA114">
        <v>16.37</v>
      </c>
      <c r="AB114">
        <v>0</v>
      </c>
      <c r="AC114">
        <v>0</v>
      </c>
      <c r="AD114">
        <v>0</v>
      </c>
      <c r="AE114">
        <v>2.44</v>
      </c>
      <c r="AF114">
        <v>0</v>
      </c>
      <c r="AG114">
        <v>0</v>
      </c>
      <c r="AH114">
        <v>0</v>
      </c>
      <c r="AI114">
        <v>6.71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0.35</v>
      </c>
      <c r="AU114" t="s">
        <v>3</v>
      </c>
      <c r="AV114">
        <v>0</v>
      </c>
      <c r="AW114">
        <v>2</v>
      </c>
      <c r="AX114">
        <v>39097371</v>
      </c>
      <c r="AY114">
        <v>1</v>
      </c>
      <c r="AZ114">
        <v>0</v>
      </c>
      <c r="BA114">
        <v>115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Y114*Source!I71</f>
        <v>1.7651899999999998</v>
      </c>
      <c r="CY114">
        <f>AA114</f>
        <v>16.37</v>
      </c>
      <c r="CZ114">
        <f>AE114</f>
        <v>2.44</v>
      </c>
      <c r="DA114">
        <f>AI114</f>
        <v>6.71</v>
      </c>
      <c r="DB114">
        <v>0</v>
      </c>
    </row>
    <row r="115" spans="1:106" x14ac:dyDescent="0.2">
      <c r="A115">
        <f>ROW(Source!A71)</f>
        <v>71</v>
      </c>
      <c r="B115">
        <v>39096431</v>
      </c>
      <c r="C115">
        <v>39097361</v>
      </c>
      <c r="D115">
        <v>36807381</v>
      </c>
      <c r="E115">
        <v>1</v>
      </c>
      <c r="F115">
        <v>1</v>
      </c>
      <c r="G115">
        <v>1</v>
      </c>
      <c r="H115">
        <v>3</v>
      </c>
      <c r="I115" t="s">
        <v>217</v>
      </c>
      <c r="J115" t="s">
        <v>219</v>
      </c>
      <c r="K115" t="s">
        <v>218</v>
      </c>
      <c r="L115">
        <v>1339</v>
      </c>
      <c r="N115">
        <v>1007</v>
      </c>
      <c r="O115" t="s">
        <v>106</v>
      </c>
      <c r="P115" t="s">
        <v>106</v>
      </c>
      <c r="Q115">
        <v>1</v>
      </c>
      <c r="W115">
        <v>1</v>
      </c>
      <c r="X115">
        <v>-1001479081</v>
      </c>
      <c r="Y115">
        <v>-1.06</v>
      </c>
      <c r="AA115">
        <v>3475.18</v>
      </c>
      <c r="AB115">
        <v>0</v>
      </c>
      <c r="AC115">
        <v>0</v>
      </c>
      <c r="AD115">
        <v>0</v>
      </c>
      <c r="AE115">
        <v>517.91</v>
      </c>
      <c r="AF115">
        <v>0</v>
      </c>
      <c r="AG115">
        <v>0</v>
      </c>
      <c r="AH115">
        <v>0</v>
      </c>
      <c r="AI115">
        <v>6.71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-1.06</v>
      </c>
      <c r="AU115" t="s">
        <v>3</v>
      </c>
      <c r="AV115">
        <v>0</v>
      </c>
      <c r="AW115">
        <v>2</v>
      </c>
      <c r="AX115">
        <v>39097372</v>
      </c>
      <c r="AY115">
        <v>1</v>
      </c>
      <c r="AZ115">
        <v>6144</v>
      </c>
      <c r="BA115">
        <v>116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Y115*Source!I71</f>
        <v>-5.3460040000000006</v>
      </c>
      <c r="CY115">
        <f>AA115</f>
        <v>3475.18</v>
      </c>
      <c r="CZ115">
        <f>AE115</f>
        <v>517.91</v>
      </c>
      <c r="DA115">
        <f>AI115</f>
        <v>6.71</v>
      </c>
      <c r="DB115">
        <v>0</v>
      </c>
    </row>
    <row r="116" spans="1:106" x14ac:dyDescent="0.2">
      <c r="A116">
        <f>ROW(Source!A71)</f>
        <v>71</v>
      </c>
      <c r="B116">
        <v>39096431</v>
      </c>
      <c r="C116">
        <v>39097361</v>
      </c>
      <c r="D116">
        <v>36807508</v>
      </c>
      <c r="E116">
        <v>1</v>
      </c>
      <c r="F116">
        <v>1</v>
      </c>
      <c r="G116">
        <v>1</v>
      </c>
      <c r="H116">
        <v>3</v>
      </c>
      <c r="I116" t="s">
        <v>221</v>
      </c>
      <c r="J116" t="s">
        <v>223</v>
      </c>
      <c r="K116" t="s">
        <v>222</v>
      </c>
      <c r="L116">
        <v>1346</v>
      </c>
      <c r="N116">
        <v>1009</v>
      </c>
      <c r="O116" t="s">
        <v>138</v>
      </c>
      <c r="P116" t="s">
        <v>138</v>
      </c>
      <c r="Q116">
        <v>1</v>
      </c>
      <c r="W116">
        <v>0</v>
      </c>
      <c r="X116">
        <v>-60067644</v>
      </c>
      <c r="Y116">
        <v>1589.907602</v>
      </c>
      <c r="AA116">
        <v>13.89</v>
      </c>
      <c r="AB116">
        <v>0</v>
      </c>
      <c r="AC116">
        <v>0</v>
      </c>
      <c r="AD116">
        <v>0</v>
      </c>
      <c r="AE116">
        <v>2.0699999999999998</v>
      </c>
      <c r="AF116">
        <v>0</v>
      </c>
      <c r="AG116">
        <v>0</v>
      </c>
      <c r="AH116">
        <v>0</v>
      </c>
      <c r="AI116">
        <v>6.71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3</v>
      </c>
      <c r="AT116">
        <v>1589.907602</v>
      </c>
      <c r="AU116" t="s">
        <v>3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Y116*Source!I71</f>
        <v>8018.5399999268002</v>
      </c>
      <c r="CY116">
        <f>AA116</f>
        <v>13.89</v>
      </c>
      <c r="CZ116">
        <f>AE116</f>
        <v>2.0699999999999998</v>
      </c>
      <c r="DA116">
        <f>AI116</f>
        <v>6.71</v>
      </c>
      <c r="DB116">
        <v>0</v>
      </c>
    </row>
    <row r="117" spans="1:106" x14ac:dyDescent="0.2">
      <c r="A117">
        <f>ROW(Source!A74)</f>
        <v>74</v>
      </c>
      <c r="B117">
        <v>39096431</v>
      </c>
      <c r="C117">
        <v>39097375</v>
      </c>
      <c r="D117">
        <v>37071037</v>
      </c>
      <c r="E117">
        <v>1</v>
      </c>
      <c r="F117">
        <v>1</v>
      </c>
      <c r="G117">
        <v>1</v>
      </c>
      <c r="H117">
        <v>1</v>
      </c>
      <c r="I117" t="s">
        <v>697</v>
      </c>
      <c r="J117" t="s">
        <v>3</v>
      </c>
      <c r="K117" t="s">
        <v>698</v>
      </c>
      <c r="L117">
        <v>1191</v>
      </c>
      <c r="N117">
        <v>1013</v>
      </c>
      <c r="O117" t="s">
        <v>660</v>
      </c>
      <c r="P117" t="s">
        <v>660</v>
      </c>
      <c r="Q117">
        <v>1</v>
      </c>
      <c r="W117">
        <v>0</v>
      </c>
      <c r="X117">
        <v>1069510174</v>
      </c>
      <c r="Y117">
        <v>18.767999999999997</v>
      </c>
      <c r="AA117">
        <v>0</v>
      </c>
      <c r="AB117">
        <v>0</v>
      </c>
      <c r="AC117">
        <v>0</v>
      </c>
      <c r="AD117">
        <v>64.55</v>
      </c>
      <c r="AE117">
        <v>0</v>
      </c>
      <c r="AF117">
        <v>0</v>
      </c>
      <c r="AG117">
        <v>0</v>
      </c>
      <c r="AH117">
        <v>9.6199999999999992</v>
      </c>
      <c r="AI117">
        <v>1</v>
      </c>
      <c r="AJ117">
        <v>1</v>
      </c>
      <c r="AK117">
        <v>1</v>
      </c>
      <c r="AL117">
        <v>6.71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16.32</v>
      </c>
      <c r="AU117" t="s">
        <v>86</v>
      </c>
      <c r="AV117">
        <v>1</v>
      </c>
      <c r="AW117">
        <v>2</v>
      </c>
      <c r="AX117">
        <v>39097383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Y117*Source!I74</f>
        <v>94.654531199999994</v>
      </c>
      <c r="CY117">
        <f>AD117</f>
        <v>64.55</v>
      </c>
      <c r="CZ117">
        <f>AH117</f>
        <v>9.6199999999999992</v>
      </c>
      <c r="DA117">
        <f>AL117</f>
        <v>6.71</v>
      </c>
      <c r="DB117">
        <v>0</v>
      </c>
    </row>
    <row r="118" spans="1:106" x14ac:dyDescent="0.2">
      <c r="A118">
        <f>ROW(Source!A74)</f>
        <v>74</v>
      </c>
      <c r="B118">
        <v>39096431</v>
      </c>
      <c r="C118">
        <v>39097375</v>
      </c>
      <c r="D118">
        <v>37064876</v>
      </c>
      <c r="E118">
        <v>1</v>
      </c>
      <c r="F118">
        <v>1</v>
      </c>
      <c r="G118">
        <v>1</v>
      </c>
      <c r="H118">
        <v>1</v>
      </c>
      <c r="I118" t="s">
        <v>661</v>
      </c>
      <c r="J118" t="s">
        <v>3</v>
      </c>
      <c r="K118" t="s">
        <v>662</v>
      </c>
      <c r="L118">
        <v>1191</v>
      </c>
      <c r="N118">
        <v>1013</v>
      </c>
      <c r="O118" t="s">
        <v>660</v>
      </c>
      <c r="P118" t="s">
        <v>660</v>
      </c>
      <c r="Q118">
        <v>1</v>
      </c>
      <c r="W118">
        <v>0</v>
      </c>
      <c r="X118">
        <v>-1417349443</v>
      </c>
      <c r="Y118">
        <v>0.03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6.71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0.03</v>
      </c>
      <c r="AU118" t="s">
        <v>3</v>
      </c>
      <c r="AV118">
        <v>2</v>
      </c>
      <c r="AW118">
        <v>2</v>
      </c>
      <c r="AX118">
        <v>39097384</v>
      </c>
      <c r="AY118">
        <v>1</v>
      </c>
      <c r="AZ118">
        <v>2048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Y118*Source!I74</f>
        <v>0.15130199999999999</v>
      </c>
      <c r="CY118">
        <f>AD118</f>
        <v>0</v>
      </c>
      <c r="CZ118">
        <f>AH118</f>
        <v>0</v>
      </c>
      <c r="DA118">
        <f>AL118</f>
        <v>1</v>
      </c>
      <c r="DB118">
        <v>0</v>
      </c>
    </row>
    <row r="119" spans="1:106" x14ac:dyDescent="0.2">
      <c r="A119">
        <f>ROW(Source!A74)</f>
        <v>74</v>
      </c>
      <c r="B119">
        <v>39096431</v>
      </c>
      <c r="C119">
        <v>39097375</v>
      </c>
      <c r="D119">
        <v>36882452</v>
      </c>
      <c r="E119">
        <v>1</v>
      </c>
      <c r="F119">
        <v>1</v>
      </c>
      <c r="G119">
        <v>1</v>
      </c>
      <c r="H119">
        <v>2</v>
      </c>
      <c r="I119" t="s">
        <v>663</v>
      </c>
      <c r="J119" t="s">
        <v>664</v>
      </c>
      <c r="K119" t="s">
        <v>665</v>
      </c>
      <c r="L119">
        <v>1368</v>
      </c>
      <c r="N119">
        <v>1011</v>
      </c>
      <c r="O119" t="s">
        <v>666</v>
      </c>
      <c r="P119" t="s">
        <v>666</v>
      </c>
      <c r="Q119">
        <v>1</v>
      </c>
      <c r="W119">
        <v>0</v>
      </c>
      <c r="X119">
        <v>1188625873</v>
      </c>
      <c r="Y119">
        <v>1.2500000000000001E-2</v>
      </c>
      <c r="AA119">
        <v>0</v>
      </c>
      <c r="AB119">
        <v>209.75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6.71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0.01</v>
      </c>
      <c r="AU119" t="s">
        <v>85</v>
      </c>
      <c r="AV119">
        <v>0</v>
      </c>
      <c r="AW119">
        <v>2</v>
      </c>
      <c r="AX119">
        <v>39097385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Y119*Source!I74</f>
        <v>6.3042500000000001E-2</v>
      </c>
      <c r="CY119">
        <f>AB119</f>
        <v>209.75</v>
      </c>
      <c r="CZ119">
        <f>AF119</f>
        <v>31.26</v>
      </c>
      <c r="DA119">
        <f>AJ119</f>
        <v>6.71</v>
      </c>
      <c r="DB119">
        <v>0</v>
      </c>
    </row>
    <row r="120" spans="1:106" x14ac:dyDescent="0.2">
      <c r="A120">
        <f>ROW(Source!A74)</f>
        <v>74</v>
      </c>
      <c r="B120">
        <v>39096431</v>
      </c>
      <c r="C120">
        <v>39097375</v>
      </c>
      <c r="D120">
        <v>36883554</v>
      </c>
      <c r="E120">
        <v>1</v>
      </c>
      <c r="F120">
        <v>1</v>
      </c>
      <c r="G120">
        <v>1</v>
      </c>
      <c r="H120">
        <v>2</v>
      </c>
      <c r="I120" t="s">
        <v>679</v>
      </c>
      <c r="J120" t="s">
        <v>680</v>
      </c>
      <c r="K120" t="s">
        <v>681</v>
      </c>
      <c r="L120">
        <v>1368</v>
      </c>
      <c r="N120">
        <v>1011</v>
      </c>
      <c r="O120" t="s">
        <v>666</v>
      </c>
      <c r="P120" t="s">
        <v>666</v>
      </c>
      <c r="Q120">
        <v>1</v>
      </c>
      <c r="W120">
        <v>0</v>
      </c>
      <c r="X120">
        <v>1372534845</v>
      </c>
      <c r="Y120">
        <v>2.5000000000000001E-2</v>
      </c>
      <c r="AA120">
        <v>0</v>
      </c>
      <c r="AB120">
        <v>440.91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6.71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0.02</v>
      </c>
      <c r="AU120" t="s">
        <v>85</v>
      </c>
      <c r="AV120">
        <v>0</v>
      </c>
      <c r="AW120">
        <v>2</v>
      </c>
      <c r="AX120">
        <v>39097386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Y120*Source!I74</f>
        <v>0.126085</v>
      </c>
      <c r="CY120">
        <f>AB120</f>
        <v>440.91</v>
      </c>
      <c r="CZ120">
        <f>AF120</f>
        <v>65.709999999999994</v>
      </c>
      <c r="DA120">
        <f>AJ120</f>
        <v>6.71</v>
      </c>
      <c r="DB120">
        <v>0</v>
      </c>
    </row>
    <row r="121" spans="1:106" x14ac:dyDescent="0.2">
      <c r="A121">
        <f>ROW(Source!A74)</f>
        <v>74</v>
      </c>
      <c r="B121">
        <v>39096431</v>
      </c>
      <c r="C121">
        <v>39097375</v>
      </c>
      <c r="D121">
        <v>36805524</v>
      </c>
      <c r="E121">
        <v>1</v>
      </c>
      <c r="F121">
        <v>1</v>
      </c>
      <c r="G121">
        <v>1</v>
      </c>
      <c r="H121">
        <v>3</v>
      </c>
      <c r="I121" t="s">
        <v>688</v>
      </c>
      <c r="J121" t="s">
        <v>689</v>
      </c>
      <c r="K121" t="s">
        <v>690</v>
      </c>
      <c r="L121">
        <v>1346</v>
      </c>
      <c r="N121">
        <v>1009</v>
      </c>
      <c r="O121" t="s">
        <v>138</v>
      </c>
      <c r="P121" t="s">
        <v>138</v>
      </c>
      <c r="Q121">
        <v>1</v>
      </c>
      <c r="W121">
        <v>0</v>
      </c>
      <c r="X121">
        <v>813963326</v>
      </c>
      <c r="Y121">
        <v>0.2</v>
      </c>
      <c r="AA121">
        <v>12.21</v>
      </c>
      <c r="AB121">
        <v>0</v>
      </c>
      <c r="AC121">
        <v>0</v>
      </c>
      <c r="AD121">
        <v>0</v>
      </c>
      <c r="AE121">
        <v>1.82</v>
      </c>
      <c r="AF121">
        <v>0</v>
      </c>
      <c r="AG121">
        <v>0</v>
      </c>
      <c r="AH121">
        <v>0</v>
      </c>
      <c r="AI121">
        <v>6.71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0.2</v>
      </c>
      <c r="AU121" t="s">
        <v>3</v>
      </c>
      <c r="AV121">
        <v>0</v>
      </c>
      <c r="AW121">
        <v>2</v>
      </c>
      <c r="AX121">
        <v>39097387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Y121*Source!I74</f>
        <v>1.00868</v>
      </c>
      <c r="CY121">
        <f>AA121</f>
        <v>12.21</v>
      </c>
      <c r="CZ121">
        <f>AE121</f>
        <v>1.82</v>
      </c>
      <c r="DA121">
        <f>AI121</f>
        <v>6.71</v>
      </c>
      <c r="DB121">
        <v>0</v>
      </c>
    </row>
    <row r="122" spans="1:106" x14ac:dyDescent="0.2">
      <c r="A122">
        <f>ROW(Source!A74)</f>
        <v>74</v>
      </c>
      <c r="B122">
        <v>39096431</v>
      </c>
      <c r="C122">
        <v>39097375</v>
      </c>
      <c r="D122">
        <v>36837698</v>
      </c>
      <c r="E122">
        <v>1</v>
      </c>
      <c r="F122">
        <v>1</v>
      </c>
      <c r="G122">
        <v>1</v>
      </c>
      <c r="H122">
        <v>3</v>
      </c>
      <c r="I122" t="s">
        <v>232</v>
      </c>
      <c r="J122" t="s">
        <v>234</v>
      </c>
      <c r="K122" t="s">
        <v>233</v>
      </c>
      <c r="L122">
        <v>1346</v>
      </c>
      <c r="N122">
        <v>1009</v>
      </c>
      <c r="O122" t="s">
        <v>138</v>
      </c>
      <c r="P122" t="s">
        <v>138</v>
      </c>
      <c r="Q122">
        <v>1</v>
      </c>
      <c r="W122">
        <v>0</v>
      </c>
      <c r="X122">
        <v>1453462043</v>
      </c>
      <c r="Y122">
        <v>20</v>
      </c>
      <c r="AA122">
        <v>101.25</v>
      </c>
      <c r="AB122">
        <v>0</v>
      </c>
      <c r="AC122">
        <v>0</v>
      </c>
      <c r="AD122">
        <v>0</v>
      </c>
      <c r="AE122">
        <v>15.09</v>
      </c>
      <c r="AF122">
        <v>0</v>
      </c>
      <c r="AG122">
        <v>0</v>
      </c>
      <c r="AH122">
        <v>0</v>
      </c>
      <c r="AI122">
        <v>6.71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20</v>
      </c>
      <c r="AU122" t="s">
        <v>3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Y122*Source!I74</f>
        <v>100.86799999999999</v>
      </c>
      <c r="CY122">
        <f>AA122</f>
        <v>101.25</v>
      </c>
      <c r="CZ122">
        <f>AE122</f>
        <v>15.09</v>
      </c>
      <c r="DA122">
        <f>AI122</f>
        <v>6.71</v>
      </c>
      <c r="DB122">
        <v>0</v>
      </c>
    </row>
    <row r="123" spans="1:106" x14ac:dyDescent="0.2">
      <c r="A123">
        <f>ROW(Source!A74)</f>
        <v>74</v>
      </c>
      <c r="B123">
        <v>39096431</v>
      </c>
      <c r="C123">
        <v>39097375</v>
      </c>
      <c r="D123">
        <v>36797079</v>
      </c>
      <c r="E123">
        <v>17</v>
      </c>
      <c r="F123">
        <v>1</v>
      </c>
      <c r="G123">
        <v>1</v>
      </c>
      <c r="H123">
        <v>3</v>
      </c>
      <c r="I123" t="s">
        <v>229</v>
      </c>
      <c r="J123" t="s">
        <v>3</v>
      </c>
      <c r="K123" t="s">
        <v>230</v>
      </c>
      <c r="L123">
        <v>1348</v>
      </c>
      <c r="N123">
        <v>1009</v>
      </c>
      <c r="O123" t="s">
        <v>110</v>
      </c>
      <c r="P123" t="s">
        <v>110</v>
      </c>
      <c r="Q123">
        <v>1000</v>
      </c>
      <c r="W123">
        <v>0</v>
      </c>
      <c r="X123">
        <v>-1212923053</v>
      </c>
      <c r="Y123">
        <v>0.02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6.71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3</v>
      </c>
      <c r="AT123">
        <v>0.02</v>
      </c>
      <c r="AU123" t="s">
        <v>3</v>
      </c>
      <c r="AV123">
        <v>0</v>
      </c>
      <c r="AW123">
        <v>2</v>
      </c>
      <c r="AX123">
        <v>39097388</v>
      </c>
      <c r="AY123">
        <v>1</v>
      </c>
      <c r="AZ123">
        <v>0</v>
      </c>
      <c r="BA123">
        <v>122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Y123*Source!I74</f>
        <v>0.100868</v>
      </c>
      <c r="CY123">
        <f>AA123</f>
        <v>0</v>
      </c>
      <c r="CZ123">
        <f>AE123</f>
        <v>0</v>
      </c>
      <c r="DA123">
        <f>AI123</f>
        <v>6.71</v>
      </c>
      <c r="DB123">
        <v>0</v>
      </c>
    </row>
    <row r="124" spans="1:106" x14ac:dyDescent="0.2">
      <c r="A124">
        <f>ROW(Source!A77)</f>
        <v>77</v>
      </c>
      <c r="B124">
        <v>39096431</v>
      </c>
      <c r="C124">
        <v>39097391</v>
      </c>
      <c r="D124">
        <v>37070090</v>
      </c>
      <c r="E124">
        <v>1</v>
      </c>
      <c r="F124">
        <v>1</v>
      </c>
      <c r="G124">
        <v>1</v>
      </c>
      <c r="H124">
        <v>1</v>
      </c>
      <c r="I124" t="s">
        <v>758</v>
      </c>
      <c r="J124" t="s">
        <v>3</v>
      </c>
      <c r="K124" t="s">
        <v>759</v>
      </c>
      <c r="L124">
        <v>1191</v>
      </c>
      <c r="N124">
        <v>1013</v>
      </c>
      <c r="O124" t="s">
        <v>660</v>
      </c>
      <c r="P124" t="s">
        <v>660</v>
      </c>
      <c r="Q124">
        <v>1</v>
      </c>
      <c r="W124">
        <v>0</v>
      </c>
      <c r="X124">
        <v>-814890593</v>
      </c>
      <c r="Y124">
        <v>49.334999999999994</v>
      </c>
      <c r="AA124">
        <v>0</v>
      </c>
      <c r="AB124">
        <v>0</v>
      </c>
      <c r="AC124">
        <v>0</v>
      </c>
      <c r="AD124">
        <v>60.19</v>
      </c>
      <c r="AE124">
        <v>0</v>
      </c>
      <c r="AF124">
        <v>0</v>
      </c>
      <c r="AG124">
        <v>0</v>
      </c>
      <c r="AH124">
        <v>8.9700000000000006</v>
      </c>
      <c r="AI124">
        <v>1</v>
      </c>
      <c r="AJ124">
        <v>1</v>
      </c>
      <c r="AK124">
        <v>1</v>
      </c>
      <c r="AL124">
        <v>6.71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42.9</v>
      </c>
      <c r="AU124" t="s">
        <v>86</v>
      </c>
      <c r="AV124">
        <v>1</v>
      </c>
      <c r="AW124">
        <v>2</v>
      </c>
      <c r="AX124">
        <v>39097401</v>
      </c>
      <c r="AY124">
        <v>1</v>
      </c>
      <c r="AZ124">
        <v>0</v>
      </c>
      <c r="BA124">
        <v>123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Y124*Source!I77</f>
        <v>261.08081999999996</v>
      </c>
      <c r="CY124">
        <f>AD124</f>
        <v>60.19</v>
      </c>
      <c r="CZ124">
        <f>AH124</f>
        <v>8.9700000000000006</v>
      </c>
      <c r="DA124">
        <f>AL124</f>
        <v>6.71</v>
      </c>
      <c r="DB124">
        <v>0</v>
      </c>
    </row>
    <row r="125" spans="1:106" x14ac:dyDescent="0.2">
      <c r="A125">
        <f>ROW(Source!A77)</f>
        <v>77</v>
      </c>
      <c r="B125">
        <v>39096431</v>
      </c>
      <c r="C125">
        <v>39097391</v>
      </c>
      <c r="D125">
        <v>37064876</v>
      </c>
      <c r="E125">
        <v>1</v>
      </c>
      <c r="F125">
        <v>1</v>
      </c>
      <c r="G125">
        <v>1</v>
      </c>
      <c r="H125">
        <v>1</v>
      </c>
      <c r="I125" t="s">
        <v>661</v>
      </c>
      <c r="J125" t="s">
        <v>3</v>
      </c>
      <c r="K125" t="s">
        <v>662</v>
      </c>
      <c r="L125">
        <v>1191</v>
      </c>
      <c r="N125">
        <v>1013</v>
      </c>
      <c r="O125" t="s">
        <v>660</v>
      </c>
      <c r="P125" t="s">
        <v>660</v>
      </c>
      <c r="Q125">
        <v>1</v>
      </c>
      <c r="W125">
        <v>0</v>
      </c>
      <c r="X125">
        <v>-1417349443</v>
      </c>
      <c r="Y125">
        <v>0.17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6.71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0.17</v>
      </c>
      <c r="AU125" t="s">
        <v>3</v>
      </c>
      <c r="AV125">
        <v>2</v>
      </c>
      <c r="AW125">
        <v>2</v>
      </c>
      <c r="AX125">
        <v>39097402</v>
      </c>
      <c r="AY125">
        <v>1</v>
      </c>
      <c r="AZ125">
        <v>2048</v>
      </c>
      <c r="BA125">
        <v>124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Y125*Source!I77</f>
        <v>0.89964</v>
      </c>
      <c r="CY125">
        <f>AD125</f>
        <v>0</v>
      </c>
      <c r="CZ125">
        <f>AH125</f>
        <v>0</v>
      </c>
      <c r="DA125">
        <f>AL125</f>
        <v>1</v>
      </c>
      <c r="DB125">
        <v>0</v>
      </c>
    </row>
    <row r="126" spans="1:106" x14ac:dyDescent="0.2">
      <c r="A126">
        <f>ROW(Source!A77)</f>
        <v>77</v>
      </c>
      <c r="B126">
        <v>39096431</v>
      </c>
      <c r="C126">
        <v>39097391</v>
      </c>
      <c r="D126">
        <v>36882452</v>
      </c>
      <c r="E126">
        <v>1</v>
      </c>
      <c r="F126">
        <v>1</v>
      </c>
      <c r="G126">
        <v>1</v>
      </c>
      <c r="H126">
        <v>2</v>
      </c>
      <c r="I126" t="s">
        <v>663</v>
      </c>
      <c r="J126" t="s">
        <v>664</v>
      </c>
      <c r="K126" t="s">
        <v>665</v>
      </c>
      <c r="L126">
        <v>1368</v>
      </c>
      <c r="N126">
        <v>1011</v>
      </c>
      <c r="O126" t="s">
        <v>666</v>
      </c>
      <c r="P126" t="s">
        <v>666</v>
      </c>
      <c r="Q126">
        <v>1</v>
      </c>
      <c r="W126">
        <v>0</v>
      </c>
      <c r="X126">
        <v>1188625873</v>
      </c>
      <c r="Y126">
        <v>2.5000000000000001E-2</v>
      </c>
      <c r="AA126">
        <v>0</v>
      </c>
      <c r="AB126">
        <v>209.75</v>
      </c>
      <c r="AC126">
        <v>13.5</v>
      </c>
      <c r="AD126">
        <v>0</v>
      </c>
      <c r="AE126">
        <v>0</v>
      </c>
      <c r="AF126">
        <v>31.26</v>
      </c>
      <c r="AG126">
        <v>13.5</v>
      </c>
      <c r="AH126">
        <v>0</v>
      </c>
      <c r="AI126">
        <v>1</v>
      </c>
      <c r="AJ126">
        <v>6.71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0.02</v>
      </c>
      <c r="AU126" t="s">
        <v>85</v>
      </c>
      <c r="AV126">
        <v>0</v>
      </c>
      <c r="AW126">
        <v>2</v>
      </c>
      <c r="AX126">
        <v>39097403</v>
      </c>
      <c r="AY126">
        <v>1</v>
      </c>
      <c r="AZ126">
        <v>0</v>
      </c>
      <c r="BA126">
        <v>125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Y126*Source!I77</f>
        <v>0.1323</v>
      </c>
      <c r="CY126">
        <f>AB126</f>
        <v>209.75</v>
      </c>
      <c r="CZ126">
        <f>AF126</f>
        <v>31.26</v>
      </c>
      <c r="DA126">
        <f>AJ126</f>
        <v>6.71</v>
      </c>
      <c r="DB126">
        <v>0</v>
      </c>
    </row>
    <row r="127" spans="1:106" x14ac:dyDescent="0.2">
      <c r="A127">
        <f>ROW(Source!A77)</f>
        <v>77</v>
      </c>
      <c r="B127">
        <v>39096431</v>
      </c>
      <c r="C127">
        <v>39097391</v>
      </c>
      <c r="D127">
        <v>36883554</v>
      </c>
      <c r="E127">
        <v>1</v>
      </c>
      <c r="F127">
        <v>1</v>
      </c>
      <c r="G127">
        <v>1</v>
      </c>
      <c r="H127">
        <v>2</v>
      </c>
      <c r="I127" t="s">
        <v>679</v>
      </c>
      <c r="J127" t="s">
        <v>680</v>
      </c>
      <c r="K127" t="s">
        <v>681</v>
      </c>
      <c r="L127">
        <v>1368</v>
      </c>
      <c r="N127">
        <v>1011</v>
      </c>
      <c r="O127" t="s">
        <v>666</v>
      </c>
      <c r="P127" t="s">
        <v>666</v>
      </c>
      <c r="Q127">
        <v>1</v>
      </c>
      <c r="W127">
        <v>0</v>
      </c>
      <c r="X127">
        <v>1372534845</v>
      </c>
      <c r="Y127">
        <v>0.1875</v>
      </c>
      <c r="AA127">
        <v>0</v>
      </c>
      <c r="AB127">
        <v>440.91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6.71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0.15</v>
      </c>
      <c r="AU127" t="s">
        <v>85</v>
      </c>
      <c r="AV127">
        <v>0</v>
      </c>
      <c r="AW127">
        <v>2</v>
      </c>
      <c r="AX127">
        <v>39097404</v>
      </c>
      <c r="AY127">
        <v>1</v>
      </c>
      <c r="AZ127">
        <v>0</v>
      </c>
      <c r="BA127">
        <v>126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Y127*Source!I77</f>
        <v>0.99224999999999997</v>
      </c>
      <c r="CY127">
        <f>AB127</f>
        <v>440.91</v>
      </c>
      <c r="CZ127">
        <f>AF127</f>
        <v>65.709999999999994</v>
      </c>
      <c r="DA127">
        <f>AJ127</f>
        <v>6.71</v>
      </c>
      <c r="DB127">
        <v>0</v>
      </c>
    </row>
    <row r="128" spans="1:106" x14ac:dyDescent="0.2">
      <c r="A128">
        <f>ROW(Source!A77)</f>
        <v>77</v>
      </c>
      <c r="B128">
        <v>39096431</v>
      </c>
      <c r="C128">
        <v>39097391</v>
      </c>
      <c r="D128">
        <v>36805188</v>
      </c>
      <c r="E128">
        <v>1</v>
      </c>
      <c r="F128">
        <v>1</v>
      </c>
      <c r="G128">
        <v>1</v>
      </c>
      <c r="H128">
        <v>3</v>
      </c>
      <c r="I128" t="s">
        <v>760</v>
      </c>
      <c r="J128" t="s">
        <v>761</v>
      </c>
      <c r="K128" t="s">
        <v>762</v>
      </c>
      <c r="L128">
        <v>1327</v>
      </c>
      <c r="N128">
        <v>1005</v>
      </c>
      <c r="O128" t="s">
        <v>83</v>
      </c>
      <c r="P128" t="s">
        <v>83</v>
      </c>
      <c r="Q128">
        <v>1</v>
      </c>
      <c r="W128">
        <v>0</v>
      </c>
      <c r="X128">
        <v>-1987926685</v>
      </c>
      <c r="Y128">
        <v>0.84</v>
      </c>
      <c r="AA128">
        <v>485.27</v>
      </c>
      <c r="AB128">
        <v>0</v>
      </c>
      <c r="AC128">
        <v>0</v>
      </c>
      <c r="AD128">
        <v>0</v>
      </c>
      <c r="AE128">
        <v>72.319999999999993</v>
      </c>
      <c r="AF128">
        <v>0</v>
      </c>
      <c r="AG128">
        <v>0</v>
      </c>
      <c r="AH128">
        <v>0</v>
      </c>
      <c r="AI128">
        <v>6.71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0.84</v>
      </c>
      <c r="AU128" t="s">
        <v>3</v>
      </c>
      <c r="AV128">
        <v>0</v>
      </c>
      <c r="AW128">
        <v>2</v>
      </c>
      <c r="AX128">
        <v>39097405</v>
      </c>
      <c r="AY128">
        <v>1</v>
      </c>
      <c r="AZ128">
        <v>0</v>
      </c>
      <c r="BA128">
        <v>127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Y128*Source!I77</f>
        <v>4.4452799999999995</v>
      </c>
      <c r="CY128">
        <f>AA128</f>
        <v>485.27</v>
      </c>
      <c r="CZ128">
        <f>AE128</f>
        <v>72.319999999999993</v>
      </c>
      <c r="DA128">
        <f>AI128</f>
        <v>6.71</v>
      </c>
      <c r="DB128">
        <v>0</v>
      </c>
    </row>
    <row r="129" spans="1:106" x14ac:dyDescent="0.2">
      <c r="A129">
        <f>ROW(Source!A77)</f>
        <v>77</v>
      </c>
      <c r="B129">
        <v>39096431</v>
      </c>
      <c r="C129">
        <v>39097391</v>
      </c>
      <c r="D129">
        <v>36805524</v>
      </c>
      <c r="E129">
        <v>1</v>
      </c>
      <c r="F129">
        <v>1</v>
      </c>
      <c r="G129">
        <v>1</v>
      </c>
      <c r="H129">
        <v>3</v>
      </c>
      <c r="I129" t="s">
        <v>688</v>
      </c>
      <c r="J129" t="s">
        <v>689</v>
      </c>
      <c r="K129" t="s">
        <v>690</v>
      </c>
      <c r="L129">
        <v>1346</v>
      </c>
      <c r="N129">
        <v>1009</v>
      </c>
      <c r="O129" t="s">
        <v>138</v>
      </c>
      <c r="P129" t="s">
        <v>138</v>
      </c>
      <c r="Q129">
        <v>1</v>
      </c>
      <c r="W129">
        <v>0</v>
      </c>
      <c r="X129">
        <v>813963326</v>
      </c>
      <c r="Y129">
        <v>0.31</v>
      </c>
      <c r="AA129">
        <v>12.21</v>
      </c>
      <c r="AB129">
        <v>0</v>
      </c>
      <c r="AC129">
        <v>0</v>
      </c>
      <c r="AD129">
        <v>0</v>
      </c>
      <c r="AE129">
        <v>1.82</v>
      </c>
      <c r="AF129">
        <v>0</v>
      </c>
      <c r="AG129">
        <v>0</v>
      </c>
      <c r="AH129">
        <v>0</v>
      </c>
      <c r="AI129">
        <v>6.71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0.31</v>
      </c>
      <c r="AU129" t="s">
        <v>3</v>
      </c>
      <c r="AV129">
        <v>0</v>
      </c>
      <c r="AW129">
        <v>2</v>
      </c>
      <c r="AX129">
        <v>39097406</v>
      </c>
      <c r="AY129">
        <v>1</v>
      </c>
      <c r="AZ129">
        <v>0</v>
      </c>
      <c r="BA129">
        <v>128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Y129*Source!I77</f>
        <v>1.64052</v>
      </c>
      <c r="CY129">
        <f>AA129</f>
        <v>12.21</v>
      </c>
      <c r="CZ129">
        <f>AE129</f>
        <v>1.82</v>
      </c>
      <c r="DA129">
        <f>AI129</f>
        <v>6.71</v>
      </c>
      <c r="DB129">
        <v>0</v>
      </c>
    </row>
    <row r="130" spans="1:106" x14ac:dyDescent="0.2">
      <c r="A130">
        <f>ROW(Source!A77)</f>
        <v>77</v>
      </c>
      <c r="B130">
        <v>39096431</v>
      </c>
      <c r="C130">
        <v>39097391</v>
      </c>
      <c r="D130">
        <v>36797561</v>
      </c>
      <c r="E130">
        <v>17</v>
      </c>
      <c r="F130">
        <v>1</v>
      </c>
      <c r="G130">
        <v>1</v>
      </c>
      <c r="H130">
        <v>3</v>
      </c>
      <c r="I130" t="s">
        <v>240</v>
      </c>
      <c r="J130" t="s">
        <v>3</v>
      </c>
      <c r="K130" t="s">
        <v>241</v>
      </c>
      <c r="L130">
        <v>1348</v>
      </c>
      <c r="N130">
        <v>1009</v>
      </c>
      <c r="O130" t="s">
        <v>110</v>
      </c>
      <c r="P130" t="s">
        <v>110</v>
      </c>
      <c r="Q130">
        <v>1000</v>
      </c>
      <c r="W130">
        <v>0</v>
      </c>
      <c r="X130">
        <v>1891904026</v>
      </c>
      <c r="Y130">
        <v>6.3E-2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6.71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3</v>
      </c>
      <c r="AT130">
        <v>6.3E-2</v>
      </c>
      <c r="AU130" t="s">
        <v>3</v>
      </c>
      <c r="AV130">
        <v>0</v>
      </c>
      <c r="AW130">
        <v>2</v>
      </c>
      <c r="AX130">
        <v>39097407</v>
      </c>
      <c r="AY130">
        <v>1</v>
      </c>
      <c r="AZ130">
        <v>0</v>
      </c>
      <c r="BA130">
        <v>129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Y130*Source!I77</f>
        <v>0.33339599999999997</v>
      </c>
      <c r="CY130">
        <f>AA130</f>
        <v>0</v>
      </c>
      <c r="CZ130">
        <f>AE130</f>
        <v>0</v>
      </c>
      <c r="DA130">
        <f>AI130</f>
        <v>6.71</v>
      </c>
      <c r="DB130">
        <v>0</v>
      </c>
    </row>
    <row r="131" spans="1:106" x14ac:dyDescent="0.2">
      <c r="A131">
        <f>ROW(Source!A77)</f>
        <v>77</v>
      </c>
      <c r="B131">
        <v>39096431</v>
      </c>
      <c r="C131">
        <v>39097391</v>
      </c>
      <c r="D131">
        <v>36837795</v>
      </c>
      <c r="E131">
        <v>1</v>
      </c>
      <c r="F131">
        <v>1</v>
      </c>
      <c r="G131">
        <v>1</v>
      </c>
      <c r="H131">
        <v>3</v>
      </c>
      <c r="I131" t="s">
        <v>243</v>
      </c>
      <c r="J131" t="s">
        <v>245</v>
      </c>
      <c r="K131" t="s">
        <v>244</v>
      </c>
      <c r="L131">
        <v>1348</v>
      </c>
      <c r="N131">
        <v>1009</v>
      </c>
      <c r="O131" t="s">
        <v>110</v>
      </c>
      <c r="P131" t="s">
        <v>110</v>
      </c>
      <c r="Q131">
        <v>1000</v>
      </c>
      <c r="W131">
        <v>0</v>
      </c>
      <c r="X131">
        <v>772632804</v>
      </c>
      <c r="Y131">
        <v>6.3E-2</v>
      </c>
      <c r="AA131">
        <v>134023.32999999999</v>
      </c>
      <c r="AB131">
        <v>0</v>
      </c>
      <c r="AC131">
        <v>0</v>
      </c>
      <c r="AD131">
        <v>0</v>
      </c>
      <c r="AE131">
        <v>19973.669999999998</v>
      </c>
      <c r="AF131">
        <v>0</v>
      </c>
      <c r="AG131">
        <v>0</v>
      </c>
      <c r="AH131">
        <v>0</v>
      </c>
      <c r="AI131">
        <v>6.71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6.3E-2</v>
      </c>
      <c r="AU131" t="s">
        <v>3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Y131*Source!I77</f>
        <v>0.33339599999999997</v>
      </c>
      <c r="CY131">
        <f>AA131</f>
        <v>134023.32999999999</v>
      </c>
      <c r="CZ131">
        <f>AE131</f>
        <v>19973.669999999998</v>
      </c>
      <c r="DA131">
        <f>AI131</f>
        <v>6.71</v>
      </c>
      <c r="DB131">
        <v>0</v>
      </c>
    </row>
    <row r="132" spans="1:106" x14ac:dyDescent="0.2">
      <c r="A132">
        <f>ROW(Source!A77)</f>
        <v>77</v>
      </c>
      <c r="B132">
        <v>39096431</v>
      </c>
      <c r="C132">
        <v>39097391</v>
      </c>
      <c r="D132">
        <v>36839212</v>
      </c>
      <c r="E132">
        <v>1</v>
      </c>
      <c r="F132">
        <v>1</v>
      </c>
      <c r="G132">
        <v>1</v>
      </c>
      <c r="H132">
        <v>3</v>
      </c>
      <c r="I132" t="s">
        <v>763</v>
      </c>
      <c r="J132" t="s">
        <v>764</v>
      </c>
      <c r="K132" t="s">
        <v>765</v>
      </c>
      <c r="L132">
        <v>1348</v>
      </c>
      <c r="N132">
        <v>1009</v>
      </c>
      <c r="O132" t="s">
        <v>110</v>
      </c>
      <c r="P132" t="s">
        <v>110</v>
      </c>
      <c r="Q132">
        <v>1000</v>
      </c>
      <c r="W132">
        <v>0</v>
      </c>
      <c r="X132">
        <v>-2084827333</v>
      </c>
      <c r="Y132">
        <v>5.0999999999999997E-2</v>
      </c>
      <c r="AA132">
        <v>28812.74</v>
      </c>
      <c r="AB132">
        <v>0</v>
      </c>
      <c r="AC132">
        <v>0</v>
      </c>
      <c r="AD132">
        <v>0</v>
      </c>
      <c r="AE132">
        <v>4294</v>
      </c>
      <c r="AF132">
        <v>0</v>
      </c>
      <c r="AG132">
        <v>0</v>
      </c>
      <c r="AH132">
        <v>0</v>
      </c>
      <c r="AI132">
        <v>6.71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5.0999999999999997E-2</v>
      </c>
      <c r="AU132" t="s">
        <v>3</v>
      </c>
      <c r="AV132">
        <v>0</v>
      </c>
      <c r="AW132">
        <v>2</v>
      </c>
      <c r="AX132">
        <v>39097408</v>
      </c>
      <c r="AY132">
        <v>1</v>
      </c>
      <c r="AZ132">
        <v>0</v>
      </c>
      <c r="BA132">
        <v>130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Y132*Source!I77</f>
        <v>0.26989199999999997</v>
      </c>
      <c r="CY132">
        <f>AA132</f>
        <v>28812.74</v>
      </c>
      <c r="CZ132">
        <f>AE132</f>
        <v>4294</v>
      </c>
      <c r="DA132">
        <f>AI132</f>
        <v>6.71</v>
      </c>
      <c r="DB132">
        <v>0</v>
      </c>
    </row>
    <row r="133" spans="1:106" x14ac:dyDescent="0.2">
      <c r="A133">
        <f>ROW(Source!A80)</f>
        <v>80</v>
      </c>
      <c r="B133">
        <v>39096431</v>
      </c>
      <c r="C133">
        <v>39097411</v>
      </c>
      <c r="D133">
        <v>37070164</v>
      </c>
      <c r="E133">
        <v>1</v>
      </c>
      <c r="F133">
        <v>1</v>
      </c>
      <c r="G133">
        <v>1</v>
      </c>
      <c r="H133">
        <v>1</v>
      </c>
      <c r="I133" t="s">
        <v>766</v>
      </c>
      <c r="J133" t="s">
        <v>3</v>
      </c>
      <c r="K133" t="s">
        <v>767</v>
      </c>
      <c r="L133">
        <v>1191</v>
      </c>
      <c r="N133">
        <v>1013</v>
      </c>
      <c r="O133" t="s">
        <v>660</v>
      </c>
      <c r="P133" t="s">
        <v>660</v>
      </c>
      <c r="Q133">
        <v>1</v>
      </c>
      <c r="W133">
        <v>0</v>
      </c>
      <c r="X133">
        <v>-598469600</v>
      </c>
      <c r="Y133">
        <v>234.66899999999998</v>
      </c>
      <c r="AA133">
        <v>0</v>
      </c>
      <c r="AB133">
        <v>0</v>
      </c>
      <c r="AC133">
        <v>0</v>
      </c>
      <c r="AD133">
        <v>62.34</v>
      </c>
      <c r="AE133">
        <v>0</v>
      </c>
      <c r="AF133">
        <v>0</v>
      </c>
      <c r="AG133">
        <v>0</v>
      </c>
      <c r="AH133">
        <v>9.2899999999999991</v>
      </c>
      <c r="AI133">
        <v>1</v>
      </c>
      <c r="AJ133">
        <v>1</v>
      </c>
      <c r="AK133">
        <v>1</v>
      </c>
      <c r="AL133">
        <v>6.71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204.06</v>
      </c>
      <c r="AU133" t="s">
        <v>86</v>
      </c>
      <c r="AV133">
        <v>1</v>
      </c>
      <c r="AW133">
        <v>2</v>
      </c>
      <c r="AX133">
        <v>39097417</v>
      </c>
      <c r="AY133">
        <v>1</v>
      </c>
      <c r="AZ133">
        <v>0</v>
      </c>
      <c r="BA133">
        <v>131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Y133*Source!I80</f>
        <v>58.338713399999996</v>
      </c>
      <c r="CY133">
        <f>AD133</f>
        <v>62.34</v>
      </c>
      <c r="CZ133">
        <f>AH133</f>
        <v>9.2899999999999991</v>
      </c>
      <c r="DA133">
        <f>AL133</f>
        <v>6.71</v>
      </c>
      <c r="DB133">
        <v>0</v>
      </c>
    </row>
    <row r="134" spans="1:106" x14ac:dyDescent="0.2">
      <c r="A134">
        <f>ROW(Source!A80)</f>
        <v>80</v>
      </c>
      <c r="B134">
        <v>39096431</v>
      </c>
      <c r="C134">
        <v>39097411</v>
      </c>
      <c r="D134">
        <v>37064876</v>
      </c>
      <c r="E134">
        <v>1</v>
      </c>
      <c r="F134">
        <v>1</v>
      </c>
      <c r="G134">
        <v>1</v>
      </c>
      <c r="H134">
        <v>1</v>
      </c>
      <c r="I134" t="s">
        <v>661</v>
      </c>
      <c r="J134" t="s">
        <v>3</v>
      </c>
      <c r="K134" t="s">
        <v>662</v>
      </c>
      <c r="L134">
        <v>1191</v>
      </c>
      <c r="N134">
        <v>1013</v>
      </c>
      <c r="O134" t="s">
        <v>660</v>
      </c>
      <c r="P134" t="s">
        <v>660</v>
      </c>
      <c r="Q134">
        <v>1</v>
      </c>
      <c r="W134">
        <v>0</v>
      </c>
      <c r="X134">
        <v>-1417349443</v>
      </c>
      <c r="Y134">
        <v>2.06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6.71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2.06</v>
      </c>
      <c r="AU134" t="s">
        <v>3</v>
      </c>
      <c r="AV134">
        <v>2</v>
      </c>
      <c r="AW134">
        <v>2</v>
      </c>
      <c r="AX134">
        <v>39097418</v>
      </c>
      <c r="AY134">
        <v>1</v>
      </c>
      <c r="AZ134">
        <v>2048</v>
      </c>
      <c r="BA134">
        <v>132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Y134*Source!I80</f>
        <v>0.51211600000000002</v>
      </c>
      <c r="CY134">
        <f>AD134</f>
        <v>0</v>
      </c>
      <c r="CZ134">
        <f>AH134</f>
        <v>0</v>
      </c>
      <c r="DA134">
        <f>AL134</f>
        <v>1</v>
      </c>
      <c r="DB134">
        <v>0</v>
      </c>
    </row>
    <row r="135" spans="1:106" x14ac:dyDescent="0.2">
      <c r="A135">
        <f>ROW(Source!A80)</f>
        <v>80</v>
      </c>
      <c r="B135">
        <v>39096431</v>
      </c>
      <c r="C135">
        <v>39097411</v>
      </c>
      <c r="D135">
        <v>36882452</v>
      </c>
      <c r="E135">
        <v>1</v>
      </c>
      <c r="F135">
        <v>1</v>
      </c>
      <c r="G135">
        <v>1</v>
      </c>
      <c r="H135">
        <v>2</v>
      </c>
      <c r="I135" t="s">
        <v>663</v>
      </c>
      <c r="J135" t="s">
        <v>664</v>
      </c>
      <c r="K135" t="s">
        <v>665</v>
      </c>
      <c r="L135">
        <v>1368</v>
      </c>
      <c r="N135">
        <v>1011</v>
      </c>
      <c r="O135" t="s">
        <v>666</v>
      </c>
      <c r="P135" t="s">
        <v>666</v>
      </c>
      <c r="Q135">
        <v>1</v>
      </c>
      <c r="W135">
        <v>0</v>
      </c>
      <c r="X135">
        <v>1188625873</v>
      </c>
      <c r="Y135">
        <v>2.5750000000000002</v>
      </c>
      <c r="AA135">
        <v>0</v>
      </c>
      <c r="AB135">
        <v>209.75</v>
      </c>
      <c r="AC135">
        <v>13.5</v>
      </c>
      <c r="AD135">
        <v>0</v>
      </c>
      <c r="AE135">
        <v>0</v>
      </c>
      <c r="AF135">
        <v>31.26</v>
      </c>
      <c r="AG135">
        <v>13.5</v>
      </c>
      <c r="AH135">
        <v>0</v>
      </c>
      <c r="AI135">
        <v>1</v>
      </c>
      <c r="AJ135">
        <v>6.71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2.06</v>
      </c>
      <c r="AU135" t="s">
        <v>85</v>
      </c>
      <c r="AV135">
        <v>0</v>
      </c>
      <c r="AW135">
        <v>2</v>
      </c>
      <c r="AX135">
        <v>39097419</v>
      </c>
      <c r="AY135">
        <v>1</v>
      </c>
      <c r="AZ135">
        <v>0</v>
      </c>
      <c r="BA135">
        <v>133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Y135*Source!I80</f>
        <v>0.64014499999999996</v>
      </c>
      <c r="CY135">
        <f>AB135</f>
        <v>209.75</v>
      </c>
      <c r="CZ135">
        <f>AF135</f>
        <v>31.26</v>
      </c>
      <c r="DA135">
        <f>AJ135</f>
        <v>6.71</v>
      </c>
      <c r="DB135">
        <v>0</v>
      </c>
    </row>
    <row r="136" spans="1:106" x14ac:dyDescent="0.2">
      <c r="A136">
        <f>ROW(Source!A80)</f>
        <v>80</v>
      </c>
      <c r="B136">
        <v>39096431</v>
      </c>
      <c r="C136">
        <v>39097411</v>
      </c>
      <c r="D136">
        <v>36807325</v>
      </c>
      <c r="E136">
        <v>1</v>
      </c>
      <c r="F136">
        <v>1</v>
      </c>
      <c r="G136">
        <v>1</v>
      </c>
      <c r="H136">
        <v>3</v>
      </c>
      <c r="I136" t="s">
        <v>768</v>
      </c>
      <c r="J136" t="s">
        <v>769</v>
      </c>
      <c r="K136" t="s">
        <v>770</v>
      </c>
      <c r="L136">
        <v>1339</v>
      </c>
      <c r="N136">
        <v>1007</v>
      </c>
      <c r="O136" t="s">
        <v>106</v>
      </c>
      <c r="P136" t="s">
        <v>106</v>
      </c>
      <c r="Q136">
        <v>1</v>
      </c>
      <c r="W136">
        <v>0</v>
      </c>
      <c r="X136">
        <v>-1813551736</v>
      </c>
      <c r="Y136">
        <v>4.3</v>
      </c>
      <c r="AA136">
        <v>3424.78</v>
      </c>
      <c r="AB136">
        <v>0</v>
      </c>
      <c r="AC136">
        <v>0</v>
      </c>
      <c r="AD136">
        <v>0</v>
      </c>
      <c r="AE136">
        <v>510.4</v>
      </c>
      <c r="AF136">
        <v>0</v>
      </c>
      <c r="AG136">
        <v>0</v>
      </c>
      <c r="AH136">
        <v>0</v>
      </c>
      <c r="AI136">
        <v>6.71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4.3</v>
      </c>
      <c r="AU136" t="s">
        <v>3</v>
      </c>
      <c r="AV136">
        <v>0</v>
      </c>
      <c r="AW136">
        <v>2</v>
      </c>
      <c r="AX136">
        <v>39097420</v>
      </c>
      <c r="AY136">
        <v>1</v>
      </c>
      <c r="AZ136">
        <v>0</v>
      </c>
      <c r="BA136">
        <v>134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Y136*Source!I80</f>
        <v>1.0689799999999998</v>
      </c>
      <c r="CY136">
        <f>AA136</f>
        <v>3424.78</v>
      </c>
      <c r="CZ136">
        <f>AE136</f>
        <v>510.4</v>
      </c>
      <c r="DA136">
        <f>AI136</f>
        <v>6.71</v>
      </c>
      <c r="DB136">
        <v>0</v>
      </c>
    </row>
    <row r="137" spans="1:106" x14ac:dyDescent="0.2">
      <c r="A137">
        <f>ROW(Source!A80)</f>
        <v>80</v>
      </c>
      <c r="B137">
        <v>39096431</v>
      </c>
      <c r="C137">
        <v>39097411</v>
      </c>
      <c r="D137">
        <v>36807381</v>
      </c>
      <c r="E137">
        <v>1</v>
      </c>
      <c r="F137">
        <v>1</v>
      </c>
      <c r="G137">
        <v>1</v>
      </c>
      <c r="H137">
        <v>3</v>
      </c>
      <c r="I137" t="s">
        <v>217</v>
      </c>
      <c r="J137" t="s">
        <v>219</v>
      </c>
      <c r="K137" t="s">
        <v>218</v>
      </c>
      <c r="L137">
        <v>1339</v>
      </c>
      <c r="N137">
        <v>1007</v>
      </c>
      <c r="O137" t="s">
        <v>106</v>
      </c>
      <c r="P137" t="s">
        <v>106</v>
      </c>
      <c r="Q137">
        <v>1</v>
      </c>
      <c r="W137">
        <v>0</v>
      </c>
      <c r="X137">
        <v>-1001479081</v>
      </c>
      <c r="Y137">
        <v>0.1</v>
      </c>
      <c r="AA137">
        <v>3475.18</v>
      </c>
      <c r="AB137">
        <v>0</v>
      </c>
      <c r="AC137">
        <v>0</v>
      </c>
      <c r="AD137">
        <v>0</v>
      </c>
      <c r="AE137">
        <v>517.91</v>
      </c>
      <c r="AF137">
        <v>0</v>
      </c>
      <c r="AG137">
        <v>0</v>
      </c>
      <c r="AH137">
        <v>0</v>
      </c>
      <c r="AI137">
        <v>6.71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0.1</v>
      </c>
      <c r="AU137" t="s">
        <v>3</v>
      </c>
      <c r="AV137">
        <v>0</v>
      </c>
      <c r="AW137">
        <v>2</v>
      </c>
      <c r="AX137">
        <v>39097421</v>
      </c>
      <c r="AY137">
        <v>1</v>
      </c>
      <c r="AZ137">
        <v>0</v>
      </c>
      <c r="BA137">
        <v>135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Y137*Source!I80</f>
        <v>2.486E-2</v>
      </c>
      <c r="CY137">
        <f>AA137</f>
        <v>3475.18</v>
      </c>
      <c r="CZ137">
        <f>AE137</f>
        <v>517.91</v>
      </c>
      <c r="DA137">
        <f>AI137</f>
        <v>6.71</v>
      </c>
      <c r="DB137">
        <v>0</v>
      </c>
    </row>
    <row r="138" spans="1:106" x14ac:dyDescent="0.2">
      <c r="A138">
        <f>ROW(Source!A81)</f>
        <v>81</v>
      </c>
      <c r="B138">
        <v>39096431</v>
      </c>
      <c r="C138">
        <v>39493570</v>
      </c>
      <c r="D138">
        <v>37064928</v>
      </c>
      <c r="E138">
        <v>1</v>
      </c>
      <c r="F138">
        <v>1</v>
      </c>
      <c r="G138">
        <v>1</v>
      </c>
      <c r="H138">
        <v>1</v>
      </c>
      <c r="I138" t="s">
        <v>771</v>
      </c>
      <c r="J138" t="s">
        <v>3</v>
      </c>
      <c r="K138" t="s">
        <v>772</v>
      </c>
      <c r="L138">
        <v>1191</v>
      </c>
      <c r="N138">
        <v>1013</v>
      </c>
      <c r="O138" t="s">
        <v>660</v>
      </c>
      <c r="P138" t="s">
        <v>660</v>
      </c>
      <c r="Q138">
        <v>1</v>
      </c>
      <c r="W138">
        <v>0</v>
      </c>
      <c r="X138">
        <v>145020957</v>
      </c>
      <c r="Y138">
        <v>505</v>
      </c>
      <c r="AA138">
        <v>0</v>
      </c>
      <c r="AB138">
        <v>0</v>
      </c>
      <c r="AC138">
        <v>0</v>
      </c>
      <c r="AD138">
        <v>60.86</v>
      </c>
      <c r="AE138">
        <v>0</v>
      </c>
      <c r="AF138">
        <v>0</v>
      </c>
      <c r="AG138">
        <v>0</v>
      </c>
      <c r="AH138">
        <v>9.07</v>
      </c>
      <c r="AI138">
        <v>1</v>
      </c>
      <c r="AJ138">
        <v>1</v>
      </c>
      <c r="AK138">
        <v>1</v>
      </c>
      <c r="AL138">
        <v>6.71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505</v>
      </c>
      <c r="AU138" t="s">
        <v>3</v>
      </c>
      <c r="AV138">
        <v>1</v>
      </c>
      <c r="AW138">
        <v>2</v>
      </c>
      <c r="AX138">
        <v>39493571</v>
      </c>
      <c r="AY138">
        <v>1</v>
      </c>
      <c r="AZ138">
        <v>0</v>
      </c>
      <c r="BA138">
        <v>136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Y138*Source!I81</f>
        <v>45.449999999999996</v>
      </c>
      <c r="CY138">
        <f>AD138</f>
        <v>60.86</v>
      </c>
      <c r="CZ138">
        <f>AH138</f>
        <v>9.07</v>
      </c>
      <c r="DA138">
        <f>AL138</f>
        <v>6.71</v>
      </c>
      <c r="DB138">
        <v>0</v>
      </c>
    </row>
    <row r="139" spans="1:106" x14ac:dyDescent="0.2">
      <c r="A139">
        <f>ROW(Source!A81)</f>
        <v>81</v>
      </c>
      <c r="B139">
        <v>39096431</v>
      </c>
      <c r="C139">
        <v>39493570</v>
      </c>
      <c r="D139">
        <v>37064876</v>
      </c>
      <c r="E139">
        <v>1</v>
      </c>
      <c r="F139">
        <v>1</v>
      </c>
      <c r="G139">
        <v>1</v>
      </c>
      <c r="H139">
        <v>1</v>
      </c>
      <c r="I139" t="s">
        <v>661</v>
      </c>
      <c r="J139" t="s">
        <v>3</v>
      </c>
      <c r="K139" t="s">
        <v>662</v>
      </c>
      <c r="L139">
        <v>1191</v>
      </c>
      <c r="N139">
        <v>1013</v>
      </c>
      <c r="O139" t="s">
        <v>660</v>
      </c>
      <c r="P139" t="s">
        <v>660</v>
      </c>
      <c r="Q139">
        <v>1</v>
      </c>
      <c r="W139">
        <v>0</v>
      </c>
      <c r="X139">
        <v>-1417349443</v>
      </c>
      <c r="Y139">
        <v>0.13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6.71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0.13</v>
      </c>
      <c r="AU139" t="s">
        <v>3</v>
      </c>
      <c r="AV139">
        <v>2</v>
      </c>
      <c r="AW139">
        <v>2</v>
      </c>
      <c r="AX139">
        <v>39493572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Y139*Source!I81</f>
        <v>1.17E-2</v>
      </c>
      <c r="CY139">
        <f>AD139</f>
        <v>0</v>
      </c>
      <c r="CZ139">
        <f>AH139</f>
        <v>0</v>
      </c>
      <c r="DA139">
        <f>AL139</f>
        <v>1</v>
      </c>
      <c r="DB139">
        <v>0</v>
      </c>
    </row>
    <row r="140" spans="1:106" x14ac:dyDescent="0.2">
      <c r="A140">
        <f>ROW(Source!A81)</f>
        <v>81</v>
      </c>
      <c r="B140">
        <v>39096431</v>
      </c>
      <c r="C140">
        <v>39493570</v>
      </c>
      <c r="D140">
        <v>36883554</v>
      </c>
      <c r="E140">
        <v>1</v>
      </c>
      <c r="F140">
        <v>1</v>
      </c>
      <c r="G140">
        <v>1</v>
      </c>
      <c r="H140">
        <v>2</v>
      </c>
      <c r="I140" t="s">
        <v>679</v>
      </c>
      <c r="J140" t="s">
        <v>680</v>
      </c>
      <c r="K140" t="s">
        <v>681</v>
      </c>
      <c r="L140">
        <v>1368</v>
      </c>
      <c r="N140">
        <v>1011</v>
      </c>
      <c r="O140" t="s">
        <v>666</v>
      </c>
      <c r="P140" t="s">
        <v>666</v>
      </c>
      <c r="Q140">
        <v>1</v>
      </c>
      <c r="W140">
        <v>0</v>
      </c>
      <c r="X140">
        <v>1372534845</v>
      </c>
      <c r="Y140">
        <v>0.13</v>
      </c>
      <c r="AA140">
        <v>0</v>
      </c>
      <c r="AB140">
        <v>440.91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6.71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0.13</v>
      </c>
      <c r="AU140" t="s">
        <v>3</v>
      </c>
      <c r="AV140">
        <v>0</v>
      </c>
      <c r="AW140">
        <v>2</v>
      </c>
      <c r="AX140">
        <v>39493573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Y140*Source!I81</f>
        <v>1.17E-2</v>
      </c>
      <c r="CY140">
        <f>AB140</f>
        <v>440.91</v>
      </c>
      <c r="CZ140">
        <f>AF140</f>
        <v>65.709999999999994</v>
      </c>
      <c r="DA140">
        <f>AJ140</f>
        <v>6.71</v>
      </c>
      <c r="DB140">
        <v>0</v>
      </c>
    </row>
    <row r="141" spans="1:106" x14ac:dyDescent="0.2">
      <c r="A141">
        <f>ROW(Source!A81)</f>
        <v>81</v>
      </c>
      <c r="B141">
        <v>39096431</v>
      </c>
      <c r="C141">
        <v>39493570</v>
      </c>
      <c r="D141">
        <v>36799896</v>
      </c>
      <c r="E141">
        <v>1</v>
      </c>
      <c r="F141">
        <v>1</v>
      </c>
      <c r="G141">
        <v>1</v>
      </c>
      <c r="H141">
        <v>3</v>
      </c>
      <c r="I141" t="s">
        <v>773</v>
      </c>
      <c r="J141" t="s">
        <v>774</v>
      </c>
      <c r="K141" t="s">
        <v>775</v>
      </c>
      <c r="L141">
        <v>1348</v>
      </c>
      <c r="N141">
        <v>1009</v>
      </c>
      <c r="O141" t="s">
        <v>110</v>
      </c>
      <c r="P141" t="s">
        <v>110</v>
      </c>
      <c r="Q141">
        <v>1000</v>
      </c>
      <c r="W141">
        <v>0</v>
      </c>
      <c r="X141">
        <v>-967072784</v>
      </c>
      <c r="Y141">
        <v>2E-3</v>
      </c>
      <c r="AA141">
        <v>22746.9</v>
      </c>
      <c r="AB141">
        <v>0</v>
      </c>
      <c r="AC141">
        <v>0</v>
      </c>
      <c r="AD141">
        <v>0</v>
      </c>
      <c r="AE141">
        <v>3390</v>
      </c>
      <c r="AF141">
        <v>0</v>
      </c>
      <c r="AG141">
        <v>0</v>
      </c>
      <c r="AH141">
        <v>0</v>
      </c>
      <c r="AI141">
        <v>6.71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2E-3</v>
      </c>
      <c r="AU141" t="s">
        <v>3</v>
      </c>
      <c r="AV141">
        <v>0</v>
      </c>
      <c r="AW141">
        <v>2</v>
      </c>
      <c r="AX141">
        <v>39493574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Y141*Source!I81</f>
        <v>1.7999999999999998E-4</v>
      </c>
      <c r="CY141">
        <f t="shared" ref="CY141:CY150" si="3">AA141</f>
        <v>22746.9</v>
      </c>
      <c r="CZ141">
        <f t="shared" ref="CZ141:CZ150" si="4">AE141</f>
        <v>3390</v>
      </c>
      <c r="DA141">
        <f t="shared" ref="DA141:DA150" si="5">AI141</f>
        <v>6.71</v>
      </c>
      <c r="DB141">
        <v>0</v>
      </c>
    </row>
    <row r="142" spans="1:106" x14ac:dyDescent="0.2">
      <c r="A142">
        <f>ROW(Source!A81)</f>
        <v>81</v>
      </c>
      <c r="B142">
        <v>39096431</v>
      </c>
      <c r="C142">
        <v>39493570</v>
      </c>
      <c r="D142">
        <v>36801792</v>
      </c>
      <c r="E142">
        <v>1</v>
      </c>
      <c r="F142">
        <v>1</v>
      </c>
      <c r="G142">
        <v>1</v>
      </c>
      <c r="H142">
        <v>3</v>
      </c>
      <c r="I142" t="s">
        <v>671</v>
      </c>
      <c r="J142" t="s">
        <v>672</v>
      </c>
      <c r="K142" t="s">
        <v>673</v>
      </c>
      <c r="L142">
        <v>1339</v>
      </c>
      <c r="N142">
        <v>1007</v>
      </c>
      <c r="O142" t="s">
        <v>106</v>
      </c>
      <c r="P142" t="s">
        <v>106</v>
      </c>
      <c r="Q142">
        <v>1</v>
      </c>
      <c r="W142">
        <v>0</v>
      </c>
      <c r="X142">
        <v>-1660354250</v>
      </c>
      <c r="Y142">
        <v>0.17</v>
      </c>
      <c r="AA142">
        <v>16.37</v>
      </c>
      <c r="AB142">
        <v>0</v>
      </c>
      <c r="AC142">
        <v>0</v>
      </c>
      <c r="AD142">
        <v>0</v>
      </c>
      <c r="AE142">
        <v>2.44</v>
      </c>
      <c r="AF142">
        <v>0</v>
      </c>
      <c r="AG142">
        <v>0</v>
      </c>
      <c r="AH142">
        <v>0</v>
      </c>
      <c r="AI142">
        <v>6.71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0.17</v>
      </c>
      <c r="AU142" t="s">
        <v>3</v>
      </c>
      <c r="AV142">
        <v>0</v>
      </c>
      <c r="AW142">
        <v>2</v>
      </c>
      <c r="AX142">
        <v>39493575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Y142*Source!I81</f>
        <v>1.5300000000000001E-2</v>
      </c>
      <c r="CY142">
        <f t="shared" si="3"/>
        <v>16.37</v>
      </c>
      <c r="CZ142">
        <f t="shared" si="4"/>
        <v>2.44</v>
      </c>
      <c r="DA142">
        <f t="shared" si="5"/>
        <v>6.71</v>
      </c>
      <c r="DB142">
        <v>0</v>
      </c>
    </row>
    <row r="143" spans="1:106" x14ac:dyDescent="0.2">
      <c r="A143">
        <f>ROW(Source!A81)</f>
        <v>81</v>
      </c>
      <c r="B143">
        <v>39096431</v>
      </c>
      <c r="C143">
        <v>39493570</v>
      </c>
      <c r="D143">
        <v>36799072</v>
      </c>
      <c r="E143">
        <v>17</v>
      </c>
      <c r="F143">
        <v>1</v>
      </c>
      <c r="G143">
        <v>1</v>
      </c>
      <c r="H143">
        <v>3</v>
      </c>
      <c r="I143" t="s">
        <v>257</v>
      </c>
      <c r="J143" t="s">
        <v>3</v>
      </c>
      <c r="K143" t="s">
        <v>258</v>
      </c>
      <c r="L143">
        <v>1348</v>
      </c>
      <c r="N143">
        <v>1009</v>
      </c>
      <c r="O143" t="s">
        <v>110</v>
      </c>
      <c r="P143" t="s">
        <v>110</v>
      </c>
      <c r="Q143">
        <v>1000</v>
      </c>
      <c r="W143">
        <v>0</v>
      </c>
      <c r="X143">
        <v>-179832266</v>
      </c>
      <c r="Y143">
        <v>0.59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6.71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0.59</v>
      </c>
      <c r="AU143" t="s">
        <v>3</v>
      </c>
      <c r="AV143">
        <v>0</v>
      </c>
      <c r="AW143">
        <v>2</v>
      </c>
      <c r="AX143">
        <v>39493576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Y143*Source!I81</f>
        <v>5.3099999999999994E-2</v>
      </c>
      <c r="CY143">
        <f t="shared" si="3"/>
        <v>0</v>
      </c>
      <c r="CZ143">
        <f t="shared" si="4"/>
        <v>0</v>
      </c>
      <c r="DA143">
        <f t="shared" si="5"/>
        <v>6.71</v>
      </c>
      <c r="DB143">
        <v>0</v>
      </c>
    </row>
    <row r="144" spans="1:106" x14ac:dyDescent="0.2">
      <c r="A144">
        <f>ROW(Source!A81)</f>
        <v>81</v>
      </c>
      <c r="B144">
        <v>39096431</v>
      </c>
      <c r="C144">
        <v>39493570</v>
      </c>
      <c r="D144">
        <v>36804545</v>
      </c>
      <c r="E144">
        <v>1</v>
      </c>
      <c r="F144">
        <v>1</v>
      </c>
      <c r="G144">
        <v>1</v>
      </c>
      <c r="H144">
        <v>3</v>
      </c>
      <c r="I144" t="s">
        <v>776</v>
      </c>
      <c r="J144" t="s">
        <v>777</v>
      </c>
      <c r="K144" t="s">
        <v>778</v>
      </c>
      <c r="L144">
        <v>1348</v>
      </c>
      <c r="N144">
        <v>1009</v>
      </c>
      <c r="O144" t="s">
        <v>110</v>
      </c>
      <c r="P144" t="s">
        <v>110</v>
      </c>
      <c r="Q144">
        <v>1000</v>
      </c>
      <c r="W144">
        <v>0</v>
      </c>
      <c r="X144">
        <v>1174701286</v>
      </c>
      <c r="Y144">
        <v>4.0000000000000001E-3</v>
      </c>
      <c r="AA144">
        <v>80372.38</v>
      </c>
      <c r="AB144">
        <v>0</v>
      </c>
      <c r="AC144">
        <v>0</v>
      </c>
      <c r="AD144">
        <v>0</v>
      </c>
      <c r="AE144">
        <v>11978</v>
      </c>
      <c r="AF144">
        <v>0</v>
      </c>
      <c r="AG144">
        <v>0</v>
      </c>
      <c r="AH144">
        <v>0</v>
      </c>
      <c r="AI144">
        <v>6.71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4.0000000000000001E-3</v>
      </c>
      <c r="AU144" t="s">
        <v>3</v>
      </c>
      <c r="AV144">
        <v>0</v>
      </c>
      <c r="AW144">
        <v>2</v>
      </c>
      <c r="AX144">
        <v>39493577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Y144*Source!I81</f>
        <v>3.5999999999999997E-4</v>
      </c>
      <c r="CY144">
        <f t="shared" si="3"/>
        <v>80372.38</v>
      </c>
      <c r="CZ144">
        <f t="shared" si="4"/>
        <v>11978</v>
      </c>
      <c r="DA144">
        <f t="shared" si="5"/>
        <v>6.71</v>
      </c>
      <c r="DB144">
        <v>0</v>
      </c>
    </row>
    <row r="145" spans="1:106" x14ac:dyDescent="0.2">
      <c r="A145">
        <f>ROW(Source!A81)</f>
        <v>81</v>
      </c>
      <c r="B145">
        <v>39096431</v>
      </c>
      <c r="C145">
        <v>39493570</v>
      </c>
      <c r="D145">
        <v>36804943</v>
      </c>
      <c r="E145">
        <v>1</v>
      </c>
      <c r="F145">
        <v>1</v>
      </c>
      <c r="G145">
        <v>1</v>
      </c>
      <c r="H145">
        <v>3</v>
      </c>
      <c r="I145" t="s">
        <v>779</v>
      </c>
      <c r="J145" t="s">
        <v>780</v>
      </c>
      <c r="K145" t="s">
        <v>781</v>
      </c>
      <c r="L145">
        <v>1348</v>
      </c>
      <c r="N145">
        <v>1009</v>
      </c>
      <c r="O145" t="s">
        <v>110</v>
      </c>
      <c r="P145" t="s">
        <v>110</v>
      </c>
      <c r="Q145">
        <v>1000</v>
      </c>
      <c r="W145">
        <v>0</v>
      </c>
      <c r="X145">
        <v>2128740752</v>
      </c>
      <c r="Y145">
        <v>2.2399999999999998E-3</v>
      </c>
      <c r="AA145">
        <v>113895.54</v>
      </c>
      <c r="AB145">
        <v>0</v>
      </c>
      <c r="AC145">
        <v>0</v>
      </c>
      <c r="AD145">
        <v>0</v>
      </c>
      <c r="AE145">
        <v>16974</v>
      </c>
      <c r="AF145">
        <v>0</v>
      </c>
      <c r="AG145">
        <v>0</v>
      </c>
      <c r="AH145">
        <v>0</v>
      </c>
      <c r="AI145">
        <v>6.71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2.2399999999999998E-3</v>
      </c>
      <c r="AU145" t="s">
        <v>3</v>
      </c>
      <c r="AV145">
        <v>0</v>
      </c>
      <c r="AW145">
        <v>2</v>
      </c>
      <c r="AX145">
        <v>39493578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Y145*Source!I81</f>
        <v>2.0159999999999997E-4</v>
      </c>
      <c r="CY145">
        <f t="shared" si="3"/>
        <v>113895.54</v>
      </c>
      <c r="CZ145">
        <f t="shared" si="4"/>
        <v>16974</v>
      </c>
      <c r="DA145">
        <f t="shared" si="5"/>
        <v>6.71</v>
      </c>
      <c r="DB145">
        <v>0</v>
      </c>
    </row>
    <row r="146" spans="1:106" x14ac:dyDescent="0.2">
      <c r="A146">
        <f>ROW(Source!A81)</f>
        <v>81</v>
      </c>
      <c r="B146">
        <v>39096431</v>
      </c>
      <c r="C146">
        <v>39493570</v>
      </c>
      <c r="D146">
        <v>36806488</v>
      </c>
      <c r="E146">
        <v>1</v>
      </c>
      <c r="F146">
        <v>1</v>
      </c>
      <c r="G146">
        <v>1</v>
      </c>
      <c r="H146">
        <v>3</v>
      </c>
      <c r="I146" t="s">
        <v>674</v>
      </c>
      <c r="J146" t="s">
        <v>675</v>
      </c>
      <c r="K146" t="s">
        <v>676</v>
      </c>
      <c r="L146">
        <v>1348</v>
      </c>
      <c r="N146">
        <v>1009</v>
      </c>
      <c r="O146" t="s">
        <v>110</v>
      </c>
      <c r="P146" t="s">
        <v>110</v>
      </c>
      <c r="Q146">
        <v>1000</v>
      </c>
      <c r="W146">
        <v>0</v>
      </c>
      <c r="X146">
        <v>-1421715385</v>
      </c>
      <c r="Y146">
        <v>0.16500000000000001</v>
      </c>
      <c r="AA146">
        <v>4898.17</v>
      </c>
      <c r="AB146">
        <v>0</v>
      </c>
      <c r="AC146">
        <v>0</v>
      </c>
      <c r="AD146">
        <v>0</v>
      </c>
      <c r="AE146">
        <v>729.98</v>
      </c>
      <c r="AF146">
        <v>0</v>
      </c>
      <c r="AG146">
        <v>0</v>
      </c>
      <c r="AH146">
        <v>0</v>
      </c>
      <c r="AI146">
        <v>6.71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0.16500000000000001</v>
      </c>
      <c r="AU146" t="s">
        <v>3</v>
      </c>
      <c r="AV146">
        <v>0</v>
      </c>
      <c r="AW146">
        <v>2</v>
      </c>
      <c r="AX146">
        <v>39493579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Y146*Source!I81</f>
        <v>1.485E-2</v>
      </c>
      <c r="CY146">
        <f t="shared" si="3"/>
        <v>4898.17</v>
      </c>
      <c r="CZ146">
        <f t="shared" si="4"/>
        <v>729.98</v>
      </c>
      <c r="DA146">
        <f t="shared" si="5"/>
        <v>6.71</v>
      </c>
      <c r="DB146">
        <v>0</v>
      </c>
    </row>
    <row r="147" spans="1:106" x14ac:dyDescent="0.2">
      <c r="A147">
        <f>ROW(Source!A81)</f>
        <v>81</v>
      </c>
      <c r="B147">
        <v>39096431</v>
      </c>
      <c r="C147">
        <v>39493570</v>
      </c>
      <c r="D147">
        <v>36830298</v>
      </c>
      <c r="E147">
        <v>1</v>
      </c>
      <c r="F147">
        <v>1</v>
      </c>
      <c r="G147">
        <v>1</v>
      </c>
      <c r="H147">
        <v>3</v>
      </c>
      <c r="I147" t="s">
        <v>782</v>
      </c>
      <c r="J147" t="s">
        <v>783</v>
      </c>
      <c r="K147" t="s">
        <v>784</v>
      </c>
      <c r="L147">
        <v>1339</v>
      </c>
      <c r="N147">
        <v>1007</v>
      </c>
      <c r="O147" t="s">
        <v>106</v>
      </c>
      <c r="P147" t="s">
        <v>106</v>
      </c>
      <c r="Q147">
        <v>1</v>
      </c>
      <c r="W147">
        <v>0</v>
      </c>
      <c r="X147">
        <v>364481419</v>
      </c>
      <c r="Y147">
        <v>0.54</v>
      </c>
      <c r="AA147">
        <v>9636.9</v>
      </c>
      <c r="AB147">
        <v>0</v>
      </c>
      <c r="AC147">
        <v>0</v>
      </c>
      <c r="AD147">
        <v>0</v>
      </c>
      <c r="AE147">
        <v>1436.2</v>
      </c>
      <c r="AF147">
        <v>0</v>
      </c>
      <c r="AG147">
        <v>0</v>
      </c>
      <c r="AH147">
        <v>0</v>
      </c>
      <c r="AI147">
        <v>6.71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0.54</v>
      </c>
      <c r="AU147" t="s">
        <v>3</v>
      </c>
      <c r="AV147">
        <v>0</v>
      </c>
      <c r="AW147">
        <v>2</v>
      </c>
      <c r="AX147">
        <v>39493580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Y147*Source!I81</f>
        <v>4.8600000000000004E-2</v>
      </c>
      <c r="CY147">
        <f t="shared" si="3"/>
        <v>9636.9</v>
      </c>
      <c r="CZ147">
        <f t="shared" si="4"/>
        <v>1436.2</v>
      </c>
      <c r="DA147">
        <f t="shared" si="5"/>
        <v>6.71</v>
      </c>
      <c r="DB147">
        <v>0</v>
      </c>
    </row>
    <row r="148" spans="1:106" x14ac:dyDescent="0.2">
      <c r="A148">
        <f>ROW(Source!A81)</f>
        <v>81</v>
      </c>
      <c r="B148">
        <v>39096431</v>
      </c>
      <c r="C148">
        <v>39493570</v>
      </c>
      <c r="D148">
        <v>36832948</v>
      </c>
      <c r="E148">
        <v>1</v>
      </c>
      <c r="F148">
        <v>1</v>
      </c>
      <c r="G148">
        <v>1</v>
      </c>
      <c r="H148">
        <v>3</v>
      </c>
      <c r="I148" t="s">
        <v>785</v>
      </c>
      <c r="J148" t="s">
        <v>786</v>
      </c>
      <c r="K148" t="s">
        <v>787</v>
      </c>
      <c r="L148">
        <v>1327</v>
      </c>
      <c r="N148">
        <v>1005</v>
      </c>
      <c r="O148" t="s">
        <v>83</v>
      </c>
      <c r="P148" t="s">
        <v>83</v>
      </c>
      <c r="Q148">
        <v>1</v>
      </c>
      <c r="W148">
        <v>0</v>
      </c>
      <c r="X148">
        <v>-1963914880</v>
      </c>
      <c r="Y148">
        <v>31.3</v>
      </c>
      <c r="AA148">
        <v>38.31</v>
      </c>
      <c r="AB148">
        <v>0</v>
      </c>
      <c r="AC148">
        <v>0</v>
      </c>
      <c r="AD148">
        <v>0</v>
      </c>
      <c r="AE148">
        <v>5.71</v>
      </c>
      <c r="AF148">
        <v>0</v>
      </c>
      <c r="AG148">
        <v>0</v>
      </c>
      <c r="AH148">
        <v>0</v>
      </c>
      <c r="AI148">
        <v>6.71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31.3</v>
      </c>
      <c r="AU148" t="s">
        <v>3</v>
      </c>
      <c r="AV148">
        <v>0</v>
      </c>
      <c r="AW148">
        <v>2</v>
      </c>
      <c r="AX148">
        <v>39493581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Y148*Source!I81</f>
        <v>2.8170000000000002</v>
      </c>
      <c r="CY148">
        <f t="shared" si="3"/>
        <v>38.31</v>
      </c>
      <c r="CZ148">
        <f t="shared" si="4"/>
        <v>5.71</v>
      </c>
      <c r="DA148">
        <f t="shared" si="5"/>
        <v>6.71</v>
      </c>
      <c r="DB148">
        <v>0</v>
      </c>
    </row>
    <row r="149" spans="1:106" x14ac:dyDescent="0.2">
      <c r="A149">
        <f>ROW(Source!A81)</f>
        <v>81</v>
      </c>
      <c r="B149">
        <v>39096431</v>
      </c>
      <c r="C149">
        <v>39493570</v>
      </c>
      <c r="D149">
        <v>36836929</v>
      </c>
      <c r="E149">
        <v>1</v>
      </c>
      <c r="F149">
        <v>1</v>
      </c>
      <c r="G149">
        <v>1</v>
      </c>
      <c r="H149">
        <v>3</v>
      </c>
      <c r="I149" t="s">
        <v>788</v>
      </c>
      <c r="J149" t="s">
        <v>789</v>
      </c>
      <c r="K149" t="s">
        <v>790</v>
      </c>
      <c r="L149">
        <v>1346</v>
      </c>
      <c r="N149">
        <v>1009</v>
      </c>
      <c r="O149" t="s">
        <v>138</v>
      </c>
      <c r="P149" t="s">
        <v>138</v>
      </c>
      <c r="Q149">
        <v>1</v>
      </c>
      <c r="W149">
        <v>0</v>
      </c>
      <c r="X149">
        <v>1306523394</v>
      </c>
      <c r="Y149">
        <v>0.2</v>
      </c>
      <c r="AA149">
        <v>113.73</v>
      </c>
      <c r="AB149">
        <v>0</v>
      </c>
      <c r="AC149">
        <v>0</v>
      </c>
      <c r="AD149">
        <v>0</v>
      </c>
      <c r="AE149">
        <v>16.95</v>
      </c>
      <c r="AF149">
        <v>0</v>
      </c>
      <c r="AG149">
        <v>0</v>
      </c>
      <c r="AH149">
        <v>0</v>
      </c>
      <c r="AI149">
        <v>6.71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0.2</v>
      </c>
      <c r="AU149" t="s">
        <v>3</v>
      </c>
      <c r="AV149">
        <v>0</v>
      </c>
      <c r="AW149">
        <v>2</v>
      </c>
      <c r="AX149">
        <v>39493582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Y149*Source!I81</f>
        <v>1.7999999999999999E-2</v>
      </c>
      <c r="CY149">
        <f t="shared" si="3"/>
        <v>113.73</v>
      </c>
      <c r="CZ149">
        <f t="shared" si="4"/>
        <v>16.95</v>
      </c>
      <c r="DA149">
        <f t="shared" si="5"/>
        <v>6.71</v>
      </c>
      <c r="DB149">
        <v>0</v>
      </c>
    </row>
    <row r="150" spans="1:106" x14ac:dyDescent="0.2">
      <c r="A150">
        <f>ROW(Source!A81)</f>
        <v>81</v>
      </c>
      <c r="B150">
        <v>39096431</v>
      </c>
      <c r="C150">
        <v>39493570</v>
      </c>
      <c r="D150">
        <v>36838798</v>
      </c>
      <c r="E150">
        <v>1</v>
      </c>
      <c r="F150">
        <v>1</v>
      </c>
      <c r="G150">
        <v>1</v>
      </c>
      <c r="H150">
        <v>3</v>
      </c>
      <c r="I150" t="s">
        <v>791</v>
      </c>
      <c r="J150" t="s">
        <v>792</v>
      </c>
      <c r="K150" t="s">
        <v>793</v>
      </c>
      <c r="L150">
        <v>1296</v>
      </c>
      <c r="N150">
        <v>1002</v>
      </c>
      <c r="O150" t="s">
        <v>794</v>
      </c>
      <c r="P150" t="s">
        <v>794</v>
      </c>
      <c r="Q150">
        <v>1</v>
      </c>
      <c r="W150">
        <v>0</v>
      </c>
      <c r="X150">
        <v>-2122226716</v>
      </c>
      <c r="Y150">
        <v>13.89</v>
      </c>
      <c r="AA150">
        <v>314.43</v>
      </c>
      <c r="AB150">
        <v>0</v>
      </c>
      <c r="AC150">
        <v>0</v>
      </c>
      <c r="AD150">
        <v>0</v>
      </c>
      <c r="AE150">
        <v>46.86</v>
      </c>
      <c r="AF150">
        <v>0</v>
      </c>
      <c r="AG150">
        <v>0</v>
      </c>
      <c r="AH150">
        <v>0</v>
      </c>
      <c r="AI150">
        <v>6.71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13.89</v>
      </c>
      <c r="AU150" t="s">
        <v>3</v>
      </c>
      <c r="AV150">
        <v>0</v>
      </c>
      <c r="AW150">
        <v>2</v>
      </c>
      <c r="AX150">
        <v>39493583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Y150*Source!I81</f>
        <v>1.2501</v>
      </c>
      <c r="CY150">
        <f t="shared" si="3"/>
        <v>314.43</v>
      </c>
      <c r="CZ150">
        <f t="shared" si="4"/>
        <v>46.86</v>
      </c>
      <c r="DA150">
        <f t="shared" si="5"/>
        <v>6.71</v>
      </c>
      <c r="DB150">
        <v>0</v>
      </c>
    </row>
    <row r="151" spans="1:106" x14ac:dyDescent="0.2">
      <c r="A151">
        <f>ROW(Source!A83)</f>
        <v>83</v>
      </c>
      <c r="B151">
        <v>39096431</v>
      </c>
      <c r="C151">
        <v>39097468</v>
      </c>
      <c r="D151">
        <v>37068110</v>
      </c>
      <c r="E151">
        <v>1</v>
      </c>
      <c r="F151">
        <v>1</v>
      </c>
      <c r="G151">
        <v>1</v>
      </c>
      <c r="H151">
        <v>1</v>
      </c>
      <c r="I151" t="s">
        <v>795</v>
      </c>
      <c r="J151" t="s">
        <v>3</v>
      </c>
      <c r="K151" t="s">
        <v>796</v>
      </c>
      <c r="L151">
        <v>1191</v>
      </c>
      <c r="N151">
        <v>1013</v>
      </c>
      <c r="O151" t="s">
        <v>660</v>
      </c>
      <c r="P151" t="s">
        <v>660</v>
      </c>
      <c r="Q151">
        <v>1</v>
      </c>
      <c r="W151">
        <v>0</v>
      </c>
      <c r="X151">
        <v>-576067263</v>
      </c>
      <c r="Y151">
        <v>1.03</v>
      </c>
      <c r="AA151">
        <v>0</v>
      </c>
      <c r="AB151">
        <v>0</v>
      </c>
      <c r="AC151">
        <v>0</v>
      </c>
      <c r="AD151">
        <v>48.24</v>
      </c>
      <c r="AE151">
        <v>0</v>
      </c>
      <c r="AF151">
        <v>0</v>
      </c>
      <c r="AG151">
        <v>0</v>
      </c>
      <c r="AH151">
        <v>7.19</v>
      </c>
      <c r="AI151">
        <v>1</v>
      </c>
      <c r="AJ151">
        <v>1</v>
      </c>
      <c r="AK151">
        <v>1</v>
      </c>
      <c r="AL151">
        <v>6.71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1.03</v>
      </c>
      <c r="AU151" t="s">
        <v>3</v>
      </c>
      <c r="AV151">
        <v>1</v>
      </c>
      <c r="AW151">
        <v>2</v>
      </c>
      <c r="AX151">
        <v>39097471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Y151*Source!I83</f>
        <v>39.14</v>
      </c>
      <c r="CY151">
        <f>AD151</f>
        <v>48.24</v>
      </c>
      <c r="CZ151">
        <f>AH151</f>
        <v>7.19</v>
      </c>
      <c r="DA151">
        <f>AL151</f>
        <v>6.71</v>
      </c>
      <c r="DB151">
        <v>0</v>
      </c>
    </row>
    <row r="152" spans="1:106" x14ac:dyDescent="0.2">
      <c r="A152">
        <f>ROW(Source!A83)</f>
        <v>83</v>
      </c>
      <c r="B152">
        <v>39096431</v>
      </c>
      <c r="C152">
        <v>39097468</v>
      </c>
      <c r="D152">
        <v>36805490</v>
      </c>
      <c r="E152">
        <v>1</v>
      </c>
      <c r="F152">
        <v>1</v>
      </c>
      <c r="G152">
        <v>1</v>
      </c>
      <c r="H152">
        <v>3</v>
      </c>
      <c r="I152" t="s">
        <v>797</v>
      </c>
      <c r="J152" t="s">
        <v>798</v>
      </c>
      <c r="K152" t="s">
        <v>799</v>
      </c>
      <c r="L152">
        <v>1355</v>
      </c>
      <c r="N152">
        <v>1010</v>
      </c>
      <c r="O152" t="s">
        <v>161</v>
      </c>
      <c r="P152" t="s">
        <v>161</v>
      </c>
      <c r="Q152">
        <v>100</v>
      </c>
      <c r="W152">
        <v>0</v>
      </c>
      <c r="X152">
        <v>1092967459</v>
      </c>
      <c r="Y152">
        <v>0.2</v>
      </c>
      <c r="AA152">
        <v>550.22</v>
      </c>
      <c r="AB152">
        <v>0</v>
      </c>
      <c r="AC152">
        <v>0</v>
      </c>
      <c r="AD152">
        <v>0</v>
      </c>
      <c r="AE152">
        <v>82</v>
      </c>
      <c r="AF152">
        <v>0</v>
      </c>
      <c r="AG152">
        <v>0</v>
      </c>
      <c r="AH152">
        <v>0</v>
      </c>
      <c r="AI152">
        <v>6.71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0.2</v>
      </c>
      <c r="AU152" t="s">
        <v>3</v>
      </c>
      <c r="AV152">
        <v>0</v>
      </c>
      <c r="AW152">
        <v>2</v>
      </c>
      <c r="AX152">
        <v>39097472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Y152*Source!I83</f>
        <v>7.6000000000000005</v>
      </c>
      <c r="CY152">
        <f>AA152</f>
        <v>550.22</v>
      </c>
      <c r="CZ152">
        <f>AE152</f>
        <v>82</v>
      </c>
      <c r="DA152">
        <f>AI152</f>
        <v>6.71</v>
      </c>
      <c r="DB152">
        <v>0</v>
      </c>
    </row>
    <row r="153" spans="1:106" x14ac:dyDescent="0.2">
      <c r="A153">
        <f>ROW(Source!A120)</f>
        <v>120</v>
      </c>
      <c r="B153">
        <v>39096431</v>
      </c>
      <c r="C153">
        <v>39101866</v>
      </c>
      <c r="D153">
        <v>37065946</v>
      </c>
      <c r="E153">
        <v>1</v>
      </c>
      <c r="F153">
        <v>1</v>
      </c>
      <c r="G153">
        <v>1</v>
      </c>
      <c r="H153">
        <v>1</v>
      </c>
      <c r="I153" t="s">
        <v>800</v>
      </c>
      <c r="J153" t="s">
        <v>3</v>
      </c>
      <c r="K153" t="s">
        <v>801</v>
      </c>
      <c r="L153">
        <v>1191</v>
      </c>
      <c r="N153">
        <v>1013</v>
      </c>
      <c r="O153" t="s">
        <v>660</v>
      </c>
      <c r="P153" t="s">
        <v>660</v>
      </c>
      <c r="Q153">
        <v>1</v>
      </c>
      <c r="W153">
        <v>0</v>
      </c>
      <c r="X153">
        <v>152375061</v>
      </c>
      <c r="Y153">
        <v>110</v>
      </c>
      <c r="AA153">
        <v>0</v>
      </c>
      <c r="AB153">
        <v>0</v>
      </c>
      <c r="AC153">
        <v>0</v>
      </c>
      <c r="AD153">
        <v>52.81</v>
      </c>
      <c r="AE153">
        <v>0</v>
      </c>
      <c r="AF153">
        <v>0</v>
      </c>
      <c r="AG153">
        <v>0</v>
      </c>
      <c r="AH153">
        <v>7.87</v>
      </c>
      <c r="AI153">
        <v>1</v>
      </c>
      <c r="AJ153">
        <v>1</v>
      </c>
      <c r="AK153">
        <v>1</v>
      </c>
      <c r="AL153">
        <v>6.71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110</v>
      </c>
      <c r="AU153" t="s">
        <v>3</v>
      </c>
      <c r="AV153">
        <v>1</v>
      </c>
      <c r="AW153">
        <v>2</v>
      </c>
      <c r="AX153">
        <v>39101870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Y153*Source!I120</f>
        <v>25.3</v>
      </c>
      <c r="CY153">
        <f>AD153</f>
        <v>52.81</v>
      </c>
      <c r="CZ153">
        <f>AH153</f>
        <v>7.87</v>
      </c>
      <c r="DA153">
        <f>AL153</f>
        <v>6.71</v>
      </c>
      <c r="DB153">
        <v>0</v>
      </c>
    </row>
    <row r="154" spans="1:106" x14ac:dyDescent="0.2">
      <c r="A154">
        <f>ROW(Source!A120)</f>
        <v>120</v>
      </c>
      <c r="B154">
        <v>39096431</v>
      </c>
      <c r="C154">
        <v>39101866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661</v>
      </c>
      <c r="J154" t="s">
        <v>3</v>
      </c>
      <c r="K154" t="s">
        <v>662</v>
      </c>
      <c r="L154">
        <v>1191</v>
      </c>
      <c r="N154">
        <v>1013</v>
      </c>
      <c r="O154" t="s">
        <v>660</v>
      </c>
      <c r="P154" t="s">
        <v>660</v>
      </c>
      <c r="Q154">
        <v>1</v>
      </c>
      <c r="W154">
        <v>0</v>
      </c>
      <c r="X154">
        <v>-1417349443</v>
      </c>
      <c r="Y154">
        <v>2.2400000000000002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6.71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2.2400000000000002</v>
      </c>
      <c r="AU154" t="s">
        <v>3</v>
      </c>
      <c r="AV154">
        <v>2</v>
      </c>
      <c r="AW154">
        <v>2</v>
      </c>
      <c r="AX154">
        <v>39101871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Y154*Source!I120</f>
        <v>0.5152000000000001</v>
      </c>
      <c r="CY154">
        <f>AD154</f>
        <v>0</v>
      </c>
      <c r="CZ154">
        <f>AH154</f>
        <v>0</v>
      </c>
      <c r="DA154">
        <f>AL154</f>
        <v>1</v>
      </c>
      <c r="DB154">
        <v>0</v>
      </c>
    </row>
    <row r="155" spans="1:106" x14ac:dyDescent="0.2">
      <c r="A155">
        <f>ROW(Source!A120)</f>
        <v>120</v>
      </c>
      <c r="B155">
        <v>39096431</v>
      </c>
      <c r="C155">
        <v>39101866</v>
      </c>
      <c r="D155">
        <v>36882452</v>
      </c>
      <c r="E155">
        <v>1</v>
      </c>
      <c r="F155">
        <v>1</v>
      </c>
      <c r="G155">
        <v>1</v>
      </c>
      <c r="H155">
        <v>2</v>
      </c>
      <c r="I155" t="s">
        <v>663</v>
      </c>
      <c r="J155" t="s">
        <v>664</v>
      </c>
      <c r="K155" t="s">
        <v>665</v>
      </c>
      <c r="L155">
        <v>1368</v>
      </c>
      <c r="N155">
        <v>1011</v>
      </c>
      <c r="O155" t="s">
        <v>666</v>
      </c>
      <c r="P155" t="s">
        <v>666</v>
      </c>
      <c r="Q155">
        <v>1</v>
      </c>
      <c r="W155">
        <v>0</v>
      </c>
      <c r="X155">
        <v>1188625873</v>
      </c>
      <c r="Y155">
        <v>2.2400000000000002</v>
      </c>
      <c r="AA155">
        <v>0</v>
      </c>
      <c r="AB155">
        <v>209.75</v>
      </c>
      <c r="AC155">
        <v>13.5</v>
      </c>
      <c r="AD155">
        <v>0</v>
      </c>
      <c r="AE155">
        <v>0</v>
      </c>
      <c r="AF155">
        <v>31.26</v>
      </c>
      <c r="AG155">
        <v>13.5</v>
      </c>
      <c r="AH155">
        <v>0</v>
      </c>
      <c r="AI155">
        <v>1</v>
      </c>
      <c r="AJ155">
        <v>6.71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2.2400000000000002</v>
      </c>
      <c r="AU155" t="s">
        <v>3</v>
      </c>
      <c r="AV155">
        <v>0</v>
      </c>
      <c r="AW155">
        <v>2</v>
      </c>
      <c r="AX155">
        <v>39101872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Y155*Source!I120</f>
        <v>0.5152000000000001</v>
      </c>
      <c r="CY155">
        <f>AB155</f>
        <v>209.75</v>
      </c>
      <c r="CZ155">
        <f>AF155</f>
        <v>31.26</v>
      </c>
      <c r="DA155">
        <f>AJ155</f>
        <v>6.71</v>
      </c>
      <c r="DB155">
        <v>0</v>
      </c>
    </row>
    <row r="156" spans="1:106" x14ac:dyDescent="0.2">
      <c r="A156">
        <f>ROW(Source!A121)</f>
        <v>121</v>
      </c>
      <c r="B156">
        <v>39096431</v>
      </c>
      <c r="C156">
        <v>39101873</v>
      </c>
      <c r="D156">
        <v>37070090</v>
      </c>
      <c r="E156">
        <v>1</v>
      </c>
      <c r="F156">
        <v>1</v>
      </c>
      <c r="G156">
        <v>1</v>
      </c>
      <c r="H156">
        <v>1</v>
      </c>
      <c r="I156" t="s">
        <v>758</v>
      </c>
      <c r="J156" t="s">
        <v>3</v>
      </c>
      <c r="K156" t="s">
        <v>759</v>
      </c>
      <c r="L156">
        <v>1191</v>
      </c>
      <c r="N156">
        <v>1013</v>
      </c>
      <c r="O156" t="s">
        <v>660</v>
      </c>
      <c r="P156" t="s">
        <v>660</v>
      </c>
      <c r="Q156">
        <v>1</v>
      </c>
      <c r="W156">
        <v>0</v>
      </c>
      <c r="X156">
        <v>-814890593</v>
      </c>
      <c r="Y156">
        <v>65.599999999999994</v>
      </c>
      <c r="AA156">
        <v>0</v>
      </c>
      <c r="AB156">
        <v>0</v>
      </c>
      <c r="AC156">
        <v>0</v>
      </c>
      <c r="AD156">
        <v>60.19</v>
      </c>
      <c r="AE156">
        <v>0</v>
      </c>
      <c r="AF156">
        <v>0</v>
      </c>
      <c r="AG156">
        <v>0</v>
      </c>
      <c r="AH156">
        <v>8.9700000000000006</v>
      </c>
      <c r="AI156">
        <v>1</v>
      </c>
      <c r="AJ156">
        <v>1</v>
      </c>
      <c r="AK156">
        <v>1</v>
      </c>
      <c r="AL156">
        <v>6.71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65.599999999999994</v>
      </c>
      <c r="AU156" t="s">
        <v>3</v>
      </c>
      <c r="AV156">
        <v>1</v>
      </c>
      <c r="AW156">
        <v>2</v>
      </c>
      <c r="AX156">
        <v>39101885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Y156*Source!I121</f>
        <v>34.762751999999992</v>
      </c>
      <c r="CY156">
        <f>AD156</f>
        <v>60.19</v>
      </c>
      <c r="CZ156">
        <f>AH156</f>
        <v>8.9700000000000006</v>
      </c>
      <c r="DA156">
        <f>AL156</f>
        <v>6.71</v>
      </c>
      <c r="DB156">
        <v>0</v>
      </c>
    </row>
    <row r="157" spans="1:106" x14ac:dyDescent="0.2">
      <c r="A157">
        <f>ROW(Source!A121)</f>
        <v>121</v>
      </c>
      <c r="B157">
        <v>39096431</v>
      </c>
      <c r="C157">
        <v>39101873</v>
      </c>
      <c r="D157">
        <v>37064876</v>
      </c>
      <c r="E157">
        <v>1</v>
      </c>
      <c r="F157">
        <v>1</v>
      </c>
      <c r="G157">
        <v>1</v>
      </c>
      <c r="H157">
        <v>1</v>
      </c>
      <c r="I157" t="s">
        <v>661</v>
      </c>
      <c r="J157" t="s">
        <v>3</v>
      </c>
      <c r="K157" t="s">
        <v>662</v>
      </c>
      <c r="L157">
        <v>1191</v>
      </c>
      <c r="N157">
        <v>1013</v>
      </c>
      <c r="O157" t="s">
        <v>660</v>
      </c>
      <c r="P157" t="s">
        <v>660</v>
      </c>
      <c r="Q157">
        <v>1</v>
      </c>
      <c r="W157">
        <v>0</v>
      </c>
      <c r="X157">
        <v>-1417349443</v>
      </c>
      <c r="Y157">
        <v>3.13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6.71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3.13</v>
      </c>
      <c r="AU157" t="s">
        <v>3</v>
      </c>
      <c r="AV157">
        <v>2</v>
      </c>
      <c r="AW157">
        <v>2</v>
      </c>
      <c r="AX157">
        <v>39101886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Y157*Source!I121</f>
        <v>1.6586495999999997</v>
      </c>
      <c r="CY157">
        <f>AD157</f>
        <v>0</v>
      </c>
      <c r="CZ157">
        <f>AH157</f>
        <v>0</v>
      </c>
      <c r="DA157">
        <f>AL157</f>
        <v>1</v>
      </c>
      <c r="DB157">
        <v>0</v>
      </c>
    </row>
    <row r="158" spans="1:106" x14ac:dyDescent="0.2">
      <c r="A158">
        <f>ROW(Source!A121)</f>
        <v>121</v>
      </c>
      <c r="B158">
        <v>39096431</v>
      </c>
      <c r="C158">
        <v>39101873</v>
      </c>
      <c r="D158">
        <v>36882159</v>
      </c>
      <c r="E158">
        <v>1</v>
      </c>
      <c r="F158">
        <v>1</v>
      </c>
      <c r="G158">
        <v>1</v>
      </c>
      <c r="H158">
        <v>2</v>
      </c>
      <c r="I158" t="s">
        <v>802</v>
      </c>
      <c r="J158" t="s">
        <v>803</v>
      </c>
      <c r="K158" t="s">
        <v>804</v>
      </c>
      <c r="L158">
        <v>1368</v>
      </c>
      <c r="N158">
        <v>1011</v>
      </c>
      <c r="O158" t="s">
        <v>666</v>
      </c>
      <c r="P158" t="s">
        <v>666</v>
      </c>
      <c r="Q158">
        <v>1</v>
      </c>
      <c r="W158">
        <v>0</v>
      </c>
      <c r="X158">
        <v>-1718674368</v>
      </c>
      <c r="Y158">
        <v>0.09</v>
      </c>
      <c r="AA158">
        <v>0</v>
      </c>
      <c r="AB158">
        <v>751.45</v>
      </c>
      <c r="AC158">
        <v>13.5</v>
      </c>
      <c r="AD158">
        <v>0</v>
      </c>
      <c r="AE158">
        <v>0</v>
      </c>
      <c r="AF158">
        <v>111.99</v>
      </c>
      <c r="AG158">
        <v>13.5</v>
      </c>
      <c r="AH158">
        <v>0</v>
      </c>
      <c r="AI158">
        <v>1</v>
      </c>
      <c r="AJ158">
        <v>6.71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0.09</v>
      </c>
      <c r="AU158" t="s">
        <v>3</v>
      </c>
      <c r="AV158">
        <v>0</v>
      </c>
      <c r="AW158">
        <v>2</v>
      </c>
      <c r="AX158">
        <v>39101887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Y158*Source!I121</f>
        <v>4.7692799999999994E-2</v>
      </c>
      <c r="CY158">
        <f>AB158</f>
        <v>751.45</v>
      </c>
      <c r="CZ158">
        <f>AF158</f>
        <v>111.99</v>
      </c>
      <c r="DA158">
        <f>AJ158</f>
        <v>6.71</v>
      </c>
      <c r="DB158">
        <v>0</v>
      </c>
    </row>
    <row r="159" spans="1:106" x14ac:dyDescent="0.2">
      <c r="A159">
        <f>ROW(Source!A121)</f>
        <v>121</v>
      </c>
      <c r="B159">
        <v>39096431</v>
      </c>
      <c r="C159">
        <v>39101873</v>
      </c>
      <c r="D159">
        <v>36882452</v>
      </c>
      <c r="E159">
        <v>1</v>
      </c>
      <c r="F159">
        <v>1</v>
      </c>
      <c r="G159">
        <v>1</v>
      </c>
      <c r="H159">
        <v>2</v>
      </c>
      <c r="I159" t="s">
        <v>663</v>
      </c>
      <c r="J159" t="s">
        <v>664</v>
      </c>
      <c r="K159" t="s">
        <v>665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W159">
        <v>0</v>
      </c>
      <c r="X159">
        <v>1188625873</v>
      </c>
      <c r="Y159">
        <v>1.19</v>
      </c>
      <c r="AA159">
        <v>0</v>
      </c>
      <c r="AB159">
        <v>209.75</v>
      </c>
      <c r="AC159">
        <v>13.5</v>
      </c>
      <c r="AD159">
        <v>0</v>
      </c>
      <c r="AE159">
        <v>0</v>
      </c>
      <c r="AF159">
        <v>31.26</v>
      </c>
      <c r="AG159">
        <v>13.5</v>
      </c>
      <c r="AH159">
        <v>0</v>
      </c>
      <c r="AI159">
        <v>1</v>
      </c>
      <c r="AJ159">
        <v>6.71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1.19</v>
      </c>
      <c r="AU159" t="s">
        <v>3</v>
      </c>
      <c r="AV159">
        <v>0</v>
      </c>
      <c r="AW159">
        <v>2</v>
      </c>
      <c r="AX159">
        <v>39101888</v>
      </c>
      <c r="AY159">
        <v>1</v>
      </c>
      <c r="AZ159">
        <v>0</v>
      </c>
      <c r="BA159">
        <v>157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Y159*Source!I121</f>
        <v>0.63060479999999985</v>
      </c>
      <c r="CY159">
        <f>AB159</f>
        <v>209.75</v>
      </c>
      <c r="CZ159">
        <f>AF159</f>
        <v>31.26</v>
      </c>
      <c r="DA159">
        <f>AJ159</f>
        <v>6.71</v>
      </c>
      <c r="DB159">
        <v>0</v>
      </c>
    </row>
    <row r="160" spans="1:106" x14ac:dyDescent="0.2">
      <c r="A160">
        <f>ROW(Source!A121)</f>
        <v>121</v>
      </c>
      <c r="B160">
        <v>39096431</v>
      </c>
      <c r="C160">
        <v>39101873</v>
      </c>
      <c r="D160">
        <v>36883274</v>
      </c>
      <c r="E160">
        <v>1</v>
      </c>
      <c r="F160">
        <v>1</v>
      </c>
      <c r="G160">
        <v>1</v>
      </c>
      <c r="H160">
        <v>2</v>
      </c>
      <c r="I160" t="s">
        <v>805</v>
      </c>
      <c r="J160" t="s">
        <v>806</v>
      </c>
      <c r="K160" t="s">
        <v>807</v>
      </c>
      <c r="L160">
        <v>1368</v>
      </c>
      <c r="N160">
        <v>1011</v>
      </c>
      <c r="O160" t="s">
        <v>666</v>
      </c>
      <c r="P160" t="s">
        <v>666</v>
      </c>
      <c r="Q160">
        <v>1</v>
      </c>
      <c r="W160">
        <v>0</v>
      </c>
      <c r="X160">
        <v>-1347092713</v>
      </c>
      <c r="Y160">
        <v>0.8</v>
      </c>
      <c r="AA160">
        <v>0</v>
      </c>
      <c r="AB160">
        <v>199.09</v>
      </c>
      <c r="AC160">
        <v>0</v>
      </c>
      <c r="AD160">
        <v>0</v>
      </c>
      <c r="AE160">
        <v>0</v>
      </c>
      <c r="AF160">
        <v>29.67</v>
      </c>
      <c r="AG160">
        <v>0</v>
      </c>
      <c r="AH160">
        <v>0</v>
      </c>
      <c r="AI160">
        <v>1</v>
      </c>
      <c r="AJ160">
        <v>6.71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0.8</v>
      </c>
      <c r="AU160" t="s">
        <v>3</v>
      </c>
      <c r="AV160">
        <v>0</v>
      </c>
      <c r="AW160">
        <v>2</v>
      </c>
      <c r="AX160">
        <v>39101889</v>
      </c>
      <c r="AY160">
        <v>1</v>
      </c>
      <c r="AZ160">
        <v>0</v>
      </c>
      <c r="BA160">
        <v>158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Y160*Source!I121</f>
        <v>0.42393599999999998</v>
      </c>
      <c r="CY160">
        <f>AB160</f>
        <v>199.09</v>
      </c>
      <c r="CZ160">
        <f>AF160</f>
        <v>29.67</v>
      </c>
      <c r="DA160">
        <f>AJ160</f>
        <v>6.71</v>
      </c>
      <c r="DB160">
        <v>0</v>
      </c>
    </row>
    <row r="161" spans="1:106" x14ac:dyDescent="0.2">
      <c r="A161">
        <f>ROW(Source!A121)</f>
        <v>121</v>
      </c>
      <c r="B161">
        <v>39096431</v>
      </c>
      <c r="C161">
        <v>39101873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679</v>
      </c>
      <c r="J161" t="s">
        <v>680</v>
      </c>
      <c r="K161" t="s">
        <v>681</v>
      </c>
      <c r="L161">
        <v>1368</v>
      </c>
      <c r="N161">
        <v>1011</v>
      </c>
      <c r="O161" t="s">
        <v>666</v>
      </c>
      <c r="P161" t="s">
        <v>666</v>
      </c>
      <c r="Q161">
        <v>1</v>
      </c>
      <c r="W161">
        <v>0</v>
      </c>
      <c r="X161">
        <v>1372534845</v>
      </c>
      <c r="Y161">
        <v>1.85</v>
      </c>
      <c r="AA161">
        <v>0</v>
      </c>
      <c r="AB161">
        <v>440.91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6.71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1.85</v>
      </c>
      <c r="AU161" t="s">
        <v>3</v>
      </c>
      <c r="AV161">
        <v>0</v>
      </c>
      <c r="AW161">
        <v>2</v>
      </c>
      <c r="AX161">
        <v>39101890</v>
      </c>
      <c r="AY161">
        <v>1</v>
      </c>
      <c r="AZ161">
        <v>0</v>
      </c>
      <c r="BA161">
        <v>159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Y161*Source!I121</f>
        <v>0.980352</v>
      </c>
      <c r="CY161">
        <f>AB161</f>
        <v>440.91</v>
      </c>
      <c r="CZ161">
        <f>AF161</f>
        <v>65.709999999999994</v>
      </c>
      <c r="DA161">
        <f>AJ161</f>
        <v>6.71</v>
      </c>
      <c r="DB161">
        <v>0</v>
      </c>
    </row>
    <row r="162" spans="1:106" x14ac:dyDescent="0.2">
      <c r="A162">
        <f>ROW(Source!A121)</f>
        <v>121</v>
      </c>
      <c r="B162">
        <v>39096431</v>
      </c>
      <c r="C162">
        <v>39101873</v>
      </c>
      <c r="D162">
        <v>36800590</v>
      </c>
      <c r="E162">
        <v>1</v>
      </c>
      <c r="F162">
        <v>1</v>
      </c>
      <c r="G162">
        <v>1</v>
      </c>
      <c r="H162">
        <v>3</v>
      </c>
      <c r="I162" t="s">
        <v>808</v>
      </c>
      <c r="J162" t="s">
        <v>809</v>
      </c>
      <c r="K162" t="s">
        <v>810</v>
      </c>
      <c r="L162">
        <v>1339</v>
      </c>
      <c r="N162">
        <v>1007</v>
      </c>
      <c r="O162" t="s">
        <v>106</v>
      </c>
      <c r="P162" t="s">
        <v>106</v>
      </c>
      <c r="Q162">
        <v>1</v>
      </c>
      <c r="W162">
        <v>0</v>
      </c>
      <c r="X162">
        <v>2048996427</v>
      </c>
      <c r="Y162">
        <v>0.67</v>
      </c>
      <c r="AA162">
        <v>307.52</v>
      </c>
      <c r="AB162">
        <v>0</v>
      </c>
      <c r="AC162">
        <v>0</v>
      </c>
      <c r="AD162">
        <v>0</v>
      </c>
      <c r="AE162">
        <v>45.83</v>
      </c>
      <c r="AF162">
        <v>0</v>
      </c>
      <c r="AG162">
        <v>0</v>
      </c>
      <c r="AH162">
        <v>0</v>
      </c>
      <c r="AI162">
        <v>6.71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0.67</v>
      </c>
      <c r="AU162" t="s">
        <v>3</v>
      </c>
      <c r="AV162">
        <v>0</v>
      </c>
      <c r="AW162">
        <v>2</v>
      </c>
      <c r="AX162">
        <v>39101891</v>
      </c>
      <c r="AY162">
        <v>1</v>
      </c>
      <c r="AZ162">
        <v>0</v>
      </c>
      <c r="BA162">
        <v>160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Y162*Source!I121</f>
        <v>0.35504639999999998</v>
      </c>
      <c r="CY162">
        <f>AA162</f>
        <v>307.52</v>
      </c>
      <c r="CZ162">
        <f>AE162</f>
        <v>45.83</v>
      </c>
      <c r="DA162">
        <f>AI162</f>
        <v>6.71</v>
      </c>
      <c r="DB162">
        <v>0</v>
      </c>
    </row>
    <row r="163" spans="1:106" x14ac:dyDescent="0.2">
      <c r="A163">
        <f>ROW(Source!A121)</f>
        <v>121</v>
      </c>
      <c r="B163">
        <v>39096431</v>
      </c>
      <c r="C163">
        <v>39101873</v>
      </c>
      <c r="D163">
        <v>36801792</v>
      </c>
      <c r="E163">
        <v>1</v>
      </c>
      <c r="F163">
        <v>1</v>
      </c>
      <c r="G163">
        <v>1</v>
      </c>
      <c r="H163">
        <v>3</v>
      </c>
      <c r="I163" t="s">
        <v>671</v>
      </c>
      <c r="J163" t="s">
        <v>672</v>
      </c>
      <c r="K163" t="s">
        <v>673</v>
      </c>
      <c r="L163">
        <v>1339</v>
      </c>
      <c r="N163">
        <v>1007</v>
      </c>
      <c r="O163" t="s">
        <v>106</v>
      </c>
      <c r="P163" t="s">
        <v>106</v>
      </c>
      <c r="Q163">
        <v>1</v>
      </c>
      <c r="W163">
        <v>0</v>
      </c>
      <c r="X163">
        <v>-1660354250</v>
      </c>
      <c r="Y163">
        <v>15</v>
      </c>
      <c r="AA163">
        <v>16.37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6.71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15</v>
      </c>
      <c r="AU163" t="s">
        <v>3</v>
      </c>
      <c r="AV163">
        <v>0</v>
      </c>
      <c r="AW163">
        <v>2</v>
      </c>
      <c r="AX163">
        <v>39101892</v>
      </c>
      <c r="AY163">
        <v>1</v>
      </c>
      <c r="AZ163">
        <v>0</v>
      </c>
      <c r="BA163">
        <v>161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Y163*Source!I121</f>
        <v>7.9487999999999994</v>
      </c>
      <c r="CY163">
        <f>AA163</f>
        <v>16.37</v>
      </c>
      <c r="CZ163">
        <f>AE163</f>
        <v>2.44</v>
      </c>
      <c r="DA163">
        <f>AI163</f>
        <v>6.71</v>
      </c>
      <c r="DB163">
        <v>0</v>
      </c>
    </row>
    <row r="164" spans="1:106" x14ac:dyDescent="0.2">
      <c r="A164">
        <f>ROW(Source!A121)</f>
        <v>121</v>
      </c>
      <c r="B164">
        <v>39096431</v>
      </c>
      <c r="C164">
        <v>39101873</v>
      </c>
      <c r="D164">
        <v>36847310</v>
      </c>
      <c r="E164">
        <v>1</v>
      </c>
      <c r="F164">
        <v>1</v>
      </c>
      <c r="G164">
        <v>1</v>
      </c>
      <c r="H164">
        <v>3</v>
      </c>
      <c r="I164" t="s">
        <v>811</v>
      </c>
      <c r="J164" t="s">
        <v>812</v>
      </c>
      <c r="K164" t="s">
        <v>813</v>
      </c>
      <c r="L164">
        <v>1035</v>
      </c>
      <c r="N164">
        <v>1013</v>
      </c>
      <c r="O164" t="s">
        <v>814</v>
      </c>
      <c r="P164" t="s">
        <v>814</v>
      </c>
      <c r="Q164">
        <v>1</v>
      </c>
      <c r="W164">
        <v>0</v>
      </c>
      <c r="X164">
        <v>-1223829238</v>
      </c>
      <c r="Y164">
        <v>44.2</v>
      </c>
      <c r="AA164">
        <v>166.07</v>
      </c>
      <c r="AB164">
        <v>0</v>
      </c>
      <c r="AC164">
        <v>0</v>
      </c>
      <c r="AD164">
        <v>0</v>
      </c>
      <c r="AE164">
        <v>24.75</v>
      </c>
      <c r="AF164">
        <v>0</v>
      </c>
      <c r="AG164">
        <v>0</v>
      </c>
      <c r="AH164">
        <v>0</v>
      </c>
      <c r="AI164">
        <v>6.71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44.2</v>
      </c>
      <c r="AU164" t="s">
        <v>3</v>
      </c>
      <c r="AV164">
        <v>0</v>
      </c>
      <c r="AW164">
        <v>2</v>
      </c>
      <c r="AX164">
        <v>39101895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Y164*Source!I121</f>
        <v>23.422463999999998</v>
      </c>
      <c r="CY164">
        <f>AA164</f>
        <v>166.07</v>
      </c>
      <c r="CZ164">
        <f>AE164</f>
        <v>24.75</v>
      </c>
      <c r="DA164">
        <f>AI164</f>
        <v>6.71</v>
      </c>
      <c r="DB164">
        <v>0</v>
      </c>
    </row>
    <row r="165" spans="1:106" x14ac:dyDescent="0.2">
      <c r="A165">
        <f>ROW(Source!A121)</f>
        <v>121</v>
      </c>
      <c r="B165">
        <v>39096431</v>
      </c>
      <c r="C165">
        <v>39101873</v>
      </c>
      <c r="D165">
        <v>36847648</v>
      </c>
      <c r="E165">
        <v>1</v>
      </c>
      <c r="F165">
        <v>1</v>
      </c>
      <c r="G165">
        <v>1</v>
      </c>
      <c r="H165">
        <v>3</v>
      </c>
      <c r="I165" t="s">
        <v>346</v>
      </c>
      <c r="J165" t="s">
        <v>348</v>
      </c>
      <c r="K165" t="s">
        <v>347</v>
      </c>
      <c r="L165">
        <v>1354</v>
      </c>
      <c r="N165">
        <v>1010</v>
      </c>
      <c r="O165" t="s">
        <v>46</v>
      </c>
      <c r="P165" t="s">
        <v>46</v>
      </c>
      <c r="Q165">
        <v>1</v>
      </c>
      <c r="W165">
        <v>0</v>
      </c>
      <c r="X165">
        <v>-2076158712</v>
      </c>
      <c r="Y165">
        <v>43.402777999999998</v>
      </c>
      <c r="AA165">
        <v>10089.76</v>
      </c>
      <c r="AB165">
        <v>0</v>
      </c>
      <c r="AC165">
        <v>0</v>
      </c>
      <c r="AD165">
        <v>0</v>
      </c>
      <c r="AE165">
        <v>1503.69</v>
      </c>
      <c r="AF165">
        <v>0</v>
      </c>
      <c r="AG165">
        <v>0</v>
      </c>
      <c r="AH165">
        <v>0</v>
      </c>
      <c r="AI165">
        <v>6.71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43.402777999999998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Y165*Source!I121</f>
        <v>23.000000117759996</v>
      </c>
      <c r="CY165">
        <f>AA165</f>
        <v>10089.76</v>
      </c>
      <c r="CZ165">
        <f>AE165</f>
        <v>1503.69</v>
      </c>
      <c r="DA165">
        <f>AI165</f>
        <v>6.71</v>
      </c>
      <c r="DB165">
        <v>0</v>
      </c>
    </row>
    <row r="166" spans="1:106" x14ac:dyDescent="0.2">
      <c r="A166">
        <f>ROW(Source!A121)</f>
        <v>121</v>
      </c>
      <c r="B166">
        <v>39096431</v>
      </c>
      <c r="C166">
        <v>39101873</v>
      </c>
      <c r="D166">
        <v>36797746</v>
      </c>
      <c r="E166">
        <v>17</v>
      </c>
      <c r="F166">
        <v>1</v>
      </c>
      <c r="G166">
        <v>1</v>
      </c>
      <c r="H166">
        <v>3</v>
      </c>
      <c r="I166" t="s">
        <v>350</v>
      </c>
      <c r="J166" t="s">
        <v>3</v>
      </c>
      <c r="K166" t="s">
        <v>351</v>
      </c>
      <c r="L166">
        <v>1033</v>
      </c>
      <c r="N166">
        <v>1013</v>
      </c>
      <c r="O166" t="s">
        <v>352</v>
      </c>
      <c r="P166" t="s">
        <v>352</v>
      </c>
      <c r="Q166">
        <v>1</v>
      </c>
      <c r="W166">
        <v>0</v>
      </c>
      <c r="X166">
        <v>704408924</v>
      </c>
      <c r="Y166">
        <v>100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6.71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100</v>
      </c>
      <c r="AU166" t="s">
        <v>3</v>
      </c>
      <c r="AV166">
        <v>0</v>
      </c>
      <c r="AW166">
        <v>2</v>
      </c>
      <c r="AX166">
        <v>39101896</v>
      </c>
      <c r="AY166">
        <v>1</v>
      </c>
      <c r="AZ166">
        <v>0</v>
      </c>
      <c r="BA166">
        <v>165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Y166*Source!I121</f>
        <v>52.991999999999997</v>
      </c>
      <c r="CY166">
        <f>AA166</f>
        <v>0</v>
      </c>
      <c r="CZ166">
        <f>AE166</f>
        <v>0</v>
      </c>
      <c r="DA166">
        <f>AI166</f>
        <v>6.71</v>
      </c>
      <c r="DB166">
        <v>0</v>
      </c>
    </row>
    <row r="167" spans="1:106" x14ac:dyDescent="0.2">
      <c r="A167">
        <f>ROW(Source!A124)</f>
        <v>124</v>
      </c>
      <c r="B167">
        <v>39096431</v>
      </c>
      <c r="C167">
        <v>39101899</v>
      </c>
      <c r="D167">
        <v>37064928</v>
      </c>
      <c r="E167">
        <v>1</v>
      </c>
      <c r="F167">
        <v>1</v>
      </c>
      <c r="G167">
        <v>1</v>
      </c>
      <c r="H167">
        <v>1</v>
      </c>
      <c r="I167" t="s">
        <v>771</v>
      </c>
      <c r="J167" t="s">
        <v>3</v>
      </c>
      <c r="K167" t="s">
        <v>772</v>
      </c>
      <c r="L167">
        <v>1191</v>
      </c>
      <c r="N167">
        <v>1013</v>
      </c>
      <c r="O167" t="s">
        <v>660</v>
      </c>
      <c r="P167" t="s">
        <v>660</v>
      </c>
      <c r="Q167">
        <v>1</v>
      </c>
      <c r="W167">
        <v>0</v>
      </c>
      <c r="X167">
        <v>145020957</v>
      </c>
      <c r="Y167">
        <v>1.47</v>
      </c>
      <c r="AA167">
        <v>0</v>
      </c>
      <c r="AB167">
        <v>0</v>
      </c>
      <c r="AC167">
        <v>0</v>
      </c>
      <c r="AD167">
        <v>60.86</v>
      </c>
      <c r="AE167">
        <v>0</v>
      </c>
      <c r="AF167">
        <v>0</v>
      </c>
      <c r="AG167">
        <v>0</v>
      </c>
      <c r="AH167">
        <v>9.07</v>
      </c>
      <c r="AI167">
        <v>1</v>
      </c>
      <c r="AJ167">
        <v>1</v>
      </c>
      <c r="AK167">
        <v>1</v>
      </c>
      <c r="AL167">
        <v>6.71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1.47</v>
      </c>
      <c r="AU167" t="s">
        <v>3</v>
      </c>
      <c r="AV167">
        <v>1</v>
      </c>
      <c r="AW167">
        <v>2</v>
      </c>
      <c r="AX167">
        <v>39101908</v>
      </c>
      <c r="AY167">
        <v>1</v>
      </c>
      <c r="AZ167">
        <v>0</v>
      </c>
      <c r="BA167">
        <v>166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Y167*Source!I124</f>
        <v>67.62</v>
      </c>
      <c r="CY167">
        <f>AD167</f>
        <v>60.86</v>
      </c>
      <c r="CZ167">
        <f>AH167</f>
        <v>9.07</v>
      </c>
      <c r="DA167">
        <f>AL167</f>
        <v>6.71</v>
      </c>
      <c r="DB167">
        <v>0</v>
      </c>
    </row>
    <row r="168" spans="1:106" x14ac:dyDescent="0.2">
      <c r="A168">
        <f>ROW(Source!A124)</f>
        <v>124</v>
      </c>
      <c r="B168">
        <v>39096431</v>
      </c>
      <c r="C168">
        <v>39101899</v>
      </c>
      <c r="D168">
        <v>37064876</v>
      </c>
      <c r="E168">
        <v>1</v>
      </c>
      <c r="F168">
        <v>1</v>
      </c>
      <c r="G168">
        <v>1</v>
      </c>
      <c r="H168">
        <v>1</v>
      </c>
      <c r="I168" t="s">
        <v>661</v>
      </c>
      <c r="J168" t="s">
        <v>3</v>
      </c>
      <c r="K168" t="s">
        <v>662</v>
      </c>
      <c r="L168">
        <v>1191</v>
      </c>
      <c r="N168">
        <v>1013</v>
      </c>
      <c r="O168" t="s">
        <v>660</v>
      </c>
      <c r="P168" t="s">
        <v>660</v>
      </c>
      <c r="Q168">
        <v>1</v>
      </c>
      <c r="W168">
        <v>0</v>
      </c>
      <c r="X168">
        <v>-1417349443</v>
      </c>
      <c r="Y168">
        <v>0.01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6.71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0.01</v>
      </c>
      <c r="AU168" t="s">
        <v>3</v>
      </c>
      <c r="AV168">
        <v>2</v>
      </c>
      <c r="AW168">
        <v>2</v>
      </c>
      <c r="AX168">
        <v>39101909</v>
      </c>
      <c r="AY168">
        <v>1</v>
      </c>
      <c r="AZ168">
        <v>0</v>
      </c>
      <c r="BA168">
        <v>167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Y168*Source!I124</f>
        <v>0.46</v>
      </c>
      <c r="CY168">
        <f>AD168</f>
        <v>0</v>
      </c>
      <c r="CZ168">
        <f>AH168</f>
        <v>0</v>
      </c>
      <c r="DA168">
        <f>AL168</f>
        <v>1</v>
      </c>
      <c r="DB168">
        <v>0</v>
      </c>
    </row>
    <row r="169" spans="1:106" x14ac:dyDescent="0.2">
      <c r="A169">
        <f>ROW(Source!A124)</f>
        <v>124</v>
      </c>
      <c r="B169">
        <v>39096431</v>
      </c>
      <c r="C169">
        <v>39101899</v>
      </c>
      <c r="D169">
        <v>36883554</v>
      </c>
      <c r="E169">
        <v>1</v>
      </c>
      <c r="F169">
        <v>1</v>
      </c>
      <c r="G169">
        <v>1</v>
      </c>
      <c r="H169">
        <v>2</v>
      </c>
      <c r="I169" t="s">
        <v>679</v>
      </c>
      <c r="J169" t="s">
        <v>680</v>
      </c>
      <c r="K169" t="s">
        <v>681</v>
      </c>
      <c r="L169">
        <v>1368</v>
      </c>
      <c r="N169">
        <v>1011</v>
      </c>
      <c r="O169" t="s">
        <v>666</v>
      </c>
      <c r="P169" t="s">
        <v>666</v>
      </c>
      <c r="Q169">
        <v>1</v>
      </c>
      <c r="W169">
        <v>0</v>
      </c>
      <c r="X169">
        <v>1372534845</v>
      </c>
      <c r="Y169">
        <v>0.01</v>
      </c>
      <c r="AA169">
        <v>0</v>
      </c>
      <c r="AB169">
        <v>440.91</v>
      </c>
      <c r="AC169">
        <v>11.6</v>
      </c>
      <c r="AD169">
        <v>0</v>
      </c>
      <c r="AE169">
        <v>0</v>
      </c>
      <c r="AF169">
        <v>65.709999999999994</v>
      </c>
      <c r="AG169">
        <v>11.6</v>
      </c>
      <c r="AH169">
        <v>0</v>
      </c>
      <c r="AI169">
        <v>1</v>
      </c>
      <c r="AJ169">
        <v>6.71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0.01</v>
      </c>
      <c r="AU169" t="s">
        <v>3</v>
      </c>
      <c r="AV169">
        <v>0</v>
      </c>
      <c r="AW169">
        <v>2</v>
      </c>
      <c r="AX169">
        <v>39101910</v>
      </c>
      <c r="AY169">
        <v>1</v>
      </c>
      <c r="AZ169">
        <v>0</v>
      </c>
      <c r="BA169">
        <v>168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Y169*Source!I124</f>
        <v>0.46</v>
      </c>
      <c r="CY169">
        <f>AB169</f>
        <v>440.91</v>
      </c>
      <c r="CZ169">
        <f>AF169</f>
        <v>65.709999999999994</v>
      </c>
      <c r="DA169">
        <f>AJ169</f>
        <v>6.71</v>
      </c>
      <c r="DB169">
        <v>0</v>
      </c>
    </row>
    <row r="170" spans="1:106" x14ac:dyDescent="0.2">
      <c r="A170">
        <f>ROW(Source!A124)</f>
        <v>124</v>
      </c>
      <c r="B170">
        <v>39096431</v>
      </c>
      <c r="C170">
        <v>39101899</v>
      </c>
      <c r="D170">
        <v>36883858</v>
      </c>
      <c r="E170">
        <v>1</v>
      </c>
      <c r="F170">
        <v>1</v>
      </c>
      <c r="G170">
        <v>1</v>
      </c>
      <c r="H170">
        <v>2</v>
      </c>
      <c r="I170" t="s">
        <v>704</v>
      </c>
      <c r="J170" t="s">
        <v>705</v>
      </c>
      <c r="K170" t="s">
        <v>706</v>
      </c>
      <c r="L170">
        <v>1368</v>
      </c>
      <c r="N170">
        <v>1011</v>
      </c>
      <c r="O170" t="s">
        <v>666</v>
      </c>
      <c r="P170" t="s">
        <v>666</v>
      </c>
      <c r="Q170">
        <v>1</v>
      </c>
      <c r="W170">
        <v>0</v>
      </c>
      <c r="X170">
        <v>-353815937</v>
      </c>
      <c r="Y170">
        <v>0.35</v>
      </c>
      <c r="AA170">
        <v>0</v>
      </c>
      <c r="AB170">
        <v>54.35</v>
      </c>
      <c r="AC170">
        <v>0</v>
      </c>
      <c r="AD170">
        <v>0</v>
      </c>
      <c r="AE170">
        <v>0</v>
      </c>
      <c r="AF170">
        <v>8.1</v>
      </c>
      <c r="AG170">
        <v>0</v>
      </c>
      <c r="AH170">
        <v>0</v>
      </c>
      <c r="AI170">
        <v>1</v>
      </c>
      <c r="AJ170">
        <v>6.71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0.35</v>
      </c>
      <c r="AU170" t="s">
        <v>3</v>
      </c>
      <c r="AV170">
        <v>0</v>
      </c>
      <c r="AW170">
        <v>2</v>
      </c>
      <c r="AX170">
        <v>39101911</v>
      </c>
      <c r="AY170">
        <v>1</v>
      </c>
      <c r="AZ170">
        <v>0</v>
      </c>
      <c r="BA170">
        <v>169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Y170*Source!I124</f>
        <v>16.099999999999998</v>
      </c>
      <c r="CY170">
        <f>AB170</f>
        <v>54.35</v>
      </c>
      <c r="CZ170">
        <f>AF170</f>
        <v>8.1</v>
      </c>
      <c r="DA170">
        <f>AJ170</f>
        <v>6.71</v>
      </c>
      <c r="DB170">
        <v>0</v>
      </c>
    </row>
    <row r="171" spans="1:106" x14ac:dyDescent="0.2">
      <c r="A171">
        <f>ROW(Source!A124)</f>
        <v>124</v>
      </c>
      <c r="B171">
        <v>39096431</v>
      </c>
      <c r="C171">
        <v>39101899</v>
      </c>
      <c r="D171">
        <v>36799773</v>
      </c>
      <c r="E171">
        <v>1</v>
      </c>
      <c r="F171">
        <v>1</v>
      </c>
      <c r="G171">
        <v>1</v>
      </c>
      <c r="H171">
        <v>3</v>
      </c>
      <c r="I171" t="s">
        <v>815</v>
      </c>
      <c r="J171" t="s">
        <v>816</v>
      </c>
      <c r="K171" t="s">
        <v>817</v>
      </c>
      <c r="L171">
        <v>1356</v>
      </c>
      <c r="N171">
        <v>1010</v>
      </c>
      <c r="O171" t="s">
        <v>741</v>
      </c>
      <c r="P171" t="s">
        <v>741</v>
      </c>
      <c r="Q171">
        <v>1000</v>
      </c>
      <c r="W171">
        <v>0</v>
      </c>
      <c r="X171">
        <v>-1705143825</v>
      </c>
      <c r="Y171">
        <v>2E-3</v>
      </c>
      <c r="AA171">
        <v>23149.5</v>
      </c>
      <c r="AB171">
        <v>0</v>
      </c>
      <c r="AC171">
        <v>0</v>
      </c>
      <c r="AD171">
        <v>0</v>
      </c>
      <c r="AE171">
        <v>3450</v>
      </c>
      <c r="AF171">
        <v>0</v>
      </c>
      <c r="AG171">
        <v>0</v>
      </c>
      <c r="AH171">
        <v>0</v>
      </c>
      <c r="AI171">
        <v>6.71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2E-3</v>
      </c>
      <c r="AU171" t="s">
        <v>3</v>
      </c>
      <c r="AV171">
        <v>0</v>
      </c>
      <c r="AW171">
        <v>2</v>
      </c>
      <c r="AX171">
        <v>39101912</v>
      </c>
      <c r="AY171">
        <v>1</v>
      </c>
      <c r="AZ171">
        <v>0</v>
      </c>
      <c r="BA171">
        <v>170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Y171*Source!I124</f>
        <v>9.1999999999999998E-2</v>
      </c>
      <c r="CY171">
        <f>AA171</f>
        <v>23149.5</v>
      </c>
      <c r="CZ171">
        <f>AE171</f>
        <v>3450</v>
      </c>
      <c r="DA171">
        <f>AI171</f>
        <v>6.71</v>
      </c>
      <c r="DB171">
        <v>0</v>
      </c>
    </row>
    <row r="172" spans="1:106" x14ac:dyDescent="0.2">
      <c r="A172">
        <f>ROW(Source!A124)</f>
        <v>124</v>
      </c>
      <c r="B172">
        <v>39096431</v>
      </c>
      <c r="C172">
        <v>39101899</v>
      </c>
      <c r="D172">
        <v>36803269</v>
      </c>
      <c r="E172">
        <v>1</v>
      </c>
      <c r="F172">
        <v>1</v>
      </c>
      <c r="G172">
        <v>1</v>
      </c>
      <c r="H172">
        <v>3</v>
      </c>
      <c r="I172" t="s">
        <v>818</v>
      </c>
      <c r="J172" t="s">
        <v>819</v>
      </c>
      <c r="K172" t="s">
        <v>820</v>
      </c>
      <c r="L172">
        <v>1348</v>
      </c>
      <c r="N172">
        <v>1009</v>
      </c>
      <c r="O172" t="s">
        <v>110</v>
      </c>
      <c r="P172" t="s">
        <v>110</v>
      </c>
      <c r="Q172">
        <v>1000</v>
      </c>
      <c r="W172">
        <v>0</v>
      </c>
      <c r="X172">
        <v>-1068056325</v>
      </c>
      <c r="Y172">
        <v>1.3999999999999999E-4</v>
      </c>
      <c r="AA172">
        <v>69529.02</v>
      </c>
      <c r="AB172">
        <v>0</v>
      </c>
      <c r="AC172">
        <v>0</v>
      </c>
      <c r="AD172">
        <v>0</v>
      </c>
      <c r="AE172">
        <v>10362</v>
      </c>
      <c r="AF172">
        <v>0</v>
      </c>
      <c r="AG172">
        <v>0</v>
      </c>
      <c r="AH172">
        <v>0</v>
      </c>
      <c r="AI172">
        <v>6.71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1.3999999999999999E-4</v>
      </c>
      <c r="AU172" t="s">
        <v>3</v>
      </c>
      <c r="AV172">
        <v>0</v>
      </c>
      <c r="AW172">
        <v>2</v>
      </c>
      <c r="AX172">
        <v>39101913</v>
      </c>
      <c r="AY172">
        <v>1</v>
      </c>
      <c r="AZ172">
        <v>0</v>
      </c>
      <c r="BA172">
        <v>171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Y172*Source!I124</f>
        <v>6.4399999999999995E-3</v>
      </c>
      <c r="CY172">
        <f>AA172</f>
        <v>69529.02</v>
      </c>
      <c r="CZ172">
        <f>AE172</f>
        <v>10362</v>
      </c>
      <c r="DA172">
        <f>AI172</f>
        <v>6.71</v>
      </c>
      <c r="DB172">
        <v>0</v>
      </c>
    </row>
    <row r="173" spans="1:106" x14ac:dyDescent="0.2">
      <c r="A173">
        <f>ROW(Source!A124)</f>
        <v>124</v>
      </c>
      <c r="B173">
        <v>39096431</v>
      </c>
      <c r="C173">
        <v>39101899</v>
      </c>
      <c r="D173">
        <v>36804429</v>
      </c>
      <c r="E173">
        <v>1</v>
      </c>
      <c r="F173">
        <v>1</v>
      </c>
      <c r="G173">
        <v>1</v>
      </c>
      <c r="H173">
        <v>3</v>
      </c>
      <c r="I173" t="s">
        <v>821</v>
      </c>
      <c r="J173" t="s">
        <v>822</v>
      </c>
      <c r="K173" t="s">
        <v>823</v>
      </c>
      <c r="L173">
        <v>1348</v>
      </c>
      <c r="N173">
        <v>1009</v>
      </c>
      <c r="O173" t="s">
        <v>110</v>
      </c>
      <c r="P173" t="s">
        <v>110</v>
      </c>
      <c r="Q173">
        <v>1000</v>
      </c>
      <c r="W173">
        <v>0</v>
      </c>
      <c r="X173">
        <v>56621460</v>
      </c>
      <c r="Y173">
        <v>1.1000000000000001E-3</v>
      </c>
      <c r="AA173">
        <v>102817.33</v>
      </c>
      <c r="AB173">
        <v>0</v>
      </c>
      <c r="AC173">
        <v>0</v>
      </c>
      <c r="AD173">
        <v>0</v>
      </c>
      <c r="AE173">
        <v>15323</v>
      </c>
      <c r="AF173">
        <v>0</v>
      </c>
      <c r="AG173">
        <v>0</v>
      </c>
      <c r="AH173">
        <v>0</v>
      </c>
      <c r="AI173">
        <v>6.71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1.1000000000000001E-3</v>
      </c>
      <c r="AU173" t="s">
        <v>3</v>
      </c>
      <c r="AV173">
        <v>0</v>
      </c>
      <c r="AW173">
        <v>2</v>
      </c>
      <c r="AX173">
        <v>39101914</v>
      </c>
      <c r="AY173">
        <v>1</v>
      </c>
      <c r="AZ173">
        <v>0</v>
      </c>
      <c r="BA173">
        <v>172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Y173*Source!I124</f>
        <v>5.0600000000000006E-2</v>
      </c>
      <c r="CY173">
        <f>AA173</f>
        <v>102817.33</v>
      </c>
      <c r="CZ173">
        <f>AE173</f>
        <v>15323</v>
      </c>
      <c r="DA173">
        <f>AI173</f>
        <v>6.71</v>
      </c>
      <c r="DB173">
        <v>0</v>
      </c>
    </row>
    <row r="174" spans="1:106" x14ac:dyDescent="0.2">
      <c r="A174">
        <f>ROW(Source!A124)</f>
        <v>124</v>
      </c>
      <c r="B174">
        <v>39096431</v>
      </c>
      <c r="C174">
        <v>39101899</v>
      </c>
      <c r="D174">
        <v>36845049</v>
      </c>
      <c r="E174">
        <v>1</v>
      </c>
      <c r="F174">
        <v>1</v>
      </c>
      <c r="G174">
        <v>1</v>
      </c>
      <c r="H174">
        <v>3</v>
      </c>
      <c r="I174" t="s">
        <v>361</v>
      </c>
      <c r="J174" t="s">
        <v>363</v>
      </c>
      <c r="K174" t="s">
        <v>362</v>
      </c>
      <c r="L174">
        <v>1354</v>
      </c>
      <c r="N174">
        <v>1010</v>
      </c>
      <c r="O174" t="s">
        <v>46</v>
      </c>
      <c r="P174" t="s">
        <v>46</v>
      </c>
      <c r="Q174">
        <v>1</v>
      </c>
      <c r="W174">
        <v>0</v>
      </c>
      <c r="X174">
        <v>898688576</v>
      </c>
      <c r="Y174">
        <v>1</v>
      </c>
      <c r="AA174">
        <v>367.24</v>
      </c>
      <c r="AB174">
        <v>0</v>
      </c>
      <c r="AC174">
        <v>0</v>
      </c>
      <c r="AD174">
        <v>0</v>
      </c>
      <c r="AE174">
        <v>54.73</v>
      </c>
      <c r="AF174">
        <v>0</v>
      </c>
      <c r="AG174">
        <v>0</v>
      </c>
      <c r="AH174">
        <v>0</v>
      </c>
      <c r="AI174">
        <v>6.71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3</v>
      </c>
      <c r="AT174">
        <v>1</v>
      </c>
      <c r="AU174" t="s">
        <v>3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Y174*Source!I124</f>
        <v>46</v>
      </c>
      <c r="CY174">
        <f>AA174</f>
        <v>367.24</v>
      </c>
      <c r="CZ174">
        <f>AE174</f>
        <v>54.73</v>
      </c>
      <c r="DA174">
        <f>AI174</f>
        <v>6.71</v>
      </c>
      <c r="DB174">
        <v>0</v>
      </c>
    </row>
    <row r="175" spans="1:106" x14ac:dyDescent="0.2">
      <c r="A175">
        <f>ROW(Source!A126)</f>
        <v>126</v>
      </c>
      <c r="B175">
        <v>39096431</v>
      </c>
      <c r="C175">
        <v>39101918</v>
      </c>
      <c r="D175">
        <v>37064978</v>
      </c>
      <c r="E175">
        <v>1</v>
      </c>
      <c r="F175">
        <v>1</v>
      </c>
      <c r="G175">
        <v>1</v>
      </c>
      <c r="H175">
        <v>1</v>
      </c>
      <c r="I175" t="s">
        <v>824</v>
      </c>
      <c r="J175" t="s">
        <v>3</v>
      </c>
      <c r="K175" t="s">
        <v>825</v>
      </c>
      <c r="L175">
        <v>1191</v>
      </c>
      <c r="N175">
        <v>1013</v>
      </c>
      <c r="O175" t="s">
        <v>660</v>
      </c>
      <c r="P175" t="s">
        <v>660</v>
      </c>
      <c r="Q175">
        <v>1</v>
      </c>
      <c r="W175">
        <v>0</v>
      </c>
      <c r="X175">
        <v>-719309759</v>
      </c>
      <c r="Y175">
        <v>71.06</v>
      </c>
      <c r="AA175">
        <v>0</v>
      </c>
      <c r="AB175">
        <v>0</v>
      </c>
      <c r="AC175">
        <v>0</v>
      </c>
      <c r="AD175">
        <v>59.45</v>
      </c>
      <c r="AE175">
        <v>0</v>
      </c>
      <c r="AF175">
        <v>0</v>
      </c>
      <c r="AG175">
        <v>0</v>
      </c>
      <c r="AH175">
        <v>8.86</v>
      </c>
      <c r="AI175">
        <v>1</v>
      </c>
      <c r="AJ175">
        <v>1</v>
      </c>
      <c r="AK175">
        <v>1</v>
      </c>
      <c r="AL175">
        <v>6.71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71.06</v>
      </c>
      <c r="AU175" t="s">
        <v>3</v>
      </c>
      <c r="AV175">
        <v>1</v>
      </c>
      <c r="AW175">
        <v>2</v>
      </c>
      <c r="AX175">
        <v>39101927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Y175*Source!I126</f>
        <v>5.3934540000000002</v>
      </c>
      <c r="CY175">
        <f>AD175</f>
        <v>59.45</v>
      </c>
      <c r="CZ175">
        <f>AH175</f>
        <v>8.86</v>
      </c>
      <c r="DA175">
        <f>AL175</f>
        <v>6.71</v>
      </c>
      <c r="DB175">
        <v>0</v>
      </c>
    </row>
    <row r="176" spans="1:106" x14ac:dyDescent="0.2">
      <c r="A176">
        <f>ROW(Source!A126)</f>
        <v>126</v>
      </c>
      <c r="B176">
        <v>39096431</v>
      </c>
      <c r="C176">
        <v>39101918</v>
      </c>
      <c r="D176">
        <v>37064876</v>
      </c>
      <c r="E176">
        <v>1</v>
      </c>
      <c r="F176">
        <v>1</v>
      </c>
      <c r="G176">
        <v>1</v>
      </c>
      <c r="H176">
        <v>1</v>
      </c>
      <c r="I176" t="s">
        <v>661</v>
      </c>
      <c r="J176" t="s">
        <v>3</v>
      </c>
      <c r="K176" t="s">
        <v>662</v>
      </c>
      <c r="L176">
        <v>1191</v>
      </c>
      <c r="N176">
        <v>1013</v>
      </c>
      <c r="O176" t="s">
        <v>660</v>
      </c>
      <c r="P176" t="s">
        <v>660</v>
      </c>
      <c r="Q176">
        <v>1</v>
      </c>
      <c r="W176">
        <v>0</v>
      </c>
      <c r="X176">
        <v>-1417349443</v>
      </c>
      <c r="Y176">
        <v>0.04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6.71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0.04</v>
      </c>
      <c r="AU176" t="s">
        <v>3</v>
      </c>
      <c r="AV176">
        <v>2</v>
      </c>
      <c r="AW176">
        <v>2</v>
      </c>
      <c r="AX176">
        <v>39101928</v>
      </c>
      <c r="AY176">
        <v>1</v>
      </c>
      <c r="AZ176">
        <v>0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Y176*Source!I126</f>
        <v>3.0360000000000001E-3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ROW(Source!A126)</f>
        <v>126</v>
      </c>
      <c r="B177">
        <v>39096431</v>
      </c>
      <c r="C177">
        <v>39101918</v>
      </c>
      <c r="D177">
        <v>36882452</v>
      </c>
      <c r="E177">
        <v>1</v>
      </c>
      <c r="F177">
        <v>1</v>
      </c>
      <c r="G177">
        <v>1</v>
      </c>
      <c r="H177">
        <v>2</v>
      </c>
      <c r="I177" t="s">
        <v>663</v>
      </c>
      <c r="J177" t="s">
        <v>664</v>
      </c>
      <c r="K177" t="s">
        <v>665</v>
      </c>
      <c r="L177">
        <v>1368</v>
      </c>
      <c r="N177">
        <v>1011</v>
      </c>
      <c r="O177" t="s">
        <v>666</v>
      </c>
      <c r="P177" t="s">
        <v>666</v>
      </c>
      <c r="Q177">
        <v>1</v>
      </c>
      <c r="W177">
        <v>0</v>
      </c>
      <c r="X177">
        <v>1188625873</v>
      </c>
      <c r="Y177">
        <v>0.01</v>
      </c>
      <c r="AA177">
        <v>0</v>
      </c>
      <c r="AB177">
        <v>209.75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6.71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0.01</v>
      </c>
      <c r="AU177" t="s">
        <v>3</v>
      </c>
      <c r="AV177">
        <v>0</v>
      </c>
      <c r="AW177">
        <v>2</v>
      </c>
      <c r="AX177">
        <v>39101929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Y177*Source!I126</f>
        <v>7.5900000000000002E-4</v>
      </c>
      <c r="CY177">
        <f>AB177</f>
        <v>209.75</v>
      </c>
      <c r="CZ177">
        <f>AF177</f>
        <v>31.26</v>
      </c>
      <c r="DA177">
        <f>AJ177</f>
        <v>6.71</v>
      </c>
      <c r="DB177">
        <v>0</v>
      </c>
    </row>
    <row r="178" spans="1:106" x14ac:dyDescent="0.2">
      <c r="A178">
        <f>ROW(Source!A126)</f>
        <v>126</v>
      </c>
      <c r="B178">
        <v>39096431</v>
      </c>
      <c r="C178">
        <v>39101918</v>
      </c>
      <c r="D178">
        <v>36883554</v>
      </c>
      <c r="E178">
        <v>1</v>
      </c>
      <c r="F178">
        <v>1</v>
      </c>
      <c r="G178">
        <v>1</v>
      </c>
      <c r="H178">
        <v>2</v>
      </c>
      <c r="I178" t="s">
        <v>679</v>
      </c>
      <c r="J178" t="s">
        <v>680</v>
      </c>
      <c r="K178" t="s">
        <v>681</v>
      </c>
      <c r="L178">
        <v>1368</v>
      </c>
      <c r="N178">
        <v>1011</v>
      </c>
      <c r="O178" t="s">
        <v>666</v>
      </c>
      <c r="P178" t="s">
        <v>666</v>
      </c>
      <c r="Q178">
        <v>1</v>
      </c>
      <c r="W178">
        <v>0</v>
      </c>
      <c r="X178">
        <v>1372534845</v>
      </c>
      <c r="Y178">
        <v>0.03</v>
      </c>
      <c r="AA178">
        <v>0</v>
      </c>
      <c r="AB178">
        <v>440.91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6.71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0.03</v>
      </c>
      <c r="AU178" t="s">
        <v>3</v>
      </c>
      <c r="AV178">
        <v>0</v>
      </c>
      <c r="AW178">
        <v>2</v>
      </c>
      <c r="AX178">
        <v>39101930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Y178*Source!I126</f>
        <v>2.2769999999999999E-3</v>
      </c>
      <c r="CY178">
        <f>AB178</f>
        <v>440.91</v>
      </c>
      <c r="CZ178">
        <f>AF178</f>
        <v>65.709999999999994</v>
      </c>
      <c r="DA178">
        <f>AJ178</f>
        <v>6.71</v>
      </c>
      <c r="DB178">
        <v>0</v>
      </c>
    </row>
    <row r="179" spans="1:106" x14ac:dyDescent="0.2">
      <c r="A179">
        <f>ROW(Source!A126)</f>
        <v>126</v>
      </c>
      <c r="B179">
        <v>39096431</v>
      </c>
      <c r="C179">
        <v>39101918</v>
      </c>
      <c r="D179">
        <v>36805524</v>
      </c>
      <c r="E179">
        <v>1</v>
      </c>
      <c r="F179">
        <v>1</v>
      </c>
      <c r="G179">
        <v>1</v>
      </c>
      <c r="H179">
        <v>3</v>
      </c>
      <c r="I179" t="s">
        <v>688</v>
      </c>
      <c r="J179" t="s">
        <v>689</v>
      </c>
      <c r="K179" t="s">
        <v>690</v>
      </c>
      <c r="L179">
        <v>1346</v>
      </c>
      <c r="N179">
        <v>1009</v>
      </c>
      <c r="O179" t="s">
        <v>138</v>
      </c>
      <c r="P179" t="s">
        <v>138</v>
      </c>
      <c r="Q179">
        <v>1</v>
      </c>
      <c r="W179">
        <v>0</v>
      </c>
      <c r="X179">
        <v>813963326</v>
      </c>
      <c r="Y179">
        <v>0.3</v>
      </c>
      <c r="AA179">
        <v>12.21</v>
      </c>
      <c r="AB179">
        <v>0</v>
      </c>
      <c r="AC179">
        <v>0</v>
      </c>
      <c r="AD179">
        <v>0</v>
      </c>
      <c r="AE179">
        <v>1.82</v>
      </c>
      <c r="AF179">
        <v>0</v>
      </c>
      <c r="AG179">
        <v>0</v>
      </c>
      <c r="AH179">
        <v>0</v>
      </c>
      <c r="AI179">
        <v>6.71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0.3</v>
      </c>
      <c r="AU179" t="s">
        <v>3</v>
      </c>
      <c r="AV179">
        <v>0</v>
      </c>
      <c r="AW179">
        <v>2</v>
      </c>
      <c r="AX179">
        <v>39101931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Y179*Source!I126</f>
        <v>2.2769999999999999E-2</v>
      </c>
      <c r="CY179">
        <f>AA179</f>
        <v>12.21</v>
      </c>
      <c r="CZ179">
        <f>AE179</f>
        <v>1.82</v>
      </c>
      <c r="DA179">
        <f>AI179</f>
        <v>6.71</v>
      </c>
      <c r="DB179">
        <v>0</v>
      </c>
    </row>
    <row r="180" spans="1:106" x14ac:dyDescent="0.2">
      <c r="A180">
        <f>ROW(Source!A126)</f>
        <v>126</v>
      </c>
      <c r="B180">
        <v>39096431</v>
      </c>
      <c r="C180">
        <v>39101918</v>
      </c>
      <c r="D180">
        <v>36797575</v>
      </c>
      <c r="E180">
        <v>17</v>
      </c>
      <c r="F180">
        <v>1</v>
      </c>
      <c r="G180">
        <v>1</v>
      </c>
      <c r="H180">
        <v>3</v>
      </c>
      <c r="I180" t="s">
        <v>369</v>
      </c>
      <c r="J180" t="s">
        <v>3</v>
      </c>
      <c r="K180" t="s">
        <v>370</v>
      </c>
      <c r="L180">
        <v>1348</v>
      </c>
      <c r="N180">
        <v>1009</v>
      </c>
      <c r="O180" t="s">
        <v>110</v>
      </c>
      <c r="P180" t="s">
        <v>110</v>
      </c>
      <c r="Q180">
        <v>1000</v>
      </c>
      <c r="W180">
        <v>0</v>
      </c>
      <c r="X180">
        <v>84301199</v>
      </c>
      <c r="Y180">
        <v>2.46E-2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6.71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3</v>
      </c>
      <c r="AT180">
        <v>2.46E-2</v>
      </c>
      <c r="AU180" t="s">
        <v>3</v>
      </c>
      <c r="AV180">
        <v>0</v>
      </c>
      <c r="AW180">
        <v>2</v>
      </c>
      <c r="AX180">
        <v>39101932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Y180*Source!I126</f>
        <v>1.86714E-3</v>
      </c>
      <c r="CY180">
        <f>AA180</f>
        <v>0</v>
      </c>
      <c r="CZ180">
        <f>AE180</f>
        <v>0</v>
      </c>
      <c r="DA180">
        <f>AI180</f>
        <v>6.71</v>
      </c>
      <c r="DB180">
        <v>0</v>
      </c>
    </row>
    <row r="181" spans="1:106" x14ac:dyDescent="0.2">
      <c r="A181">
        <f>ROW(Source!A126)</f>
        <v>126</v>
      </c>
      <c r="B181">
        <v>39096431</v>
      </c>
      <c r="C181">
        <v>39101918</v>
      </c>
      <c r="D181">
        <v>36838208</v>
      </c>
      <c r="E181">
        <v>1</v>
      </c>
      <c r="F181">
        <v>1</v>
      </c>
      <c r="G181">
        <v>1</v>
      </c>
      <c r="H181">
        <v>3</v>
      </c>
      <c r="I181" t="s">
        <v>372</v>
      </c>
      <c r="J181" t="s">
        <v>374</v>
      </c>
      <c r="K181" t="s">
        <v>373</v>
      </c>
      <c r="L181">
        <v>1348</v>
      </c>
      <c r="N181">
        <v>1009</v>
      </c>
      <c r="O181" t="s">
        <v>110</v>
      </c>
      <c r="P181" t="s">
        <v>110</v>
      </c>
      <c r="Q181">
        <v>1000</v>
      </c>
      <c r="W181">
        <v>0</v>
      </c>
      <c r="X181">
        <v>-777870615</v>
      </c>
      <c r="Y181">
        <v>2.4598999999999999E-2</v>
      </c>
      <c r="AA181">
        <v>285229.95</v>
      </c>
      <c r="AB181">
        <v>0</v>
      </c>
      <c r="AC181">
        <v>0</v>
      </c>
      <c r="AD181">
        <v>0</v>
      </c>
      <c r="AE181">
        <v>42508.19</v>
      </c>
      <c r="AF181">
        <v>0</v>
      </c>
      <c r="AG181">
        <v>0</v>
      </c>
      <c r="AH181">
        <v>0</v>
      </c>
      <c r="AI181">
        <v>6.71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2.4598999999999999E-2</v>
      </c>
      <c r="AU181" t="s">
        <v>3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Y181*Source!I126</f>
        <v>1.8670640999999999E-3</v>
      </c>
      <c r="CY181">
        <f>AA181</f>
        <v>285229.95</v>
      </c>
      <c r="CZ181">
        <f>AE181</f>
        <v>42508.19</v>
      </c>
      <c r="DA181">
        <f>AI181</f>
        <v>6.71</v>
      </c>
      <c r="DB181">
        <v>0</v>
      </c>
    </row>
    <row r="182" spans="1:106" x14ac:dyDescent="0.2">
      <c r="A182">
        <f>ROW(Source!A126)</f>
        <v>126</v>
      </c>
      <c r="B182">
        <v>39096431</v>
      </c>
      <c r="C182">
        <v>39101918</v>
      </c>
      <c r="D182">
        <v>36838954</v>
      </c>
      <c r="E182">
        <v>1</v>
      </c>
      <c r="F182">
        <v>1</v>
      </c>
      <c r="G182">
        <v>1</v>
      </c>
      <c r="H182">
        <v>3</v>
      </c>
      <c r="I182" t="s">
        <v>826</v>
      </c>
      <c r="J182" t="s">
        <v>827</v>
      </c>
      <c r="K182" t="s">
        <v>828</v>
      </c>
      <c r="L182">
        <v>1346</v>
      </c>
      <c r="N182">
        <v>1009</v>
      </c>
      <c r="O182" t="s">
        <v>138</v>
      </c>
      <c r="P182" t="s">
        <v>138</v>
      </c>
      <c r="Q182">
        <v>1</v>
      </c>
      <c r="W182">
        <v>0</v>
      </c>
      <c r="X182">
        <v>-608190322</v>
      </c>
      <c r="Y182">
        <v>2.7</v>
      </c>
      <c r="AA182">
        <v>218.75</v>
      </c>
      <c r="AB182">
        <v>0</v>
      </c>
      <c r="AC182">
        <v>0</v>
      </c>
      <c r="AD182">
        <v>0</v>
      </c>
      <c r="AE182">
        <v>32.6</v>
      </c>
      <c r="AF182">
        <v>0</v>
      </c>
      <c r="AG182">
        <v>0</v>
      </c>
      <c r="AH182">
        <v>0</v>
      </c>
      <c r="AI182">
        <v>6.71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2.7</v>
      </c>
      <c r="AU182" t="s">
        <v>3</v>
      </c>
      <c r="AV182">
        <v>0</v>
      </c>
      <c r="AW182">
        <v>2</v>
      </c>
      <c r="AX182">
        <v>39101933</v>
      </c>
      <c r="AY182">
        <v>1</v>
      </c>
      <c r="AZ182">
        <v>0</v>
      </c>
      <c r="BA182">
        <v>181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Y182*Source!I126</f>
        <v>0.20493</v>
      </c>
      <c r="CY182">
        <f>AA182</f>
        <v>218.75</v>
      </c>
      <c r="CZ182">
        <f>AE182</f>
        <v>32.6</v>
      </c>
      <c r="DA182">
        <f>AI182</f>
        <v>6.71</v>
      </c>
      <c r="DB182">
        <v>0</v>
      </c>
    </row>
    <row r="183" spans="1:106" x14ac:dyDescent="0.2">
      <c r="A183">
        <f>ROW(Source!A129)</f>
        <v>129</v>
      </c>
      <c r="B183">
        <v>39096431</v>
      </c>
      <c r="C183">
        <v>39101936</v>
      </c>
      <c r="D183">
        <v>37065248</v>
      </c>
      <c r="E183">
        <v>1</v>
      </c>
      <c r="F183">
        <v>1</v>
      </c>
      <c r="G183">
        <v>1</v>
      </c>
      <c r="H183">
        <v>1</v>
      </c>
      <c r="I183" t="s">
        <v>669</v>
      </c>
      <c r="J183" t="s">
        <v>3</v>
      </c>
      <c r="K183" t="s">
        <v>670</v>
      </c>
      <c r="L183">
        <v>1191</v>
      </c>
      <c r="N183">
        <v>1013</v>
      </c>
      <c r="O183" t="s">
        <v>660</v>
      </c>
      <c r="P183" t="s">
        <v>660</v>
      </c>
      <c r="Q183">
        <v>1</v>
      </c>
      <c r="W183">
        <v>0</v>
      </c>
      <c r="X183">
        <v>-400197608</v>
      </c>
      <c r="Y183">
        <v>15.73</v>
      </c>
      <c r="AA183">
        <v>0</v>
      </c>
      <c r="AB183">
        <v>0</v>
      </c>
      <c r="AC183">
        <v>0</v>
      </c>
      <c r="AD183">
        <v>57.24</v>
      </c>
      <c r="AE183">
        <v>0</v>
      </c>
      <c r="AF183">
        <v>0</v>
      </c>
      <c r="AG183">
        <v>0</v>
      </c>
      <c r="AH183">
        <v>8.5299999999999994</v>
      </c>
      <c r="AI183">
        <v>1</v>
      </c>
      <c r="AJ183">
        <v>1</v>
      </c>
      <c r="AK183">
        <v>1</v>
      </c>
      <c r="AL183">
        <v>6.71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15.73</v>
      </c>
      <c r="AU183" t="s">
        <v>3</v>
      </c>
      <c r="AV183">
        <v>1</v>
      </c>
      <c r="AW183">
        <v>2</v>
      </c>
      <c r="AX183">
        <v>39101938</v>
      </c>
      <c r="AY183">
        <v>1</v>
      </c>
      <c r="AZ183">
        <v>0</v>
      </c>
      <c r="BA183">
        <v>182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Y183*Source!I129</f>
        <v>3.6179000000000001</v>
      </c>
      <c r="CY183">
        <f>AD183</f>
        <v>57.24</v>
      </c>
      <c r="CZ183">
        <f>AH183</f>
        <v>8.5299999999999994</v>
      </c>
      <c r="DA183">
        <f>AL183</f>
        <v>6.71</v>
      </c>
      <c r="DB183">
        <v>0</v>
      </c>
    </row>
    <row r="184" spans="1:106" x14ac:dyDescent="0.2">
      <c r="A184">
        <f>ROW(Source!A165)</f>
        <v>165</v>
      </c>
      <c r="B184">
        <v>39096431</v>
      </c>
      <c r="C184">
        <v>39488882</v>
      </c>
      <c r="D184">
        <v>37070202</v>
      </c>
      <c r="E184">
        <v>1</v>
      </c>
      <c r="F184">
        <v>1</v>
      </c>
      <c r="G184">
        <v>1</v>
      </c>
      <c r="H184">
        <v>1</v>
      </c>
      <c r="I184" t="s">
        <v>677</v>
      </c>
      <c r="J184" t="s">
        <v>3</v>
      </c>
      <c r="K184" t="s">
        <v>678</v>
      </c>
      <c r="L184">
        <v>1191</v>
      </c>
      <c r="N184">
        <v>1013</v>
      </c>
      <c r="O184" t="s">
        <v>660</v>
      </c>
      <c r="P184" t="s">
        <v>660</v>
      </c>
      <c r="Q184">
        <v>1</v>
      </c>
      <c r="W184">
        <v>0</v>
      </c>
      <c r="X184">
        <v>1983201532</v>
      </c>
      <c r="Y184">
        <v>4.8869999999999996</v>
      </c>
      <c r="AA184">
        <v>0</v>
      </c>
      <c r="AB184">
        <v>0</v>
      </c>
      <c r="AC184">
        <v>0</v>
      </c>
      <c r="AD184">
        <v>63.81</v>
      </c>
      <c r="AE184">
        <v>0</v>
      </c>
      <c r="AF184">
        <v>0</v>
      </c>
      <c r="AG184">
        <v>0</v>
      </c>
      <c r="AH184">
        <v>9.51</v>
      </c>
      <c r="AI184">
        <v>1</v>
      </c>
      <c r="AJ184">
        <v>1</v>
      </c>
      <c r="AK184">
        <v>1</v>
      </c>
      <c r="AL184">
        <v>6.71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16.29</v>
      </c>
      <c r="AU184" t="s">
        <v>390</v>
      </c>
      <c r="AV184">
        <v>1</v>
      </c>
      <c r="AW184">
        <v>2</v>
      </c>
      <c r="AX184">
        <v>39488883</v>
      </c>
      <c r="AY184">
        <v>1</v>
      </c>
      <c r="AZ184">
        <v>0</v>
      </c>
      <c r="BA184">
        <v>183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Y184*Source!I165</f>
        <v>0.78191999999999995</v>
      </c>
      <c r="CY184">
        <f>AD184</f>
        <v>63.81</v>
      </c>
      <c r="CZ184">
        <f>AH184</f>
        <v>9.51</v>
      </c>
      <c r="DA184">
        <f>AL184</f>
        <v>6.71</v>
      </c>
      <c r="DB184">
        <v>0</v>
      </c>
    </row>
    <row r="185" spans="1:106" x14ac:dyDescent="0.2">
      <c r="A185">
        <f>ROW(Source!A165)</f>
        <v>165</v>
      </c>
      <c r="B185">
        <v>39096431</v>
      </c>
      <c r="C185">
        <v>39488882</v>
      </c>
      <c r="D185">
        <v>37064876</v>
      </c>
      <c r="E185">
        <v>1</v>
      </c>
      <c r="F185">
        <v>1</v>
      </c>
      <c r="G185">
        <v>1</v>
      </c>
      <c r="H185">
        <v>1</v>
      </c>
      <c r="I185" t="s">
        <v>661</v>
      </c>
      <c r="J185" t="s">
        <v>3</v>
      </c>
      <c r="K185" t="s">
        <v>662</v>
      </c>
      <c r="L185">
        <v>1191</v>
      </c>
      <c r="N185">
        <v>1013</v>
      </c>
      <c r="O185" t="s">
        <v>660</v>
      </c>
      <c r="P185" t="s">
        <v>660</v>
      </c>
      <c r="Q185">
        <v>1</v>
      </c>
      <c r="W185">
        <v>0</v>
      </c>
      <c r="X185">
        <v>-1417349443</v>
      </c>
      <c r="Y185">
        <v>0.01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6.71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0.01</v>
      </c>
      <c r="AU185" t="s">
        <v>3</v>
      </c>
      <c r="AV185">
        <v>2</v>
      </c>
      <c r="AW185">
        <v>2</v>
      </c>
      <c r="AX185">
        <v>39488884</v>
      </c>
      <c r="AY185">
        <v>1</v>
      </c>
      <c r="AZ185">
        <v>2048</v>
      </c>
      <c r="BA185">
        <v>184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Y185*Source!I165</f>
        <v>1.6000000000000001E-3</v>
      </c>
      <c r="CY185">
        <f>AD185</f>
        <v>0</v>
      </c>
      <c r="CZ185">
        <f>AH185</f>
        <v>0</v>
      </c>
      <c r="DA185">
        <f>AL185</f>
        <v>1</v>
      </c>
      <c r="DB185">
        <v>0</v>
      </c>
    </row>
    <row r="186" spans="1:106" x14ac:dyDescent="0.2">
      <c r="A186">
        <f>ROW(Source!A165)</f>
        <v>165</v>
      </c>
      <c r="B186">
        <v>39096431</v>
      </c>
      <c r="C186">
        <v>39488882</v>
      </c>
      <c r="D186">
        <v>36882452</v>
      </c>
      <c r="E186">
        <v>1</v>
      </c>
      <c r="F186">
        <v>1</v>
      </c>
      <c r="G186">
        <v>1</v>
      </c>
      <c r="H186">
        <v>2</v>
      </c>
      <c r="I186" t="s">
        <v>663</v>
      </c>
      <c r="J186" t="s">
        <v>664</v>
      </c>
      <c r="K186" t="s">
        <v>665</v>
      </c>
      <c r="L186">
        <v>1368</v>
      </c>
      <c r="N186">
        <v>1011</v>
      </c>
      <c r="O186" t="s">
        <v>666</v>
      </c>
      <c r="P186" t="s">
        <v>666</v>
      </c>
      <c r="Q186">
        <v>1</v>
      </c>
      <c r="W186">
        <v>0</v>
      </c>
      <c r="X186">
        <v>1188625873</v>
      </c>
      <c r="Y186">
        <v>3.0000000000000001E-3</v>
      </c>
      <c r="AA186">
        <v>0</v>
      </c>
      <c r="AB186">
        <v>209.75</v>
      </c>
      <c r="AC186">
        <v>13.5</v>
      </c>
      <c r="AD186">
        <v>0</v>
      </c>
      <c r="AE186">
        <v>0</v>
      </c>
      <c r="AF186">
        <v>31.26</v>
      </c>
      <c r="AG186">
        <v>13.5</v>
      </c>
      <c r="AH186">
        <v>0</v>
      </c>
      <c r="AI186">
        <v>1</v>
      </c>
      <c r="AJ186">
        <v>6.71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0.01</v>
      </c>
      <c r="AU186" t="s">
        <v>390</v>
      </c>
      <c r="AV186">
        <v>0</v>
      </c>
      <c r="AW186">
        <v>2</v>
      </c>
      <c r="AX186">
        <v>39488885</v>
      </c>
      <c r="AY186">
        <v>1</v>
      </c>
      <c r="AZ186">
        <v>0</v>
      </c>
      <c r="BA186">
        <v>185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Y186*Source!I165</f>
        <v>4.8000000000000001E-4</v>
      </c>
      <c r="CY186">
        <f>AB186</f>
        <v>209.75</v>
      </c>
      <c r="CZ186">
        <f>AF186</f>
        <v>31.26</v>
      </c>
      <c r="DA186">
        <f>AJ186</f>
        <v>6.71</v>
      </c>
      <c r="DB186">
        <v>0</v>
      </c>
    </row>
    <row r="187" spans="1:106" x14ac:dyDescent="0.2">
      <c r="A187">
        <f>ROW(Source!A165)</f>
        <v>165</v>
      </c>
      <c r="B187">
        <v>39096431</v>
      </c>
      <c r="C187">
        <v>39488882</v>
      </c>
      <c r="D187">
        <v>36804582</v>
      </c>
      <c r="E187">
        <v>1</v>
      </c>
      <c r="F187">
        <v>1</v>
      </c>
      <c r="G187">
        <v>1</v>
      </c>
      <c r="H187">
        <v>3</v>
      </c>
      <c r="I187" t="s">
        <v>829</v>
      </c>
      <c r="J187" t="s">
        <v>830</v>
      </c>
      <c r="K187" t="s">
        <v>831</v>
      </c>
      <c r="L187">
        <v>1356</v>
      </c>
      <c r="N187">
        <v>1010</v>
      </c>
      <c r="O187" t="s">
        <v>741</v>
      </c>
      <c r="P187" t="s">
        <v>741</v>
      </c>
      <c r="Q187">
        <v>1000</v>
      </c>
      <c r="W187">
        <v>0</v>
      </c>
      <c r="X187">
        <v>1975348994</v>
      </c>
      <c r="Y187">
        <v>0</v>
      </c>
      <c r="AA187">
        <v>1207.8</v>
      </c>
      <c r="AB187">
        <v>0</v>
      </c>
      <c r="AC187">
        <v>0</v>
      </c>
      <c r="AD187">
        <v>0</v>
      </c>
      <c r="AE187">
        <v>180</v>
      </c>
      <c r="AF187">
        <v>0</v>
      </c>
      <c r="AG187">
        <v>0</v>
      </c>
      <c r="AH187">
        <v>0</v>
      </c>
      <c r="AI187">
        <v>6.71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0.2</v>
      </c>
      <c r="AU187" t="s">
        <v>57</v>
      </c>
      <c r="AV187">
        <v>0</v>
      </c>
      <c r="AW187">
        <v>2</v>
      </c>
      <c r="AX187">
        <v>39488886</v>
      </c>
      <c r="AY187">
        <v>1</v>
      </c>
      <c r="AZ187">
        <v>0</v>
      </c>
      <c r="BA187">
        <v>186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Y187*Source!I165</f>
        <v>0</v>
      </c>
      <c r="CY187">
        <f>AA187</f>
        <v>1207.8</v>
      </c>
      <c r="CZ187">
        <f>AE187</f>
        <v>180</v>
      </c>
      <c r="DA187">
        <f>AI187</f>
        <v>6.71</v>
      </c>
      <c r="DB187">
        <v>0</v>
      </c>
    </row>
    <row r="188" spans="1:106" x14ac:dyDescent="0.2">
      <c r="A188">
        <f>ROW(Source!A165)</f>
        <v>165</v>
      </c>
      <c r="B188">
        <v>39096431</v>
      </c>
      <c r="C188">
        <v>39488882</v>
      </c>
      <c r="D188">
        <v>36804944</v>
      </c>
      <c r="E188">
        <v>1</v>
      </c>
      <c r="F188">
        <v>1</v>
      </c>
      <c r="G188">
        <v>1</v>
      </c>
      <c r="H188">
        <v>3</v>
      </c>
      <c r="I188" t="s">
        <v>832</v>
      </c>
      <c r="J188" t="s">
        <v>833</v>
      </c>
      <c r="K188" t="s">
        <v>834</v>
      </c>
      <c r="L188">
        <v>1348</v>
      </c>
      <c r="N188">
        <v>1009</v>
      </c>
      <c r="O188" t="s">
        <v>110</v>
      </c>
      <c r="P188" t="s">
        <v>110</v>
      </c>
      <c r="Q188">
        <v>1000</v>
      </c>
      <c r="W188">
        <v>0</v>
      </c>
      <c r="X188">
        <v>-1755229539</v>
      </c>
      <c r="Y188">
        <v>0</v>
      </c>
      <c r="AA188">
        <v>83405.3</v>
      </c>
      <c r="AB188">
        <v>0</v>
      </c>
      <c r="AC188">
        <v>0</v>
      </c>
      <c r="AD188">
        <v>0</v>
      </c>
      <c r="AE188">
        <v>12430</v>
      </c>
      <c r="AF188">
        <v>0</v>
      </c>
      <c r="AG188">
        <v>0</v>
      </c>
      <c r="AH188">
        <v>0</v>
      </c>
      <c r="AI188">
        <v>6.71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1E-3</v>
      </c>
      <c r="AU188" t="s">
        <v>57</v>
      </c>
      <c r="AV188">
        <v>0</v>
      </c>
      <c r="AW188">
        <v>2</v>
      </c>
      <c r="AX188">
        <v>39488887</v>
      </c>
      <c r="AY188">
        <v>1</v>
      </c>
      <c r="AZ188">
        <v>0</v>
      </c>
      <c r="BA188">
        <v>187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Y188*Source!I165</f>
        <v>0</v>
      </c>
      <c r="CY188">
        <f>AA188</f>
        <v>83405.3</v>
      </c>
      <c r="CZ188">
        <f>AE188</f>
        <v>12430</v>
      </c>
      <c r="DA188">
        <f>AI188</f>
        <v>6.71</v>
      </c>
      <c r="DB188">
        <v>0</v>
      </c>
    </row>
    <row r="189" spans="1:106" x14ac:dyDescent="0.2">
      <c r="A189">
        <f>ROW(Source!A165)</f>
        <v>165</v>
      </c>
      <c r="B189">
        <v>39096431</v>
      </c>
      <c r="C189">
        <v>39488882</v>
      </c>
      <c r="D189">
        <v>36799065</v>
      </c>
      <c r="E189">
        <v>17</v>
      </c>
      <c r="F189">
        <v>1</v>
      </c>
      <c r="G189">
        <v>1</v>
      </c>
      <c r="H189">
        <v>3</v>
      </c>
      <c r="I189" t="s">
        <v>835</v>
      </c>
      <c r="J189" t="s">
        <v>3</v>
      </c>
      <c r="K189" t="s">
        <v>836</v>
      </c>
      <c r="L189">
        <v>1374</v>
      </c>
      <c r="N189">
        <v>1013</v>
      </c>
      <c r="O189" t="s">
        <v>837</v>
      </c>
      <c r="P189" t="s">
        <v>837</v>
      </c>
      <c r="Q189">
        <v>1</v>
      </c>
      <c r="W189">
        <v>0</v>
      </c>
      <c r="X189">
        <v>-1731369543</v>
      </c>
      <c r="Y189">
        <v>0</v>
      </c>
      <c r="AA189">
        <v>1</v>
      </c>
      <c r="AB189">
        <v>0</v>
      </c>
      <c r="AC189">
        <v>0</v>
      </c>
      <c r="AD189">
        <v>0</v>
      </c>
      <c r="AE189">
        <v>1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3.1</v>
      </c>
      <c r="AU189" t="s">
        <v>57</v>
      </c>
      <c r="AV189">
        <v>0</v>
      </c>
      <c r="AW189">
        <v>2</v>
      </c>
      <c r="AX189">
        <v>39488888</v>
      </c>
      <c r="AY189">
        <v>1</v>
      </c>
      <c r="AZ189">
        <v>0</v>
      </c>
      <c r="BA189">
        <v>188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Y189*Source!I165</f>
        <v>0</v>
      </c>
      <c r="CY189">
        <f>AA189</f>
        <v>1</v>
      </c>
      <c r="CZ189">
        <f>AE189</f>
        <v>1</v>
      </c>
      <c r="DA189">
        <f>AI189</f>
        <v>1</v>
      </c>
      <c r="DB189">
        <v>0</v>
      </c>
    </row>
    <row r="190" spans="1:106" x14ac:dyDescent="0.2">
      <c r="A190">
        <f>ROW(Source!A166)</f>
        <v>166</v>
      </c>
      <c r="B190">
        <v>39096431</v>
      </c>
      <c r="C190">
        <v>39488871</v>
      </c>
      <c r="D190">
        <v>37080781</v>
      </c>
      <c r="E190">
        <v>1</v>
      </c>
      <c r="F190">
        <v>1</v>
      </c>
      <c r="G190">
        <v>1</v>
      </c>
      <c r="H190">
        <v>1</v>
      </c>
      <c r="I190" t="s">
        <v>702</v>
      </c>
      <c r="J190" t="s">
        <v>3</v>
      </c>
      <c r="K190" t="s">
        <v>703</v>
      </c>
      <c r="L190">
        <v>1191</v>
      </c>
      <c r="N190">
        <v>1013</v>
      </c>
      <c r="O190" t="s">
        <v>660</v>
      </c>
      <c r="P190" t="s">
        <v>660</v>
      </c>
      <c r="Q190">
        <v>1</v>
      </c>
      <c r="W190">
        <v>0</v>
      </c>
      <c r="X190">
        <v>912892513</v>
      </c>
      <c r="Y190">
        <v>103.6</v>
      </c>
      <c r="AA190">
        <v>0</v>
      </c>
      <c r="AB190">
        <v>0</v>
      </c>
      <c r="AC190">
        <v>0</v>
      </c>
      <c r="AD190">
        <v>66.56</v>
      </c>
      <c r="AE190">
        <v>0</v>
      </c>
      <c r="AF190">
        <v>0</v>
      </c>
      <c r="AG190">
        <v>0</v>
      </c>
      <c r="AH190">
        <v>9.92</v>
      </c>
      <c r="AI190">
        <v>1</v>
      </c>
      <c r="AJ190">
        <v>1</v>
      </c>
      <c r="AK190">
        <v>1</v>
      </c>
      <c r="AL190">
        <v>6.71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148</v>
      </c>
      <c r="AU190" t="s">
        <v>399</v>
      </c>
      <c r="AV190">
        <v>1</v>
      </c>
      <c r="AW190">
        <v>2</v>
      </c>
      <c r="AX190">
        <v>39488872</v>
      </c>
      <c r="AY190">
        <v>1</v>
      </c>
      <c r="AZ190">
        <v>0</v>
      </c>
      <c r="BA190">
        <v>189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Y190*Source!I166</f>
        <v>124.32</v>
      </c>
      <c r="CY190">
        <f>AD190</f>
        <v>66.56</v>
      </c>
      <c r="CZ190">
        <f>AH190</f>
        <v>9.92</v>
      </c>
      <c r="DA190">
        <f>AL190</f>
        <v>6.71</v>
      </c>
      <c r="DB190">
        <v>0</v>
      </c>
    </row>
    <row r="191" spans="1:106" x14ac:dyDescent="0.2">
      <c r="A191">
        <f>ROW(Source!A166)</f>
        <v>166</v>
      </c>
      <c r="B191">
        <v>39096431</v>
      </c>
      <c r="C191">
        <v>39488871</v>
      </c>
      <c r="D191">
        <v>37064876</v>
      </c>
      <c r="E191">
        <v>1</v>
      </c>
      <c r="F191">
        <v>1</v>
      </c>
      <c r="G191">
        <v>1</v>
      </c>
      <c r="H191">
        <v>1</v>
      </c>
      <c r="I191" t="s">
        <v>661</v>
      </c>
      <c r="J191" t="s">
        <v>3</v>
      </c>
      <c r="K191" t="s">
        <v>662</v>
      </c>
      <c r="L191">
        <v>1191</v>
      </c>
      <c r="N191">
        <v>1013</v>
      </c>
      <c r="O191" t="s">
        <v>660</v>
      </c>
      <c r="P191" t="s">
        <v>660</v>
      </c>
      <c r="Q191">
        <v>1</v>
      </c>
      <c r="W191">
        <v>0</v>
      </c>
      <c r="X191">
        <v>-1417349443</v>
      </c>
      <c r="Y191">
        <v>0.6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6.71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0.6</v>
      </c>
      <c r="AU191" t="s">
        <v>3</v>
      </c>
      <c r="AV191">
        <v>2</v>
      </c>
      <c r="AW191">
        <v>2</v>
      </c>
      <c r="AX191">
        <v>39488873</v>
      </c>
      <c r="AY191">
        <v>1</v>
      </c>
      <c r="AZ191">
        <v>2048</v>
      </c>
      <c r="BA191">
        <v>190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Y191*Source!I166</f>
        <v>0.72</v>
      </c>
      <c r="CY191">
        <f>AD191</f>
        <v>0</v>
      </c>
      <c r="CZ191">
        <f>AH191</f>
        <v>0</v>
      </c>
      <c r="DA191">
        <f>AL191</f>
        <v>1</v>
      </c>
      <c r="DB191">
        <v>0</v>
      </c>
    </row>
    <row r="192" spans="1:106" x14ac:dyDescent="0.2">
      <c r="A192">
        <f>ROW(Source!A166)</f>
        <v>166</v>
      </c>
      <c r="B192">
        <v>39096431</v>
      </c>
      <c r="C192">
        <v>39488871</v>
      </c>
      <c r="D192">
        <v>36882159</v>
      </c>
      <c r="E192">
        <v>1</v>
      </c>
      <c r="F192">
        <v>1</v>
      </c>
      <c r="G192">
        <v>1</v>
      </c>
      <c r="H192">
        <v>2</v>
      </c>
      <c r="I192" t="s">
        <v>802</v>
      </c>
      <c r="J192" t="s">
        <v>803</v>
      </c>
      <c r="K192" t="s">
        <v>804</v>
      </c>
      <c r="L192">
        <v>1368</v>
      </c>
      <c r="N192">
        <v>1011</v>
      </c>
      <c r="O192" t="s">
        <v>666</v>
      </c>
      <c r="P192" t="s">
        <v>666</v>
      </c>
      <c r="Q192">
        <v>1</v>
      </c>
      <c r="W192">
        <v>0</v>
      </c>
      <c r="X192">
        <v>-1718674368</v>
      </c>
      <c r="Y192">
        <v>0.21</v>
      </c>
      <c r="AA192">
        <v>0</v>
      </c>
      <c r="AB192">
        <v>751.45</v>
      </c>
      <c r="AC192">
        <v>13.5</v>
      </c>
      <c r="AD192">
        <v>0</v>
      </c>
      <c r="AE192">
        <v>0</v>
      </c>
      <c r="AF192">
        <v>111.99</v>
      </c>
      <c r="AG192">
        <v>13.5</v>
      </c>
      <c r="AH192">
        <v>0</v>
      </c>
      <c r="AI192">
        <v>1</v>
      </c>
      <c r="AJ192">
        <v>6.71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0.3</v>
      </c>
      <c r="AU192" t="s">
        <v>399</v>
      </c>
      <c r="AV192">
        <v>0</v>
      </c>
      <c r="AW192">
        <v>2</v>
      </c>
      <c r="AX192">
        <v>39488874</v>
      </c>
      <c r="AY192">
        <v>1</v>
      </c>
      <c r="AZ192">
        <v>0</v>
      </c>
      <c r="BA192">
        <v>191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Y192*Source!I166</f>
        <v>0.252</v>
      </c>
      <c r="CY192">
        <f>AB192</f>
        <v>751.45</v>
      </c>
      <c r="CZ192">
        <f>AF192</f>
        <v>111.99</v>
      </c>
      <c r="DA192">
        <f>AJ192</f>
        <v>6.71</v>
      </c>
      <c r="DB192">
        <v>0</v>
      </c>
    </row>
    <row r="193" spans="1:106" x14ac:dyDescent="0.2">
      <c r="A193">
        <f>ROW(Source!A166)</f>
        <v>166</v>
      </c>
      <c r="B193">
        <v>39096431</v>
      </c>
      <c r="C193">
        <v>39488871</v>
      </c>
      <c r="D193">
        <v>36883554</v>
      </c>
      <c r="E193">
        <v>1</v>
      </c>
      <c r="F193">
        <v>1</v>
      </c>
      <c r="G193">
        <v>1</v>
      </c>
      <c r="H193">
        <v>2</v>
      </c>
      <c r="I193" t="s">
        <v>679</v>
      </c>
      <c r="J193" t="s">
        <v>680</v>
      </c>
      <c r="K193" t="s">
        <v>681</v>
      </c>
      <c r="L193">
        <v>1368</v>
      </c>
      <c r="N193">
        <v>1011</v>
      </c>
      <c r="O193" t="s">
        <v>666</v>
      </c>
      <c r="P193" t="s">
        <v>666</v>
      </c>
      <c r="Q193">
        <v>1</v>
      </c>
      <c r="W193">
        <v>0</v>
      </c>
      <c r="X193">
        <v>1372534845</v>
      </c>
      <c r="Y193">
        <v>0.21</v>
      </c>
      <c r="AA193">
        <v>0</v>
      </c>
      <c r="AB193">
        <v>440.91</v>
      </c>
      <c r="AC193">
        <v>11.6</v>
      </c>
      <c r="AD193">
        <v>0</v>
      </c>
      <c r="AE193">
        <v>0</v>
      </c>
      <c r="AF193">
        <v>65.709999999999994</v>
      </c>
      <c r="AG193">
        <v>11.6</v>
      </c>
      <c r="AH193">
        <v>0</v>
      </c>
      <c r="AI193">
        <v>1</v>
      </c>
      <c r="AJ193">
        <v>6.71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0.3</v>
      </c>
      <c r="AU193" t="s">
        <v>399</v>
      </c>
      <c r="AV193">
        <v>0</v>
      </c>
      <c r="AW193">
        <v>2</v>
      </c>
      <c r="AX193">
        <v>39488875</v>
      </c>
      <c r="AY193">
        <v>1</v>
      </c>
      <c r="AZ193">
        <v>0</v>
      </c>
      <c r="BA193">
        <v>192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Y193*Source!I166</f>
        <v>0.252</v>
      </c>
      <c r="CY193">
        <f>AB193</f>
        <v>440.91</v>
      </c>
      <c r="CZ193">
        <f>AF193</f>
        <v>65.709999999999994</v>
      </c>
      <c r="DA193">
        <f>AJ193</f>
        <v>6.71</v>
      </c>
      <c r="DB193">
        <v>0</v>
      </c>
    </row>
    <row r="194" spans="1:106" x14ac:dyDescent="0.2">
      <c r="A194">
        <f>ROW(Source!A166)</f>
        <v>166</v>
      </c>
      <c r="B194">
        <v>39096431</v>
      </c>
      <c r="C194">
        <v>39488871</v>
      </c>
      <c r="D194">
        <v>36806488</v>
      </c>
      <c r="E194">
        <v>1</v>
      </c>
      <c r="F194">
        <v>1</v>
      </c>
      <c r="G194">
        <v>1</v>
      </c>
      <c r="H194">
        <v>3</v>
      </c>
      <c r="I194" t="s">
        <v>674</v>
      </c>
      <c r="J194" t="s">
        <v>675</v>
      </c>
      <c r="K194" t="s">
        <v>676</v>
      </c>
      <c r="L194">
        <v>1348</v>
      </c>
      <c r="N194">
        <v>1009</v>
      </c>
      <c r="O194" t="s">
        <v>110</v>
      </c>
      <c r="P194" t="s">
        <v>110</v>
      </c>
      <c r="Q194">
        <v>1000</v>
      </c>
      <c r="W194">
        <v>0</v>
      </c>
      <c r="X194">
        <v>-1421715385</v>
      </c>
      <c r="Y194">
        <v>0</v>
      </c>
      <c r="AA194">
        <v>4898.17</v>
      </c>
      <c r="AB194">
        <v>0</v>
      </c>
      <c r="AC194">
        <v>0</v>
      </c>
      <c r="AD194">
        <v>0</v>
      </c>
      <c r="AE194">
        <v>729.98</v>
      </c>
      <c r="AF194">
        <v>0</v>
      </c>
      <c r="AG194">
        <v>0</v>
      </c>
      <c r="AH194">
        <v>0</v>
      </c>
      <c r="AI194">
        <v>6.71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3.15E-3</v>
      </c>
      <c r="AU194" t="s">
        <v>57</v>
      </c>
      <c r="AV194">
        <v>0</v>
      </c>
      <c r="AW194">
        <v>2</v>
      </c>
      <c r="AX194">
        <v>39488876</v>
      </c>
      <c r="AY194">
        <v>1</v>
      </c>
      <c r="AZ194">
        <v>0</v>
      </c>
      <c r="BA194">
        <v>193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Y194*Source!I166</f>
        <v>0</v>
      </c>
      <c r="CY194">
        <f>AA194</f>
        <v>4898.17</v>
      </c>
      <c r="CZ194">
        <f>AE194</f>
        <v>729.98</v>
      </c>
      <c r="DA194">
        <f>AI194</f>
        <v>6.71</v>
      </c>
      <c r="DB194">
        <v>0</v>
      </c>
    </row>
    <row r="195" spans="1:106" x14ac:dyDescent="0.2">
      <c r="A195">
        <f>ROW(Source!A166)</f>
        <v>166</v>
      </c>
      <c r="B195">
        <v>39096431</v>
      </c>
      <c r="C195">
        <v>39488871</v>
      </c>
      <c r="D195">
        <v>36867794</v>
      </c>
      <c r="E195">
        <v>1</v>
      </c>
      <c r="F195">
        <v>1</v>
      </c>
      <c r="G195">
        <v>1</v>
      </c>
      <c r="H195">
        <v>3</v>
      </c>
      <c r="I195" t="s">
        <v>838</v>
      </c>
      <c r="J195" t="s">
        <v>839</v>
      </c>
      <c r="K195" t="s">
        <v>840</v>
      </c>
      <c r="L195">
        <v>1346</v>
      </c>
      <c r="N195">
        <v>1009</v>
      </c>
      <c r="O195" t="s">
        <v>138</v>
      </c>
      <c r="P195" t="s">
        <v>138</v>
      </c>
      <c r="Q195">
        <v>1</v>
      </c>
      <c r="W195">
        <v>0</v>
      </c>
      <c r="X195">
        <v>1584075688</v>
      </c>
      <c r="Y195">
        <v>0</v>
      </c>
      <c r="AA195">
        <v>239.55</v>
      </c>
      <c r="AB195">
        <v>0</v>
      </c>
      <c r="AC195">
        <v>0</v>
      </c>
      <c r="AD195">
        <v>0</v>
      </c>
      <c r="AE195">
        <v>35.700000000000003</v>
      </c>
      <c r="AF195">
        <v>0</v>
      </c>
      <c r="AG195">
        <v>0</v>
      </c>
      <c r="AH195">
        <v>0</v>
      </c>
      <c r="AI195">
        <v>6.71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3.09</v>
      </c>
      <c r="AU195" t="s">
        <v>57</v>
      </c>
      <c r="AV195">
        <v>0</v>
      </c>
      <c r="AW195">
        <v>2</v>
      </c>
      <c r="AX195">
        <v>39488877</v>
      </c>
      <c r="AY195">
        <v>1</v>
      </c>
      <c r="AZ195">
        <v>0</v>
      </c>
      <c r="BA195">
        <v>194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Y195*Source!I166</f>
        <v>0</v>
      </c>
      <c r="CY195">
        <f>AA195</f>
        <v>239.55</v>
      </c>
      <c r="CZ195">
        <f>AE195</f>
        <v>35.700000000000003</v>
      </c>
      <c r="DA195">
        <f>AI195</f>
        <v>6.71</v>
      </c>
      <c r="DB195">
        <v>0</v>
      </c>
    </row>
    <row r="196" spans="1:106" x14ac:dyDescent="0.2">
      <c r="A196">
        <f>ROW(Source!A166)</f>
        <v>166</v>
      </c>
      <c r="B196">
        <v>39096431</v>
      </c>
      <c r="C196">
        <v>39488871</v>
      </c>
      <c r="D196">
        <v>36799065</v>
      </c>
      <c r="E196">
        <v>17</v>
      </c>
      <c r="F196">
        <v>1</v>
      </c>
      <c r="G196">
        <v>1</v>
      </c>
      <c r="H196">
        <v>3</v>
      </c>
      <c r="I196" t="s">
        <v>835</v>
      </c>
      <c r="J196" t="s">
        <v>3</v>
      </c>
      <c r="K196" t="s">
        <v>836</v>
      </c>
      <c r="L196">
        <v>1374</v>
      </c>
      <c r="N196">
        <v>1013</v>
      </c>
      <c r="O196" t="s">
        <v>837</v>
      </c>
      <c r="P196" t="s">
        <v>837</v>
      </c>
      <c r="Q196">
        <v>1</v>
      </c>
      <c r="W196">
        <v>0</v>
      </c>
      <c r="X196">
        <v>-1731369543</v>
      </c>
      <c r="Y196">
        <v>0</v>
      </c>
      <c r="AA196">
        <v>1</v>
      </c>
      <c r="AB196">
        <v>0</v>
      </c>
      <c r="AC196">
        <v>0</v>
      </c>
      <c r="AD196">
        <v>0</v>
      </c>
      <c r="AE196">
        <v>1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29.36</v>
      </c>
      <c r="AU196" t="s">
        <v>57</v>
      </c>
      <c r="AV196">
        <v>0</v>
      </c>
      <c r="AW196">
        <v>2</v>
      </c>
      <c r="AX196">
        <v>39488878</v>
      </c>
      <c r="AY196">
        <v>1</v>
      </c>
      <c r="AZ196">
        <v>0</v>
      </c>
      <c r="BA196">
        <v>195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Y196*Source!I166</f>
        <v>0</v>
      </c>
      <c r="CY196">
        <f>AA196</f>
        <v>1</v>
      </c>
      <c r="CZ196">
        <f>AE196</f>
        <v>1</v>
      </c>
      <c r="DA196">
        <f>AI196</f>
        <v>1</v>
      </c>
      <c r="DB196">
        <v>0</v>
      </c>
    </row>
    <row r="197" spans="1:106" x14ac:dyDescent="0.2">
      <c r="A197">
        <f>ROW(Source!A167)</f>
        <v>167</v>
      </c>
      <c r="B197">
        <v>39096431</v>
      </c>
      <c r="C197">
        <v>39488890</v>
      </c>
      <c r="D197">
        <v>37070244</v>
      </c>
      <c r="E197">
        <v>1</v>
      </c>
      <c r="F197">
        <v>1</v>
      </c>
      <c r="G197">
        <v>1</v>
      </c>
      <c r="H197">
        <v>1</v>
      </c>
      <c r="I197" t="s">
        <v>841</v>
      </c>
      <c r="J197" t="s">
        <v>3</v>
      </c>
      <c r="K197" t="s">
        <v>842</v>
      </c>
      <c r="L197">
        <v>1191</v>
      </c>
      <c r="N197">
        <v>1013</v>
      </c>
      <c r="O197" t="s">
        <v>660</v>
      </c>
      <c r="P197" t="s">
        <v>660</v>
      </c>
      <c r="Q197">
        <v>1</v>
      </c>
      <c r="W197">
        <v>0</v>
      </c>
      <c r="X197">
        <v>1627947075</v>
      </c>
      <c r="Y197">
        <v>1.2539999999999998</v>
      </c>
      <c r="AA197">
        <v>0</v>
      </c>
      <c r="AB197">
        <v>0</v>
      </c>
      <c r="AC197">
        <v>0</v>
      </c>
      <c r="AD197">
        <v>69.45</v>
      </c>
      <c r="AE197">
        <v>0</v>
      </c>
      <c r="AF197">
        <v>0</v>
      </c>
      <c r="AG197">
        <v>0</v>
      </c>
      <c r="AH197">
        <v>10.35</v>
      </c>
      <c r="AI197">
        <v>1</v>
      </c>
      <c r="AJ197">
        <v>1</v>
      </c>
      <c r="AK197">
        <v>1</v>
      </c>
      <c r="AL197">
        <v>6.71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2.09</v>
      </c>
      <c r="AU197" t="s">
        <v>406</v>
      </c>
      <c r="AV197">
        <v>1</v>
      </c>
      <c r="AW197">
        <v>2</v>
      </c>
      <c r="AX197">
        <v>39488891</v>
      </c>
      <c r="AY197">
        <v>1</v>
      </c>
      <c r="AZ197">
        <v>0</v>
      </c>
      <c r="BA197">
        <v>196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Y197*Source!I167</f>
        <v>1.2539999999999998</v>
      </c>
      <c r="CY197">
        <f>AD197</f>
        <v>69.45</v>
      </c>
      <c r="CZ197">
        <f>AH197</f>
        <v>10.35</v>
      </c>
      <c r="DA197">
        <f>AL197</f>
        <v>6.71</v>
      </c>
      <c r="DB197">
        <v>0</v>
      </c>
    </row>
    <row r="198" spans="1:106" x14ac:dyDescent="0.2">
      <c r="A198">
        <f>ROW(Source!A167)</f>
        <v>167</v>
      </c>
      <c r="B198">
        <v>39096431</v>
      </c>
      <c r="C198">
        <v>39488890</v>
      </c>
      <c r="D198">
        <v>36883858</v>
      </c>
      <c r="E198">
        <v>1</v>
      </c>
      <c r="F198">
        <v>1</v>
      </c>
      <c r="G198">
        <v>1</v>
      </c>
      <c r="H198">
        <v>2</v>
      </c>
      <c r="I198" t="s">
        <v>704</v>
      </c>
      <c r="J198" t="s">
        <v>705</v>
      </c>
      <c r="K198" t="s">
        <v>706</v>
      </c>
      <c r="L198">
        <v>1368</v>
      </c>
      <c r="N198">
        <v>1011</v>
      </c>
      <c r="O198" t="s">
        <v>666</v>
      </c>
      <c r="P198" t="s">
        <v>666</v>
      </c>
      <c r="Q198">
        <v>1</v>
      </c>
      <c r="W198">
        <v>0</v>
      </c>
      <c r="X198">
        <v>-353815937</v>
      </c>
      <c r="Y198">
        <v>3.5999999999999997E-2</v>
      </c>
      <c r="AA198">
        <v>0</v>
      </c>
      <c r="AB198">
        <v>54.35</v>
      </c>
      <c r="AC198">
        <v>0</v>
      </c>
      <c r="AD198">
        <v>0</v>
      </c>
      <c r="AE198">
        <v>0</v>
      </c>
      <c r="AF198">
        <v>8.1</v>
      </c>
      <c r="AG198">
        <v>0</v>
      </c>
      <c r="AH198">
        <v>0</v>
      </c>
      <c r="AI198">
        <v>1</v>
      </c>
      <c r="AJ198">
        <v>6.71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0.06</v>
      </c>
      <c r="AU198" t="s">
        <v>406</v>
      </c>
      <c r="AV198">
        <v>0</v>
      </c>
      <c r="AW198">
        <v>2</v>
      </c>
      <c r="AX198">
        <v>39488892</v>
      </c>
      <c r="AY198">
        <v>1</v>
      </c>
      <c r="AZ198">
        <v>0</v>
      </c>
      <c r="BA198">
        <v>197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Y198*Source!I167</f>
        <v>3.5999999999999997E-2</v>
      </c>
      <c r="CY198">
        <f>AB198</f>
        <v>54.35</v>
      </c>
      <c r="CZ198">
        <f>AF198</f>
        <v>8.1</v>
      </c>
      <c r="DA198">
        <f>AJ198</f>
        <v>6.71</v>
      </c>
      <c r="DB198">
        <v>0</v>
      </c>
    </row>
    <row r="199" spans="1:106" x14ac:dyDescent="0.2">
      <c r="A199">
        <f>ROW(Source!A167)</f>
        <v>167</v>
      </c>
      <c r="B199">
        <v>39096431</v>
      </c>
      <c r="C199">
        <v>39488890</v>
      </c>
      <c r="D199">
        <v>36884526</v>
      </c>
      <c r="E199">
        <v>1</v>
      </c>
      <c r="F199">
        <v>1</v>
      </c>
      <c r="G199">
        <v>1</v>
      </c>
      <c r="H199">
        <v>2</v>
      </c>
      <c r="I199" t="s">
        <v>843</v>
      </c>
      <c r="J199" t="s">
        <v>844</v>
      </c>
      <c r="K199" t="s">
        <v>845</v>
      </c>
      <c r="L199">
        <v>1368</v>
      </c>
      <c r="N199">
        <v>1011</v>
      </c>
      <c r="O199" t="s">
        <v>666</v>
      </c>
      <c r="P199" t="s">
        <v>666</v>
      </c>
      <c r="Q199">
        <v>1</v>
      </c>
      <c r="W199">
        <v>0</v>
      </c>
      <c r="X199">
        <v>-995250510</v>
      </c>
      <c r="Y199">
        <v>5.3999999999999999E-2</v>
      </c>
      <c r="AA199">
        <v>0</v>
      </c>
      <c r="AB199">
        <v>7.45</v>
      </c>
      <c r="AC199">
        <v>0</v>
      </c>
      <c r="AD199">
        <v>0</v>
      </c>
      <c r="AE199">
        <v>0</v>
      </c>
      <c r="AF199">
        <v>1.1100000000000001</v>
      </c>
      <c r="AG199">
        <v>0</v>
      </c>
      <c r="AH199">
        <v>0</v>
      </c>
      <c r="AI199">
        <v>1</v>
      </c>
      <c r="AJ199">
        <v>6.71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0.09</v>
      </c>
      <c r="AU199" t="s">
        <v>406</v>
      </c>
      <c r="AV199">
        <v>0</v>
      </c>
      <c r="AW199">
        <v>2</v>
      </c>
      <c r="AX199">
        <v>39488893</v>
      </c>
      <c r="AY199">
        <v>1</v>
      </c>
      <c r="AZ199">
        <v>0</v>
      </c>
      <c r="BA199">
        <v>198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Y199*Source!I167</f>
        <v>5.3999999999999999E-2</v>
      </c>
      <c r="CY199">
        <f>AB199</f>
        <v>7.45</v>
      </c>
      <c r="CZ199">
        <f>AF199</f>
        <v>1.1100000000000001</v>
      </c>
      <c r="DA199">
        <f>AJ199</f>
        <v>6.71</v>
      </c>
      <c r="DB199">
        <v>0</v>
      </c>
    </row>
    <row r="200" spans="1:106" x14ac:dyDescent="0.2">
      <c r="A200">
        <f>ROW(Source!A167)</f>
        <v>167</v>
      </c>
      <c r="B200">
        <v>39096431</v>
      </c>
      <c r="C200">
        <v>39488890</v>
      </c>
      <c r="D200">
        <v>36800043</v>
      </c>
      <c r="E200">
        <v>1</v>
      </c>
      <c r="F200">
        <v>1</v>
      </c>
      <c r="G200">
        <v>1</v>
      </c>
      <c r="H200">
        <v>3</v>
      </c>
      <c r="I200" t="s">
        <v>846</v>
      </c>
      <c r="J200" t="s">
        <v>847</v>
      </c>
      <c r="K200" t="s">
        <v>848</v>
      </c>
      <c r="L200">
        <v>1346</v>
      </c>
      <c r="N200">
        <v>1009</v>
      </c>
      <c r="O200" t="s">
        <v>138</v>
      </c>
      <c r="P200" t="s">
        <v>138</v>
      </c>
      <c r="Q200">
        <v>1</v>
      </c>
      <c r="W200">
        <v>0</v>
      </c>
      <c r="X200">
        <v>618806536</v>
      </c>
      <c r="Y200">
        <v>0</v>
      </c>
      <c r="AA200">
        <v>301.75</v>
      </c>
      <c r="AB200">
        <v>0</v>
      </c>
      <c r="AC200">
        <v>0</v>
      </c>
      <c r="AD200">
        <v>0</v>
      </c>
      <c r="AE200">
        <v>44.97</v>
      </c>
      <c r="AF200">
        <v>0</v>
      </c>
      <c r="AG200">
        <v>0</v>
      </c>
      <c r="AH200">
        <v>0</v>
      </c>
      <c r="AI200">
        <v>6.71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6.0000000000000001E-3</v>
      </c>
      <c r="AU200" t="s">
        <v>57</v>
      </c>
      <c r="AV200">
        <v>0</v>
      </c>
      <c r="AW200">
        <v>2</v>
      </c>
      <c r="AX200">
        <v>39488894</v>
      </c>
      <c r="AY200">
        <v>1</v>
      </c>
      <c r="AZ200">
        <v>0</v>
      </c>
      <c r="BA200">
        <v>199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Y200*Source!I167</f>
        <v>0</v>
      </c>
      <c r="CY200">
        <f t="shared" ref="CY200:CY211" si="6">AA200</f>
        <v>301.75</v>
      </c>
      <c r="CZ200">
        <f t="shared" ref="CZ200:CZ211" si="7">AE200</f>
        <v>44.97</v>
      </c>
      <c r="DA200">
        <f t="shared" ref="DA200:DA211" si="8">AI200</f>
        <v>6.71</v>
      </c>
      <c r="DB200">
        <v>0</v>
      </c>
    </row>
    <row r="201" spans="1:106" x14ac:dyDescent="0.2">
      <c r="A201">
        <f>ROW(Source!A167)</f>
        <v>167</v>
      </c>
      <c r="B201">
        <v>39096431</v>
      </c>
      <c r="C201">
        <v>39488890</v>
      </c>
      <c r="D201">
        <v>36801775</v>
      </c>
      <c r="E201">
        <v>1</v>
      </c>
      <c r="F201">
        <v>1</v>
      </c>
      <c r="G201">
        <v>1</v>
      </c>
      <c r="H201">
        <v>3</v>
      </c>
      <c r="I201" t="s">
        <v>849</v>
      </c>
      <c r="J201" t="s">
        <v>850</v>
      </c>
      <c r="K201" t="s">
        <v>851</v>
      </c>
      <c r="L201">
        <v>1346</v>
      </c>
      <c r="N201">
        <v>1009</v>
      </c>
      <c r="O201" t="s">
        <v>138</v>
      </c>
      <c r="P201" t="s">
        <v>138</v>
      </c>
      <c r="Q201">
        <v>1</v>
      </c>
      <c r="W201">
        <v>0</v>
      </c>
      <c r="X201">
        <v>56922527</v>
      </c>
      <c r="Y201">
        <v>0</v>
      </c>
      <c r="AA201">
        <v>77.17</v>
      </c>
      <c r="AB201">
        <v>0</v>
      </c>
      <c r="AC201">
        <v>0</v>
      </c>
      <c r="AD201">
        <v>0</v>
      </c>
      <c r="AE201">
        <v>11.5</v>
      </c>
      <c r="AF201">
        <v>0</v>
      </c>
      <c r="AG201">
        <v>0</v>
      </c>
      <c r="AH201">
        <v>0</v>
      </c>
      <c r="AI201">
        <v>6.71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2E-3</v>
      </c>
      <c r="AU201" t="s">
        <v>57</v>
      </c>
      <c r="AV201">
        <v>0</v>
      </c>
      <c r="AW201">
        <v>2</v>
      </c>
      <c r="AX201">
        <v>39488895</v>
      </c>
      <c r="AY201">
        <v>1</v>
      </c>
      <c r="AZ201">
        <v>0</v>
      </c>
      <c r="BA201">
        <v>200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Y201*Source!I167</f>
        <v>0</v>
      </c>
      <c r="CY201">
        <f t="shared" si="6"/>
        <v>77.17</v>
      </c>
      <c r="CZ201">
        <f t="shared" si="7"/>
        <v>11.5</v>
      </c>
      <c r="DA201">
        <f t="shared" si="8"/>
        <v>6.71</v>
      </c>
      <c r="DB201">
        <v>0</v>
      </c>
    </row>
    <row r="202" spans="1:106" x14ac:dyDescent="0.2">
      <c r="A202">
        <f>ROW(Source!A167)</f>
        <v>167</v>
      </c>
      <c r="B202">
        <v>39096431</v>
      </c>
      <c r="C202">
        <v>39488890</v>
      </c>
      <c r="D202">
        <v>36802094</v>
      </c>
      <c r="E202">
        <v>1</v>
      </c>
      <c r="F202">
        <v>1</v>
      </c>
      <c r="G202">
        <v>1</v>
      </c>
      <c r="H202">
        <v>3</v>
      </c>
      <c r="I202" t="s">
        <v>852</v>
      </c>
      <c r="J202" t="s">
        <v>853</v>
      </c>
      <c r="K202" t="s">
        <v>854</v>
      </c>
      <c r="L202">
        <v>1346</v>
      </c>
      <c r="N202">
        <v>1009</v>
      </c>
      <c r="O202" t="s">
        <v>138</v>
      </c>
      <c r="P202" t="s">
        <v>138</v>
      </c>
      <c r="Q202">
        <v>1</v>
      </c>
      <c r="W202">
        <v>0</v>
      </c>
      <c r="X202">
        <v>-1088866022</v>
      </c>
      <c r="Y202">
        <v>0</v>
      </c>
      <c r="AA202">
        <v>203.98</v>
      </c>
      <c r="AB202">
        <v>0</v>
      </c>
      <c r="AC202">
        <v>0</v>
      </c>
      <c r="AD202">
        <v>0</v>
      </c>
      <c r="AE202">
        <v>30.4</v>
      </c>
      <c r="AF202">
        <v>0</v>
      </c>
      <c r="AG202">
        <v>0</v>
      </c>
      <c r="AH202">
        <v>0</v>
      </c>
      <c r="AI202">
        <v>6.71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2.4E-2</v>
      </c>
      <c r="AU202" t="s">
        <v>57</v>
      </c>
      <c r="AV202">
        <v>0</v>
      </c>
      <c r="AW202">
        <v>2</v>
      </c>
      <c r="AX202">
        <v>39488896</v>
      </c>
      <c r="AY202">
        <v>1</v>
      </c>
      <c r="AZ202">
        <v>0</v>
      </c>
      <c r="BA202">
        <v>201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Y202*Source!I167</f>
        <v>0</v>
      </c>
      <c r="CY202">
        <f t="shared" si="6"/>
        <v>203.98</v>
      </c>
      <c r="CZ202">
        <f t="shared" si="7"/>
        <v>30.4</v>
      </c>
      <c r="DA202">
        <f t="shared" si="8"/>
        <v>6.71</v>
      </c>
      <c r="DB202">
        <v>0</v>
      </c>
    </row>
    <row r="203" spans="1:106" x14ac:dyDescent="0.2">
      <c r="A203">
        <f>ROW(Source!A167)</f>
        <v>167</v>
      </c>
      <c r="B203">
        <v>39096431</v>
      </c>
      <c r="C203">
        <v>39488890</v>
      </c>
      <c r="D203">
        <v>36803258</v>
      </c>
      <c r="E203">
        <v>1</v>
      </c>
      <c r="F203">
        <v>1</v>
      </c>
      <c r="G203">
        <v>1</v>
      </c>
      <c r="H203">
        <v>3</v>
      </c>
      <c r="I203" t="s">
        <v>855</v>
      </c>
      <c r="J203" t="s">
        <v>856</v>
      </c>
      <c r="K203" t="s">
        <v>857</v>
      </c>
      <c r="L203">
        <v>1346</v>
      </c>
      <c r="N203">
        <v>1009</v>
      </c>
      <c r="O203" t="s">
        <v>138</v>
      </c>
      <c r="P203" t="s">
        <v>138</v>
      </c>
      <c r="Q203">
        <v>1</v>
      </c>
      <c r="W203">
        <v>0</v>
      </c>
      <c r="X203">
        <v>586013393</v>
      </c>
      <c r="Y203">
        <v>0</v>
      </c>
      <c r="AA203">
        <v>70.92</v>
      </c>
      <c r="AB203">
        <v>0</v>
      </c>
      <c r="AC203">
        <v>0</v>
      </c>
      <c r="AD203">
        <v>0</v>
      </c>
      <c r="AE203">
        <v>10.57</v>
      </c>
      <c r="AF203">
        <v>0</v>
      </c>
      <c r="AG203">
        <v>0</v>
      </c>
      <c r="AH203">
        <v>0</v>
      </c>
      <c r="AI203">
        <v>6.71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7.0000000000000007E-2</v>
      </c>
      <c r="AU203" t="s">
        <v>57</v>
      </c>
      <c r="AV203">
        <v>0</v>
      </c>
      <c r="AW203">
        <v>2</v>
      </c>
      <c r="AX203">
        <v>39488897</v>
      </c>
      <c r="AY203">
        <v>1</v>
      </c>
      <c r="AZ203">
        <v>0</v>
      </c>
      <c r="BA203">
        <v>202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Y203*Source!I167</f>
        <v>0</v>
      </c>
      <c r="CY203">
        <f t="shared" si="6"/>
        <v>70.92</v>
      </c>
      <c r="CZ203">
        <f t="shared" si="7"/>
        <v>10.57</v>
      </c>
      <c r="DA203">
        <f t="shared" si="8"/>
        <v>6.71</v>
      </c>
      <c r="DB203">
        <v>0</v>
      </c>
    </row>
    <row r="204" spans="1:106" x14ac:dyDescent="0.2">
      <c r="A204">
        <f>ROW(Source!A167)</f>
        <v>167</v>
      </c>
      <c r="B204">
        <v>39096431</v>
      </c>
      <c r="C204">
        <v>39488890</v>
      </c>
      <c r="D204">
        <v>36804448</v>
      </c>
      <c r="E204">
        <v>1</v>
      </c>
      <c r="F204">
        <v>1</v>
      </c>
      <c r="G204">
        <v>1</v>
      </c>
      <c r="H204">
        <v>3</v>
      </c>
      <c r="I204" t="s">
        <v>858</v>
      </c>
      <c r="J204" t="s">
        <v>859</v>
      </c>
      <c r="K204" t="s">
        <v>860</v>
      </c>
      <c r="L204">
        <v>1346</v>
      </c>
      <c r="N204">
        <v>1009</v>
      </c>
      <c r="O204" t="s">
        <v>138</v>
      </c>
      <c r="P204" t="s">
        <v>138</v>
      </c>
      <c r="Q204">
        <v>1</v>
      </c>
      <c r="W204">
        <v>0</v>
      </c>
      <c r="X204">
        <v>103900845</v>
      </c>
      <c r="Y204">
        <v>0</v>
      </c>
      <c r="AA204">
        <v>60.66</v>
      </c>
      <c r="AB204">
        <v>0</v>
      </c>
      <c r="AC204">
        <v>0</v>
      </c>
      <c r="AD204">
        <v>0</v>
      </c>
      <c r="AE204">
        <v>9.0399999999999991</v>
      </c>
      <c r="AF204">
        <v>0</v>
      </c>
      <c r="AG204">
        <v>0</v>
      </c>
      <c r="AH204">
        <v>0</v>
      </c>
      <c r="AI204">
        <v>6.71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0.14000000000000001</v>
      </c>
      <c r="AU204" t="s">
        <v>57</v>
      </c>
      <c r="AV204">
        <v>0</v>
      </c>
      <c r="AW204">
        <v>2</v>
      </c>
      <c r="AX204">
        <v>39488898</v>
      </c>
      <c r="AY204">
        <v>1</v>
      </c>
      <c r="AZ204">
        <v>0</v>
      </c>
      <c r="BA204">
        <v>203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Y204*Source!I167</f>
        <v>0</v>
      </c>
      <c r="CY204">
        <f t="shared" si="6"/>
        <v>60.66</v>
      </c>
      <c r="CZ204">
        <f t="shared" si="7"/>
        <v>9.0399999999999991</v>
      </c>
      <c r="DA204">
        <f t="shared" si="8"/>
        <v>6.71</v>
      </c>
      <c r="DB204">
        <v>0</v>
      </c>
    </row>
    <row r="205" spans="1:106" x14ac:dyDescent="0.2">
      <c r="A205">
        <f>ROW(Source!A167)</f>
        <v>167</v>
      </c>
      <c r="B205">
        <v>39096431</v>
      </c>
      <c r="C205">
        <v>39488890</v>
      </c>
      <c r="D205">
        <v>36804580</v>
      </c>
      <c r="E205">
        <v>1</v>
      </c>
      <c r="F205">
        <v>1</v>
      </c>
      <c r="G205">
        <v>1</v>
      </c>
      <c r="H205">
        <v>3</v>
      </c>
      <c r="I205" t="s">
        <v>861</v>
      </c>
      <c r="J205" t="s">
        <v>862</v>
      </c>
      <c r="K205" t="s">
        <v>863</v>
      </c>
      <c r="L205">
        <v>1355</v>
      </c>
      <c r="N205">
        <v>1010</v>
      </c>
      <c r="O205" t="s">
        <v>161</v>
      </c>
      <c r="P205" t="s">
        <v>161</v>
      </c>
      <c r="Q205">
        <v>100</v>
      </c>
      <c r="W205">
        <v>0</v>
      </c>
      <c r="X205">
        <v>1794244060</v>
      </c>
      <c r="Y205">
        <v>0</v>
      </c>
      <c r="AA205">
        <v>577.05999999999995</v>
      </c>
      <c r="AB205">
        <v>0</v>
      </c>
      <c r="AC205">
        <v>0</v>
      </c>
      <c r="AD205">
        <v>0</v>
      </c>
      <c r="AE205">
        <v>86</v>
      </c>
      <c r="AF205">
        <v>0</v>
      </c>
      <c r="AG205">
        <v>0</v>
      </c>
      <c r="AH205">
        <v>0</v>
      </c>
      <c r="AI205">
        <v>6.71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3</v>
      </c>
      <c r="AT205">
        <v>7.0000000000000001E-3</v>
      </c>
      <c r="AU205" t="s">
        <v>57</v>
      </c>
      <c r="AV205">
        <v>0</v>
      </c>
      <c r="AW205">
        <v>2</v>
      </c>
      <c r="AX205">
        <v>39488899</v>
      </c>
      <c r="AY205">
        <v>1</v>
      </c>
      <c r="AZ205">
        <v>0</v>
      </c>
      <c r="BA205">
        <v>204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Y205*Source!I167</f>
        <v>0</v>
      </c>
      <c r="CY205">
        <f t="shared" si="6"/>
        <v>577.05999999999995</v>
      </c>
      <c r="CZ205">
        <f t="shared" si="7"/>
        <v>86</v>
      </c>
      <c r="DA205">
        <f t="shared" si="8"/>
        <v>6.71</v>
      </c>
      <c r="DB205">
        <v>0</v>
      </c>
    </row>
    <row r="206" spans="1:106" x14ac:dyDescent="0.2">
      <c r="A206">
        <f>ROW(Source!A167)</f>
        <v>167</v>
      </c>
      <c r="B206">
        <v>39096431</v>
      </c>
      <c r="C206">
        <v>39488890</v>
      </c>
      <c r="D206">
        <v>36805500</v>
      </c>
      <c r="E206">
        <v>1</v>
      </c>
      <c r="F206">
        <v>1</v>
      </c>
      <c r="G206">
        <v>1</v>
      </c>
      <c r="H206">
        <v>3</v>
      </c>
      <c r="I206" t="s">
        <v>864</v>
      </c>
      <c r="J206" t="s">
        <v>865</v>
      </c>
      <c r="K206" t="s">
        <v>866</v>
      </c>
      <c r="L206">
        <v>1346</v>
      </c>
      <c r="N206">
        <v>1009</v>
      </c>
      <c r="O206" t="s">
        <v>138</v>
      </c>
      <c r="P206" t="s">
        <v>138</v>
      </c>
      <c r="Q206">
        <v>1</v>
      </c>
      <c r="W206">
        <v>0</v>
      </c>
      <c r="X206">
        <v>-856710481</v>
      </c>
      <c r="Y206">
        <v>0</v>
      </c>
      <c r="AA206">
        <v>892.77</v>
      </c>
      <c r="AB206">
        <v>0</v>
      </c>
      <c r="AC206">
        <v>0</v>
      </c>
      <c r="AD206">
        <v>0</v>
      </c>
      <c r="AE206">
        <v>133.05000000000001</v>
      </c>
      <c r="AF206">
        <v>0</v>
      </c>
      <c r="AG206">
        <v>0</v>
      </c>
      <c r="AH206">
        <v>0</v>
      </c>
      <c r="AI206">
        <v>6.71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2E-3</v>
      </c>
      <c r="AU206" t="s">
        <v>57</v>
      </c>
      <c r="AV206">
        <v>0</v>
      </c>
      <c r="AW206">
        <v>2</v>
      </c>
      <c r="AX206">
        <v>39488900</v>
      </c>
      <c r="AY206">
        <v>1</v>
      </c>
      <c r="AZ206">
        <v>0</v>
      </c>
      <c r="BA206">
        <v>205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Y206*Source!I167</f>
        <v>0</v>
      </c>
      <c r="CY206">
        <f t="shared" si="6"/>
        <v>892.77</v>
      </c>
      <c r="CZ206">
        <f t="shared" si="7"/>
        <v>133.05000000000001</v>
      </c>
      <c r="DA206">
        <f t="shared" si="8"/>
        <v>6.71</v>
      </c>
      <c r="DB206">
        <v>0</v>
      </c>
    </row>
    <row r="207" spans="1:106" x14ac:dyDescent="0.2">
      <c r="A207">
        <f>ROW(Source!A167)</f>
        <v>167</v>
      </c>
      <c r="B207">
        <v>39096431</v>
      </c>
      <c r="C207">
        <v>39488890</v>
      </c>
      <c r="D207">
        <v>36823140</v>
      </c>
      <c r="E207">
        <v>1</v>
      </c>
      <c r="F207">
        <v>1</v>
      </c>
      <c r="G207">
        <v>1</v>
      </c>
      <c r="H207">
        <v>3</v>
      </c>
      <c r="I207" t="s">
        <v>867</v>
      </c>
      <c r="J207" t="s">
        <v>868</v>
      </c>
      <c r="K207" t="s">
        <v>869</v>
      </c>
      <c r="L207">
        <v>1348</v>
      </c>
      <c r="N207">
        <v>1009</v>
      </c>
      <c r="O207" t="s">
        <v>110</v>
      </c>
      <c r="P207" t="s">
        <v>110</v>
      </c>
      <c r="Q207">
        <v>1000</v>
      </c>
      <c r="W207">
        <v>0</v>
      </c>
      <c r="X207">
        <v>426000481</v>
      </c>
      <c r="Y207">
        <v>0</v>
      </c>
      <c r="AA207">
        <v>77165</v>
      </c>
      <c r="AB207">
        <v>0</v>
      </c>
      <c r="AC207">
        <v>0</v>
      </c>
      <c r="AD207">
        <v>0</v>
      </c>
      <c r="AE207">
        <v>11500</v>
      </c>
      <c r="AF207">
        <v>0</v>
      </c>
      <c r="AG207">
        <v>0</v>
      </c>
      <c r="AH207">
        <v>0</v>
      </c>
      <c r="AI207">
        <v>6.71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3.0000000000000001E-3</v>
      </c>
      <c r="AU207" t="s">
        <v>57</v>
      </c>
      <c r="AV207">
        <v>0</v>
      </c>
      <c r="AW207">
        <v>2</v>
      </c>
      <c r="AX207">
        <v>39488901</v>
      </c>
      <c r="AY207">
        <v>1</v>
      </c>
      <c r="AZ207">
        <v>0</v>
      </c>
      <c r="BA207">
        <v>206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Y207*Source!I167</f>
        <v>0</v>
      </c>
      <c r="CY207">
        <f t="shared" si="6"/>
        <v>77165</v>
      </c>
      <c r="CZ207">
        <f t="shared" si="7"/>
        <v>11500</v>
      </c>
      <c r="DA207">
        <f t="shared" si="8"/>
        <v>6.71</v>
      </c>
      <c r="DB207">
        <v>0</v>
      </c>
    </row>
    <row r="208" spans="1:106" x14ac:dyDescent="0.2">
      <c r="A208">
        <f>ROW(Source!A167)</f>
        <v>167</v>
      </c>
      <c r="B208">
        <v>39096431</v>
      </c>
      <c r="C208">
        <v>39488890</v>
      </c>
      <c r="D208">
        <v>36838317</v>
      </c>
      <c r="E208">
        <v>1</v>
      </c>
      <c r="F208">
        <v>1</v>
      </c>
      <c r="G208">
        <v>1</v>
      </c>
      <c r="H208">
        <v>3</v>
      </c>
      <c r="I208" t="s">
        <v>870</v>
      </c>
      <c r="J208" t="s">
        <v>871</v>
      </c>
      <c r="K208" t="s">
        <v>872</v>
      </c>
      <c r="L208">
        <v>1346</v>
      </c>
      <c r="N208">
        <v>1009</v>
      </c>
      <c r="O208" t="s">
        <v>138</v>
      </c>
      <c r="P208" t="s">
        <v>138</v>
      </c>
      <c r="Q208">
        <v>1</v>
      </c>
      <c r="W208">
        <v>0</v>
      </c>
      <c r="X208">
        <v>210558753</v>
      </c>
      <c r="Y208">
        <v>0</v>
      </c>
      <c r="AA208">
        <v>191.91</v>
      </c>
      <c r="AB208">
        <v>0</v>
      </c>
      <c r="AC208">
        <v>0</v>
      </c>
      <c r="AD208">
        <v>0</v>
      </c>
      <c r="AE208">
        <v>28.6</v>
      </c>
      <c r="AF208">
        <v>0</v>
      </c>
      <c r="AG208">
        <v>0</v>
      </c>
      <c r="AH208">
        <v>0</v>
      </c>
      <c r="AI208">
        <v>6.71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1.7999999999999999E-2</v>
      </c>
      <c r="AU208" t="s">
        <v>57</v>
      </c>
      <c r="AV208">
        <v>0</v>
      </c>
      <c r="AW208">
        <v>2</v>
      </c>
      <c r="AX208">
        <v>39488902</v>
      </c>
      <c r="AY208">
        <v>1</v>
      </c>
      <c r="AZ208">
        <v>0</v>
      </c>
      <c r="BA208">
        <v>207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Y208*Source!I167</f>
        <v>0</v>
      </c>
      <c r="CY208">
        <f t="shared" si="6"/>
        <v>191.91</v>
      </c>
      <c r="CZ208">
        <f t="shared" si="7"/>
        <v>28.6</v>
      </c>
      <c r="DA208">
        <f t="shared" si="8"/>
        <v>6.71</v>
      </c>
      <c r="DB208">
        <v>0</v>
      </c>
    </row>
    <row r="209" spans="1:106" x14ac:dyDescent="0.2">
      <c r="A209">
        <f>ROW(Source!A167)</f>
        <v>167</v>
      </c>
      <c r="B209">
        <v>39096431</v>
      </c>
      <c r="C209">
        <v>39488890</v>
      </c>
      <c r="D209">
        <v>36838470</v>
      </c>
      <c r="E209">
        <v>1</v>
      </c>
      <c r="F209">
        <v>1</v>
      </c>
      <c r="G209">
        <v>1</v>
      </c>
      <c r="H209">
        <v>3</v>
      </c>
      <c r="I209" t="s">
        <v>873</v>
      </c>
      <c r="J209" t="s">
        <v>874</v>
      </c>
      <c r="K209" t="s">
        <v>875</v>
      </c>
      <c r="L209">
        <v>1346</v>
      </c>
      <c r="N209">
        <v>1009</v>
      </c>
      <c r="O209" t="s">
        <v>138</v>
      </c>
      <c r="P209" t="s">
        <v>138</v>
      </c>
      <c r="Q209">
        <v>1</v>
      </c>
      <c r="W209">
        <v>0</v>
      </c>
      <c r="X209">
        <v>-1274984028</v>
      </c>
      <c r="Y209">
        <v>0</v>
      </c>
      <c r="AA209">
        <v>239.08</v>
      </c>
      <c r="AB209">
        <v>0</v>
      </c>
      <c r="AC209">
        <v>0</v>
      </c>
      <c r="AD209">
        <v>0</v>
      </c>
      <c r="AE209">
        <v>35.630000000000003</v>
      </c>
      <c r="AF209">
        <v>0</v>
      </c>
      <c r="AG209">
        <v>0</v>
      </c>
      <c r="AH209">
        <v>0</v>
      </c>
      <c r="AI209">
        <v>6.71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8.9999999999999993E-3</v>
      </c>
      <c r="AU209" t="s">
        <v>57</v>
      </c>
      <c r="AV209">
        <v>0</v>
      </c>
      <c r="AW209">
        <v>2</v>
      </c>
      <c r="AX209">
        <v>39488903</v>
      </c>
      <c r="AY209">
        <v>1</v>
      </c>
      <c r="AZ209">
        <v>0</v>
      </c>
      <c r="BA209">
        <v>208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Y209*Source!I167</f>
        <v>0</v>
      </c>
      <c r="CY209">
        <f t="shared" si="6"/>
        <v>239.08</v>
      </c>
      <c r="CZ209">
        <f t="shared" si="7"/>
        <v>35.630000000000003</v>
      </c>
      <c r="DA209">
        <f t="shared" si="8"/>
        <v>6.71</v>
      </c>
      <c r="DB209">
        <v>0</v>
      </c>
    </row>
    <row r="210" spans="1:106" x14ac:dyDescent="0.2">
      <c r="A210">
        <f>ROW(Source!A167)</f>
        <v>167</v>
      </c>
      <c r="B210">
        <v>39096431</v>
      </c>
      <c r="C210">
        <v>39488890</v>
      </c>
      <c r="D210">
        <v>36851945</v>
      </c>
      <c r="E210">
        <v>1</v>
      </c>
      <c r="F210">
        <v>1</v>
      </c>
      <c r="G210">
        <v>1</v>
      </c>
      <c r="H210">
        <v>3</v>
      </c>
      <c r="I210" t="s">
        <v>876</v>
      </c>
      <c r="J210" t="s">
        <v>877</v>
      </c>
      <c r="K210" t="s">
        <v>878</v>
      </c>
      <c r="L210">
        <v>1358</v>
      </c>
      <c r="N210">
        <v>1010</v>
      </c>
      <c r="O210" t="s">
        <v>436</v>
      </c>
      <c r="P210" t="s">
        <v>436</v>
      </c>
      <c r="Q210">
        <v>10</v>
      </c>
      <c r="W210">
        <v>0</v>
      </c>
      <c r="X210">
        <v>1386890308</v>
      </c>
      <c r="Y210">
        <v>0</v>
      </c>
      <c r="AA210">
        <v>261.69</v>
      </c>
      <c r="AB210">
        <v>0</v>
      </c>
      <c r="AC210">
        <v>0</v>
      </c>
      <c r="AD210">
        <v>0</v>
      </c>
      <c r="AE210">
        <v>39</v>
      </c>
      <c r="AF210">
        <v>0</v>
      </c>
      <c r="AG210">
        <v>0</v>
      </c>
      <c r="AH210">
        <v>0</v>
      </c>
      <c r="AI210">
        <v>6.71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0.1</v>
      </c>
      <c r="AU210" t="s">
        <v>57</v>
      </c>
      <c r="AV210">
        <v>0</v>
      </c>
      <c r="AW210">
        <v>2</v>
      </c>
      <c r="AX210">
        <v>39488904</v>
      </c>
      <c r="AY210">
        <v>1</v>
      </c>
      <c r="AZ210">
        <v>0</v>
      </c>
      <c r="BA210">
        <v>209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Y210*Source!I167</f>
        <v>0</v>
      </c>
      <c r="CY210">
        <f t="shared" si="6"/>
        <v>261.69</v>
      </c>
      <c r="CZ210">
        <f t="shared" si="7"/>
        <v>39</v>
      </c>
      <c r="DA210">
        <f t="shared" si="8"/>
        <v>6.71</v>
      </c>
      <c r="DB210">
        <v>0</v>
      </c>
    </row>
    <row r="211" spans="1:106" x14ac:dyDescent="0.2">
      <c r="A211">
        <f>ROW(Source!A167)</f>
        <v>167</v>
      </c>
      <c r="B211">
        <v>39096431</v>
      </c>
      <c r="C211">
        <v>39488890</v>
      </c>
      <c r="D211">
        <v>36799065</v>
      </c>
      <c r="E211">
        <v>17</v>
      </c>
      <c r="F211">
        <v>1</v>
      </c>
      <c r="G211">
        <v>1</v>
      </c>
      <c r="H211">
        <v>3</v>
      </c>
      <c r="I211" t="s">
        <v>835</v>
      </c>
      <c r="J211" t="s">
        <v>3</v>
      </c>
      <c r="K211" t="s">
        <v>836</v>
      </c>
      <c r="L211">
        <v>1374</v>
      </c>
      <c r="N211">
        <v>1013</v>
      </c>
      <c r="O211" t="s">
        <v>837</v>
      </c>
      <c r="P211" t="s">
        <v>837</v>
      </c>
      <c r="Q211">
        <v>1</v>
      </c>
      <c r="W211">
        <v>0</v>
      </c>
      <c r="X211">
        <v>-1731369543</v>
      </c>
      <c r="Y211">
        <v>0</v>
      </c>
      <c r="AA211">
        <v>1</v>
      </c>
      <c r="AB211">
        <v>0</v>
      </c>
      <c r="AC211">
        <v>0</v>
      </c>
      <c r="AD211">
        <v>0</v>
      </c>
      <c r="AE211">
        <v>1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0.43</v>
      </c>
      <c r="AU211" t="s">
        <v>57</v>
      </c>
      <c r="AV211">
        <v>0</v>
      </c>
      <c r="AW211">
        <v>2</v>
      </c>
      <c r="AX211">
        <v>39488905</v>
      </c>
      <c r="AY211">
        <v>1</v>
      </c>
      <c r="AZ211">
        <v>0</v>
      </c>
      <c r="BA211">
        <v>210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Y211*Source!I167</f>
        <v>0</v>
      </c>
      <c r="CY211">
        <f t="shared" si="6"/>
        <v>1</v>
      </c>
      <c r="CZ211">
        <f t="shared" si="7"/>
        <v>1</v>
      </c>
      <c r="DA211">
        <f t="shared" si="8"/>
        <v>1</v>
      </c>
      <c r="DB211">
        <v>0</v>
      </c>
    </row>
    <row r="212" spans="1:106" x14ac:dyDescent="0.2">
      <c r="A212">
        <f>ROW(Source!A168)</f>
        <v>168</v>
      </c>
      <c r="B212">
        <v>39096431</v>
      </c>
      <c r="C212">
        <v>39097831</v>
      </c>
      <c r="D212">
        <v>37070244</v>
      </c>
      <c r="E212">
        <v>1</v>
      </c>
      <c r="F212">
        <v>1</v>
      </c>
      <c r="G212">
        <v>1</v>
      </c>
      <c r="H212">
        <v>1</v>
      </c>
      <c r="I212" t="s">
        <v>841</v>
      </c>
      <c r="J212" t="s">
        <v>3</v>
      </c>
      <c r="K212" t="s">
        <v>842</v>
      </c>
      <c r="L212">
        <v>1191</v>
      </c>
      <c r="N212">
        <v>1013</v>
      </c>
      <c r="O212" t="s">
        <v>660</v>
      </c>
      <c r="P212" t="s">
        <v>660</v>
      </c>
      <c r="Q212">
        <v>1</v>
      </c>
      <c r="W212">
        <v>0</v>
      </c>
      <c r="X212">
        <v>1627947075</v>
      </c>
      <c r="Y212">
        <v>2.09</v>
      </c>
      <c r="AA212">
        <v>0</v>
      </c>
      <c r="AB212">
        <v>0</v>
      </c>
      <c r="AC212">
        <v>0</v>
      </c>
      <c r="AD212">
        <v>69.45</v>
      </c>
      <c r="AE212">
        <v>0</v>
      </c>
      <c r="AF212">
        <v>0</v>
      </c>
      <c r="AG212">
        <v>0</v>
      </c>
      <c r="AH212">
        <v>10.35</v>
      </c>
      <c r="AI212">
        <v>1</v>
      </c>
      <c r="AJ212">
        <v>1</v>
      </c>
      <c r="AK212">
        <v>1</v>
      </c>
      <c r="AL212">
        <v>6.71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2.09</v>
      </c>
      <c r="AU212" t="s">
        <v>3</v>
      </c>
      <c r="AV212">
        <v>1</v>
      </c>
      <c r="AW212">
        <v>2</v>
      </c>
      <c r="AX212">
        <v>39488908</v>
      </c>
      <c r="AY212">
        <v>1</v>
      </c>
      <c r="AZ212">
        <v>0</v>
      </c>
      <c r="BA212">
        <v>211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Y212*Source!I168</f>
        <v>2.09</v>
      </c>
      <c r="CY212">
        <f>AD212</f>
        <v>69.45</v>
      </c>
      <c r="CZ212">
        <f>AH212</f>
        <v>10.35</v>
      </c>
      <c r="DA212">
        <f>AL212</f>
        <v>6.71</v>
      </c>
      <c r="DB212">
        <v>0</v>
      </c>
    </row>
    <row r="213" spans="1:106" x14ac:dyDescent="0.2">
      <c r="A213">
        <f>ROW(Source!A168)</f>
        <v>168</v>
      </c>
      <c r="B213">
        <v>39096431</v>
      </c>
      <c r="C213">
        <v>39097831</v>
      </c>
      <c r="D213">
        <v>36883858</v>
      </c>
      <c r="E213">
        <v>1</v>
      </c>
      <c r="F213">
        <v>1</v>
      </c>
      <c r="G213">
        <v>1</v>
      </c>
      <c r="H213">
        <v>2</v>
      </c>
      <c r="I213" t="s">
        <v>704</v>
      </c>
      <c r="J213" t="s">
        <v>705</v>
      </c>
      <c r="K213" t="s">
        <v>706</v>
      </c>
      <c r="L213">
        <v>1368</v>
      </c>
      <c r="N213">
        <v>1011</v>
      </c>
      <c r="O213" t="s">
        <v>666</v>
      </c>
      <c r="P213" t="s">
        <v>666</v>
      </c>
      <c r="Q213">
        <v>1</v>
      </c>
      <c r="W213">
        <v>0</v>
      </c>
      <c r="X213">
        <v>-353815937</v>
      </c>
      <c r="Y213">
        <v>0.06</v>
      </c>
      <c r="AA213">
        <v>0</v>
      </c>
      <c r="AB213">
        <v>54.35</v>
      </c>
      <c r="AC213">
        <v>0</v>
      </c>
      <c r="AD213">
        <v>0</v>
      </c>
      <c r="AE213">
        <v>0</v>
      </c>
      <c r="AF213">
        <v>8.1</v>
      </c>
      <c r="AG213">
        <v>0</v>
      </c>
      <c r="AH213">
        <v>0</v>
      </c>
      <c r="AI213">
        <v>1</v>
      </c>
      <c r="AJ213">
        <v>6.71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0.06</v>
      </c>
      <c r="AU213" t="s">
        <v>3</v>
      </c>
      <c r="AV213">
        <v>0</v>
      </c>
      <c r="AW213">
        <v>2</v>
      </c>
      <c r="AX213">
        <v>39488909</v>
      </c>
      <c r="AY213">
        <v>1</v>
      </c>
      <c r="AZ213">
        <v>0</v>
      </c>
      <c r="BA213">
        <v>212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Y213*Source!I168</f>
        <v>0.06</v>
      </c>
      <c r="CY213">
        <f>AB213</f>
        <v>54.35</v>
      </c>
      <c r="CZ213">
        <f>AF213</f>
        <v>8.1</v>
      </c>
      <c r="DA213">
        <f>AJ213</f>
        <v>6.71</v>
      </c>
      <c r="DB213">
        <v>0</v>
      </c>
    </row>
    <row r="214" spans="1:106" x14ac:dyDescent="0.2">
      <c r="A214">
        <f>ROW(Source!A168)</f>
        <v>168</v>
      </c>
      <c r="B214">
        <v>39096431</v>
      </c>
      <c r="C214">
        <v>39097831</v>
      </c>
      <c r="D214">
        <v>36884526</v>
      </c>
      <c r="E214">
        <v>1</v>
      </c>
      <c r="F214">
        <v>1</v>
      </c>
      <c r="G214">
        <v>1</v>
      </c>
      <c r="H214">
        <v>2</v>
      </c>
      <c r="I214" t="s">
        <v>843</v>
      </c>
      <c r="J214" t="s">
        <v>844</v>
      </c>
      <c r="K214" t="s">
        <v>845</v>
      </c>
      <c r="L214">
        <v>1368</v>
      </c>
      <c r="N214">
        <v>1011</v>
      </c>
      <c r="O214" t="s">
        <v>666</v>
      </c>
      <c r="P214" t="s">
        <v>666</v>
      </c>
      <c r="Q214">
        <v>1</v>
      </c>
      <c r="W214">
        <v>0</v>
      </c>
      <c r="X214">
        <v>-995250510</v>
      </c>
      <c r="Y214">
        <v>0.09</v>
      </c>
      <c r="AA214">
        <v>0</v>
      </c>
      <c r="AB214">
        <v>7.45</v>
      </c>
      <c r="AC214">
        <v>0</v>
      </c>
      <c r="AD214">
        <v>0</v>
      </c>
      <c r="AE214">
        <v>0</v>
      </c>
      <c r="AF214">
        <v>1.1100000000000001</v>
      </c>
      <c r="AG214">
        <v>0</v>
      </c>
      <c r="AH214">
        <v>0</v>
      </c>
      <c r="AI214">
        <v>1</v>
      </c>
      <c r="AJ214">
        <v>6.71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0.09</v>
      </c>
      <c r="AU214" t="s">
        <v>3</v>
      </c>
      <c r="AV214">
        <v>0</v>
      </c>
      <c r="AW214">
        <v>2</v>
      </c>
      <c r="AX214">
        <v>39488910</v>
      </c>
      <c r="AY214">
        <v>1</v>
      </c>
      <c r="AZ214">
        <v>0</v>
      </c>
      <c r="BA214">
        <v>213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Y214*Source!I168</f>
        <v>0.09</v>
      </c>
      <c r="CY214">
        <f>AB214</f>
        <v>7.45</v>
      </c>
      <c r="CZ214">
        <f>AF214</f>
        <v>1.1100000000000001</v>
      </c>
      <c r="DA214">
        <f>AJ214</f>
        <v>6.71</v>
      </c>
      <c r="DB214">
        <v>0</v>
      </c>
    </row>
    <row r="215" spans="1:106" x14ac:dyDescent="0.2">
      <c r="A215">
        <f>ROW(Source!A168)</f>
        <v>168</v>
      </c>
      <c r="B215">
        <v>39096431</v>
      </c>
      <c r="C215">
        <v>39097831</v>
      </c>
      <c r="D215">
        <v>36800043</v>
      </c>
      <c r="E215">
        <v>1</v>
      </c>
      <c r="F215">
        <v>1</v>
      </c>
      <c r="G215">
        <v>1</v>
      </c>
      <c r="H215">
        <v>3</v>
      </c>
      <c r="I215" t="s">
        <v>846</v>
      </c>
      <c r="J215" t="s">
        <v>847</v>
      </c>
      <c r="K215" t="s">
        <v>848</v>
      </c>
      <c r="L215">
        <v>1346</v>
      </c>
      <c r="N215">
        <v>1009</v>
      </c>
      <c r="O215" t="s">
        <v>138</v>
      </c>
      <c r="P215" t="s">
        <v>138</v>
      </c>
      <c r="Q215">
        <v>1</v>
      </c>
      <c r="W215">
        <v>0</v>
      </c>
      <c r="X215">
        <v>618806536</v>
      </c>
      <c r="Y215">
        <v>6.0000000000000001E-3</v>
      </c>
      <c r="AA215">
        <v>301.75</v>
      </c>
      <c r="AB215">
        <v>0</v>
      </c>
      <c r="AC215">
        <v>0</v>
      </c>
      <c r="AD215">
        <v>0</v>
      </c>
      <c r="AE215">
        <v>44.97</v>
      </c>
      <c r="AF215">
        <v>0</v>
      </c>
      <c r="AG215">
        <v>0</v>
      </c>
      <c r="AH215">
        <v>0</v>
      </c>
      <c r="AI215">
        <v>6.71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6.0000000000000001E-3</v>
      </c>
      <c r="AU215" t="s">
        <v>3</v>
      </c>
      <c r="AV215">
        <v>0</v>
      </c>
      <c r="AW215">
        <v>2</v>
      </c>
      <c r="AX215">
        <v>39488911</v>
      </c>
      <c r="AY215">
        <v>1</v>
      </c>
      <c r="AZ215">
        <v>0</v>
      </c>
      <c r="BA215">
        <v>214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Y215*Source!I168</f>
        <v>6.0000000000000001E-3</v>
      </c>
      <c r="CY215">
        <f t="shared" ref="CY215:CY226" si="9">AA215</f>
        <v>301.75</v>
      </c>
      <c r="CZ215">
        <f t="shared" ref="CZ215:CZ226" si="10">AE215</f>
        <v>44.97</v>
      </c>
      <c r="DA215">
        <f t="shared" ref="DA215:DA226" si="11">AI215</f>
        <v>6.71</v>
      </c>
      <c r="DB215">
        <v>0</v>
      </c>
    </row>
    <row r="216" spans="1:106" x14ac:dyDescent="0.2">
      <c r="A216">
        <f>ROW(Source!A168)</f>
        <v>168</v>
      </c>
      <c r="B216">
        <v>39096431</v>
      </c>
      <c r="C216">
        <v>39097831</v>
      </c>
      <c r="D216">
        <v>36801775</v>
      </c>
      <c r="E216">
        <v>1</v>
      </c>
      <c r="F216">
        <v>1</v>
      </c>
      <c r="G216">
        <v>1</v>
      </c>
      <c r="H216">
        <v>3</v>
      </c>
      <c r="I216" t="s">
        <v>849</v>
      </c>
      <c r="J216" t="s">
        <v>850</v>
      </c>
      <c r="K216" t="s">
        <v>851</v>
      </c>
      <c r="L216">
        <v>1346</v>
      </c>
      <c r="N216">
        <v>1009</v>
      </c>
      <c r="O216" t="s">
        <v>138</v>
      </c>
      <c r="P216" t="s">
        <v>138</v>
      </c>
      <c r="Q216">
        <v>1</v>
      </c>
      <c r="W216">
        <v>0</v>
      </c>
      <c r="X216">
        <v>56922527</v>
      </c>
      <c r="Y216">
        <v>2E-3</v>
      </c>
      <c r="AA216">
        <v>77.17</v>
      </c>
      <c r="AB216">
        <v>0</v>
      </c>
      <c r="AC216">
        <v>0</v>
      </c>
      <c r="AD216">
        <v>0</v>
      </c>
      <c r="AE216">
        <v>11.5</v>
      </c>
      <c r="AF216">
        <v>0</v>
      </c>
      <c r="AG216">
        <v>0</v>
      </c>
      <c r="AH216">
        <v>0</v>
      </c>
      <c r="AI216">
        <v>6.71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2E-3</v>
      </c>
      <c r="AU216" t="s">
        <v>3</v>
      </c>
      <c r="AV216">
        <v>0</v>
      </c>
      <c r="AW216">
        <v>2</v>
      </c>
      <c r="AX216">
        <v>39488912</v>
      </c>
      <c r="AY216">
        <v>1</v>
      </c>
      <c r="AZ216">
        <v>0</v>
      </c>
      <c r="BA216">
        <v>215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Y216*Source!I168</f>
        <v>2E-3</v>
      </c>
      <c r="CY216">
        <f t="shared" si="9"/>
        <v>77.17</v>
      </c>
      <c r="CZ216">
        <f t="shared" si="10"/>
        <v>11.5</v>
      </c>
      <c r="DA216">
        <f t="shared" si="11"/>
        <v>6.71</v>
      </c>
      <c r="DB216">
        <v>0</v>
      </c>
    </row>
    <row r="217" spans="1:106" x14ac:dyDescent="0.2">
      <c r="A217">
        <f>ROW(Source!A168)</f>
        <v>168</v>
      </c>
      <c r="B217">
        <v>39096431</v>
      </c>
      <c r="C217">
        <v>39097831</v>
      </c>
      <c r="D217">
        <v>36802094</v>
      </c>
      <c r="E217">
        <v>1</v>
      </c>
      <c r="F217">
        <v>1</v>
      </c>
      <c r="G217">
        <v>1</v>
      </c>
      <c r="H217">
        <v>3</v>
      </c>
      <c r="I217" t="s">
        <v>852</v>
      </c>
      <c r="J217" t="s">
        <v>853</v>
      </c>
      <c r="K217" t="s">
        <v>854</v>
      </c>
      <c r="L217">
        <v>1346</v>
      </c>
      <c r="N217">
        <v>1009</v>
      </c>
      <c r="O217" t="s">
        <v>138</v>
      </c>
      <c r="P217" t="s">
        <v>138</v>
      </c>
      <c r="Q217">
        <v>1</v>
      </c>
      <c r="W217">
        <v>0</v>
      </c>
      <c r="X217">
        <v>-1088866022</v>
      </c>
      <c r="Y217">
        <v>2.4E-2</v>
      </c>
      <c r="AA217">
        <v>203.98</v>
      </c>
      <c r="AB217">
        <v>0</v>
      </c>
      <c r="AC217">
        <v>0</v>
      </c>
      <c r="AD217">
        <v>0</v>
      </c>
      <c r="AE217">
        <v>30.4</v>
      </c>
      <c r="AF217">
        <v>0</v>
      </c>
      <c r="AG217">
        <v>0</v>
      </c>
      <c r="AH217">
        <v>0</v>
      </c>
      <c r="AI217">
        <v>6.71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2.4E-2</v>
      </c>
      <c r="AU217" t="s">
        <v>3</v>
      </c>
      <c r="AV217">
        <v>0</v>
      </c>
      <c r="AW217">
        <v>2</v>
      </c>
      <c r="AX217">
        <v>39488913</v>
      </c>
      <c r="AY217">
        <v>1</v>
      </c>
      <c r="AZ217">
        <v>0</v>
      </c>
      <c r="BA217">
        <v>216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Y217*Source!I168</f>
        <v>2.4E-2</v>
      </c>
      <c r="CY217">
        <f t="shared" si="9"/>
        <v>203.98</v>
      </c>
      <c r="CZ217">
        <f t="shared" si="10"/>
        <v>30.4</v>
      </c>
      <c r="DA217">
        <f t="shared" si="11"/>
        <v>6.71</v>
      </c>
      <c r="DB217">
        <v>0</v>
      </c>
    </row>
    <row r="218" spans="1:106" x14ac:dyDescent="0.2">
      <c r="A218">
        <f>ROW(Source!A168)</f>
        <v>168</v>
      </c>
      <c r="B218">
        <v>39096431</v>
      </c>
      <c r="C218">
        <v>39097831</v>
      </c>
      <c r="D218">
        <v>36803258</v>
      </c>
      <c r="E218">
        <v>1</v>
      </c>
      <c r="F218">
        <v>1</v>
      </c>
      <c r="G218">
        <v>1</v>
      </c>
      <c r="H218">
        <v>3</v>
      </c>
      <c r="I218" t="s">
        <v>855</v>
      </c>
      <c r="J218" t="s">
        <v>856</v>
      </c>
      <c r="K218" t="s">
        <v>857</v>
      </c>
      <c r="L218">
        <v>1346</v>
      </c>
      <c r="N218">
        <v>1009</v>
      </c>
      <c r="O218" t="s">
        <v>138</v>
      </c>
      <c r="P218" t="s">
        <v>138</v>
      </c>
      <c r="Q218">
        <v>1</v>
      </c>
      <c r="W218">
        <v>0</v>
      </c>
      <c r="X218">
        <v>586013393</v>
      </c>
      <c r="Y218">
        <v>7.0000000000000007E-2</v>
      </c>
      <c r="AA218">
        <v>70.92</v>
      </c>
      <c r="AB218">
        <v>0</v>
      </c>
      <c r="AC218">
        <v>0</v>
      </c>
      <c r="AD218">
        <v>0</v>
      </c>
      <c r="AE218">
        <v>10.57</v>
      </c>
      <c r="AF218">
        <v>0</v>
      </c>
      <c r="AG218">
        <v>0</v>
      </c>
      <c r="AH218">
        <v>0</v>
      </c>
      <c r="AI218">
        <v>6.71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7.0000000000000007E-2</v>
      </c>
      <c r="AU218" t="s">
        <v>3</v>
      </c>
      <c r="AV218">
        <v>0</v>
      </c>
      <c r="AW218">
        <v>2</v>
      </c>
      <c r="AX218">
        <v>39488914</v>
      </c>
      <c r="AY218">
        <v>1</v>
      </c>
      <c r="AZ218">
        <v>0</v>
      </c>
      <c r="BA218">
        <v>217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Y218*Source!I168</f>
        <v>7.0000000000000007E-2</v>
      </c>
      <c r="CY218">
        <f t="shared" si="9"/>
        <v>70.92</v>
      </c>
      <c r="CZ218">
        <f t="shared" si="10"/>
        <v>10.57</v>
      </c>
      <c r="DA218">
        <f t="shared" si="11"/>
        <v>6.71</v>
      </c>
      <c r="DB218">
        <v>0</v>
      </c>
    </row>
    <row r="219" spans="1:106" x14ac:dyDescent="0.2">
      <c r="A219">
        <f>ROW(Source!A168)</f>
        <v>168</v>
      </c>
      <c r="B219">
        <v>39096431</v>
      </c>
      <c r="C219">
        <v>39097831</v>
      </c>
      <c r="D219">
        <v>36804448</v>
      </c>
      <c r="E219">
        <v>1</v>
      </c>
      <c r="F219">
        <v>1</v>
      </c>
      <c r="G219">
        <v>1</v>
      </c>
      <c r="H219">
        <v>3</v>
      </c>
      <c r="I219" t="s">
        <v>858</v>
      </c>
      <c r="J219" t="s">
        <v>859</v>
      </c>
      <c r="K219" t="s">
        <v>860</v>
      </c>
      <c r="L219">
        <v>1346</v>
      </c>
      <c r="N219">
        <v>1009</v>
      </c>
      <c r="O219" t="s">
        <v>138</v>
      </c>
      <c r="P219" t="s">
        <v>138</v>
      </c>
      <c r="Q219">
        <v>1</v>
      </c>
      <c r="W219">
        <v>0</v>
      </c>
      <c r="X219">
        <v>103900845</v>
      </c>
      <c r="Y219">
        <v>0.14000000000000001</v>
      </c>
      <c r="AA219">
        <v>60.66</v>
      </c>
      <c r="AB219">
        <v>0</v>
      </c>
      <c r="AC219">
        <v>0</v>
      </c>
      <c r="AD219">
        <v>0</v>
      </c>
      <c r="AE219">
        <v>9.0399999999999991</v>
      </c>
      <c r="AF219">
        <v>0</v>
      </c>
      <c r="AG219">
        <v>0</v>
      </c>
      <c r="AH219">
        <v>0</v>
      </c>
      <c r="AI219">
        <v>6.71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0.14000000000000001</v>
      </c>
      <c r="AU219" t="s">
        <v>3</v>
      </c>
      <c r="AV219">
        <v>0</v>
      </c>
      <c r="AW219">
        <v>2</v>
      </c>
      <c r="AX219">
        <v>39488915</v>
      </c>
      <c r="AY219">
        <v>1</v>
      </c>
      <c r="AZ219">
        <v>0</v>
      </c>
      <c r="BA219">
        <v>218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Y219*Source!I168</f>
        <v>0.14000000000000001</v>
      </c>
      <c r="CY219">
        <f t="shared" si="9"/>
        <v>60.66</v>
      </c>
      <c r="CZ219">
        <f t="shared" si="10"/>
        <v>9.0399999999999991</v>
      </c>
      <c r="DA219">
        <f t="shared" si="11"/>
        <v>6.71</v>
      </c>
      <c r="DB219">
        <v>0</v>
      </c>
    </row>
    <row r="220" spans="1:106" x14ac:dyDescent="0.2">
      <c r="A220">
        <f>ROW(Source!A168)</f>
        <v>168</v>
      </c>
      <c r="B220">
        <v>39096431</v>
      </c>
      <c r="C220">
        <v>39097831</v>
      </c>
      <c r="D220">
        <v>36804580</v>
      </c>
      <c r="E220">
        <v>1</v>
      </c>
      <c r="F220">
        <v>1</v>
      </c>
      <c r="G220">
        <v>1</v>
      </c>
      <c r="H220">
        <v>3</v>
      </c>
      <c r="I220" t="s">
        <v>861</v>
      </c>
      <c r="J220" t="s">
        <v>862</v>
      </c>
      <c r="K220" t="s">
        <v>863</v>
      </c>
      <c r="L220">
        <v>1355</v>
      </c>
      <c r="N220">
        <v>1010</v>
      </c>
      <c r="O220" t="s">
        <v>161</v>
      </c>
      <c r="P220" t="s">
        <v>161</v>
      </c>
      <c r="Q220">
        <v>100</v>
      </c>
      <c r="W220">
        <v>0</v>
      </c>
      <c r="X220">
        <v>1794244060</v>
      </c>
      <c r="Y220">
        <v>7.0000000000000001E-3</v>
      </c>
      <c r="AA220">
        <v>577.05999999999995</v>
      </c>
      <c r="AB220">
        <v>0</v>
      </c>
      <c r="AC220">
        <v>0</v>
      </c>
      <c r="AD220">
        <v>0</v>
      </c>
      <c r="AE220">
        <v>86</v>
      </c>
      <c r="AF220">
        <v>0</v>
      </c>
      <c r="AG220">
        <v>0</v>
      </c>
      <c r="AH220">
        <v>0</v>
      </c>
      <c r="AI220">
        <v>6.71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7.0000000000000001E-3</v>
      </c>
      <c r="AU220" t="s">
        <v>3</v>
      </c>
      <c r="AV220">
        <v>0</v>
      </c>
      <c r="AW220">
        <v>2</v>
      </c>
      <c r="AX220">
        <v>39488916</v>
      </c>
      <c r="AY220">
        <v>1</v>
      </c>
      <c r="AZ220">
        <v>0</v>
      </c>
      <c r="BA220">
        <v>219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Y220*Source!I168</f>
        <v>7.0000000000000001E-3</v>
      </c>
      <c r="CY220">
        <f t="shared" si="9"/>
        <v>577.05999999999995</v>
      </c>
      <c r="CZ220">
        <f t="shared" si="10"/>
        <v>86</v>
      </c>
      <c r="DA220">
        <f t="shared" si="11"/>
        <v>6.71</v>
      </c>
      <c r="DB220">
        <v>0</v>
      </c>
    </row>
    <row r="221" spans="1:106" x14ac:dyDescent="0.2">
      <c r="A221">
        <f>ROW(Source!A168)</f>
        <v>168</v>
      </c>
      <c r="B221">
        <v>39096431</v>
      </c>
      <c r="C221">
        <v>39097831</v>
      </c>
      <c r="D221">
        <v>36805500</v>
      </c>
      <c r="E221">
        <v>1</v>
      </c>
      <c r="F221">
        <v>1</v>
      </c>
      <c r="G221">
        <v>1</v>
      </c>
      <c r="H221">
        <v>3</v>
      </c>
      <c r="I221" t="s">
        <v>864</v>
      </c>
      <c r="J221" t="s">
        <v>865</v>
      </c>
      <c r="K221" t="s">
        <v>866</v>
      </c>
      <c r="L221">
        <v>1346</v>
      </c>
      <c r="N221">
        <v>1009</v>
      </c>
      <c r="O221" t="s">
        <v>138</v>
      </c>
      <c r="P221" t="s">
        <v>138</v>
      </c>
      <c r="Q221">
        <v>1</v>
      </c>
      <c r="W221">
        <v>0</v>
      </c>
      <c r="X221">
        <v>-856710481</v>
      </c>
      <c r="Y221">
        <v>2E-3</v>
      </c>
      <c r="AA221">
        <v>892.77</v>
      </c>
      <c r="AB221">
        <v>0</v>
      </c>
      <c r="AC221">
        <v>0</v>
      </c>
      <c r="AD221">
        <v>0</v>
      </c>
      <c r="AE221">
        <v>133.05000000000001</v>
      </c>
      <c r="AF221">
        <v>0</v>
      </c>
      <c r="AG221">
        <v>0</v>
      </c>
      <c r="AH221">
        <v>0</v>
      </c>
      <c r="AI221">
        <v>6.71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2E-3</v>
      </c>
      <c r="AU221" t="s">
        <v>3</v>
      </c>
      <c r="AV221">
        <v>0</v>
      </c>
      <c r="AW221">
        <v>2</v>
      </c>
      <c r="AX221">
        <v>39488917</v>
      </c>
      <c r="AY221">
        <v>1</v>
      </c>
      <c r="AZ221">
        <v>0</v>
      </c>
      <c r="BA221">
        <v>220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Y221*Source!I168</f>
        <v>2E-3</v>
      </c>
      <c r="CY221">
        <f t="shared" si="9"/>
        <v>892.77</v>
      </c>
      <c r="CZ221">
        <f t="shared" si="10"/>
        <v>133.05000000000001</v>
      </c>
      <c r="DA221">
        <f t="shared" si="11"/>
        <v>6.71</v>
      </c>
      <c r="DB221">
        <v>0</v>
      </c>
    </row>
    <row r="222" spans="1:106" x14ac:dyDescent="0.2">
      <c r="A222">
        <f>ROW(Source!A168)</f>
        <v>168</v>
      </c>
      <c r="B222">
        <v>39096431</v>
      </c>
      <c r="C222">
        <v>39097831</v>
      </c>
      <c r="D222">
        <v>36823140</v>
      </c>
      <c r="E222">
        <v>1</v>
      </c>
      <c r="F222">
        <v>1</v>
      </c>
      <c r="G222">
        <v>1</v>
      </c>
      <c r="H222">
        <v>3</v>
      </c>
      <c r="I222" t="s">
        <v>867</v>
      </c>
      <c r="J222" t="s">
        <v>868</v>
      </c>
      <c r="K222" t="s">
        <v>869</v>
      </c>
      <c r="L222">
        <v>1348</v>
      </c>
      <c r="N222">
        <v>1009</v>
      </c>
      <c r="O222" t="s">
        <v>110</v>
      </c>
      <c r="P222" t="s">
        <v>110</v>
      </c>
      <c r="Q222">
        <v>1000</v>
      </c>
      <c r="W222">
        <v>0</v>
      </c>
      <c r="X222">
        <v>426000481</v>
      </c>
      <c r="Y222">
        <v>3.0000000000000001E-3</v>
      </c>
      <c r="AA222">
        <v>77165</v>
      </c>
      <c r="AB222">
        <v>0</v>
      </c>
      <c r="AC222">
        <v>0</v>
      </c>
      <c r="AD222">
        <v>0</v>
      </c>
      <c r="AE222">
        <v>11500</v>
      </c>
      <c r="AF222">
        <v>0</v>
      </c>
      <c r="AG222">
        <v>0</v>
      </c>
      <c r="AH222">
        <v>0</v>
      </c>
      <c r="AI222">
        <v>6.71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3.0000000000000001E-3</v>
      </c>
      <c r="AU222" t="s">
        <v>3</v>
      </c>
      <c r="AV222">
        <v>0</v>
      </c>
      <c r="AW222">
        <v>2</v>
      </c>
      <c r="AX222">
        <v>39488918</v>
      </c>
      <c r="AY222">
        <v>1</v>
      </c>
      <c r="AZ222">
        <v>0</v>
      </c>
      <c r="BA222">
        <v>221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Y222*Source!I168</f>
        <v>3.0000000000000001E-3</v>
      </c>
      <c r="CY222">
        <f t="shared" si="9"/>
        <v>77165</v>
      </c>
      <c r="CZ222">
        <f t="shared" si="10"/>
        <v>11500</v>
      </c>
      <c r="DA222">
        <f t="shared" si="11"/>
        <v>6.71</v>
      </c>
      <c r="DB222">
        <v>0</v>
      </c>
    </row>
    <row r="223" spans="1:106" x14ac:dyDescent="0.2">
      <c r="A223">
        <f>ROW(Source!A168)</f>
        <v>168</v>
      </c>
      <c r="B223">
        <v>39096431</v>
      </c>
      <c r="C223">
        <v>39097831</v>
      </c>
      <c r="D223">
        <v>36838317</v>
      </c>
      <c r="E223">
        <v>1</v>
      </c>
      <c r="F223">
        <v>1</v>
      </c>
      <c r="G223">
        <v>1</v>
      </c>
      <c r="H223">
        <v>3</v>
      </c>
      <c r="I223" t="s">
        <v>870</v>
      </c>
      <c r="J223" t="s">
        <v>871</v>
      </c>
      <c r="K223" t="s">
        <v>872</v>
      </c>
      <c r="L223">
        <v>1346</v>
      </c>
      <c r="N223">
        <v>1009</v>
      </c>
      <c r="O223" t="s">
        <v>138</v>
      </c>
      <c r="P223" t="s">
        <v>138</v>
      </c>
      <c r="Q223">
        <v>1</v>
      </c>
      <c r="W223">
        <v>0</v>
      </c>
      <c r="X223">
        <v>210558753</v>
      </c>
      <c r="Y223">
        <v>1.7999999999999999E-2</v>
      </c>
      <c r="AA223">
        <v>191.91</v>
      </c>
      <c r="AB223">
        <v>0</v>
      </c>
      <c r="AC223">
        <v>0</v>
      </c>
      <c r="AD223">
        <v>0</v>
      </c>
      <c r="AE223">
        <v>28.6</v>
      </c>
      <c r="AF223">
        <v>0</v>
      </c>
      <c r="AG223">
        <v>0</v>
      </c>
      <c r="AH223">
        <v>0</v>
      </c>
      <c r="AI223">
        <v>6.71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1.7999999999999999E-2</v>
      </c>
      <c r="AU223" t="s">
        <v>3</v>
      </c>
      <c r="AV223">
        <v>0</v>
      </c>
      <c r="AW223">
        <v>2</v>
      </c>
      <c r="AX223">
        <v>39488919</v>
      </c>
      <c r="AY223">
        <v>1</v>
      </c>
      <c r="AZ223">
        <v>0</v>
      </c>
      <c r="BA223">
        <v>222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Y223*Source!I168</f>
        <v>1.7999999999999999E-2</v>
      </c>
      <c r="CY223">
        <f t="shared" si="9"/>
        <v>191.91</v>
      </c>
      <c r="CZ223">
        <f t="shared" si="10"/>
        <v>28.6</v>
      </c>
      <c r="DA223">
        <f t="shared" si="11"/>
        <v>6.71</v>
      </c>
      <c r="DB223">
        <v>0</v>
      </c>
    </row>
    <row r="224" spans="1:106" x14ac:dyDescent="0.2">
      <c r="A224">
        <f>ROW(Source!A168)</f>
        <v>168</v>
      </c>
      <c r="B224">
        <v>39096431</v>
      </c>
      <c r="C224">
        <v>39097831</v>
      </c>
      <c r="D224">
        <v>36838470</v>
      </c>
      <c r="E224">
        <v>1</v>
      </c>
      <c r="F224">
        <v>1</v>
      </c>
      <c r="G224">
        <v>1</v>
      </c>
      <c r="H224">
        <v>3</v>
      </c>
      <c r="I224" t="s">
        <v>873</v>
      </c>
      <c r="J224" t="s">
        <v>874</v>
      </c>
      <c r="K224" t="s">
        <v>875</v>
      </c>
      <c r="L224">
        <v>1346</v>
      </c>
      <c r="N224">
        <v>1009</v>
      </c>
      <c r="O224" t="s">
        <v>138</v>
      </c>
      <c r="P224" t="s">
        <v>138</v>
      </c>
      <c r="Q224">
        <v>1</v>
      </c>
      <c r="W224">
        <v>0</v>
      </c>
      <c r="X224">
        <v>-1274984028</v>
      </c>
      <c r="Y224">
        <v>8.9999999999999993E-3</v>
      </c>
      <c r="AA224">
        <v>239.08</v>
      </c>
      <c r="AB224">
        <v>0</v>
      </c>
      <c r="AC224">
        <v>0</v>
      </c>
      <c r="AD224">
        <v>0</v>
      </c>
      <c r="AE224">
        <v>35.630000000000003</v>
      </c>
      <c r="AF224">
        <v>0</v>
      </c>
      <c r="AG224">
        <v>0</v>
      </c>
      <c r="AH224">
        <v>0</v>
      </c>
      <c r="AI224">
        <v>6.71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8.9999999999999993E-3</v>
      </c>
      <c r="AU224" t="s">
        <v>3</v>
      </c>
      <c r="AV224">
        <v>0</v>
      </c>
      <c r="AW224">
        <v>2</v>
      </c>
      <c r="AX224">
        <v>39488920</v>
      </c>
      <c r="AY224">
        <v>1</v>
      </c>
      <c r="AZ224">
        <v>0</v>
      </c>
      <c r="BA224">
        <v>223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Y224*Source!I168</f>
        <v>8.9999999999999993E-3</v>
      </c>
      <c r="CY224">
        <f t="shared" si="9"/>
        <v>239.08</v>
      </c>
      <c r="CZ224">
        <f t="shared" si="10"/>
        <v>35.630000000000003</v>
      </c>
      <c r="DA224">
        <f t="shared" si="11"/>
        <v>6.71</v>
      </c>
      <c r="DB224">
        <v>0</v>
      </c>
    </row>
    <row r="225" spans="1:106" x14ac:dyDescent="0.2">
      <c r="A225">
        <f>ROW(Source!A168)</f>
        <v>168</v>
      </c>
      <c r="B225">
        <v>39096431</v>
      </c>
      <c r="C225">
        <v>39097831</v>
      </c>
      <c r="D225">
        <v>36851945</v>
      </c>
      <c r="E225">
        <v>1</v>
      </c>
      <c r="F225">
        <v>1</v>
      </c>
      <c r="G225">
        <v>1</v>
      </c>
      <c r="H225">
        <v>3</v>
      </c>
      <c r="I225" t="s">
        <v>876</v>
      </c>
      <c r="J225" t="s">
        <v>877</v>
      </c>
      <c r="K225" t="s">
        <v>878</v>
      </c>
      <c r="L225">
        <v>1358</v>
      </c>
      <c r="N225">
        <v>1010</v>
      </c>
      <c r="O225" t="s">
        <v>436</v>
      </c>
      <c r="P225" t="s">
        <v>436</v>
      </c>
      <c r="Q225">
        <v>10</v>
      </c>
      <c r="W225">
        <v>0</v>
      </c>
      <c r="X225">
        <v>1386890308</v>
      </c>
      <c r="Y225">
        <v>0.1</v>
      </c>
      <c r="AA225">
        <v>261.69</v>
      </c>
      <c r="AB225">
        <v>0</v>
      </c>
      <c r="AC225">
        <v>0</v>
      </c>
      <c r="AD225">
        <v>0</v>
      </c>
      <c r="AE225">
        <v>39</v>
      </c>
      <c r="AF225">
        <v>0</v>
      </c>
      <c r="AG225">
        <v>0</v>
      </c>
      <c r="AH225">
        <v>0</v>
      </c>
      <c r="AI225">
        <v>6.71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0.1</v>
      </c>
      <c r="AU225" t="s">
        <v>3</v>
      </c>
      <c r="AV225">
        <v>0</v>
      </c>
      <c r="AW225">
        <v>2</v>
      </c>
      <c r="AX225">
        <v>39488921</v>
      </c>
      <c r="AY225">
        <v>1</v>
      </c>
      <c r="AZ225">
        <v>0</v>
      </c>
      <c r="BA225">
        <v>224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Y225*Source!I168</f>
        <v>0.1</v>
      </c>
      <c r="CY225">
        <f t="shared" si="9"/>
        <v>261.69</v>
      </c>
      <c r="CZ225">
        <f t="shared" si="10"/>
        <v>39</v>
      </c>
      <c r="DA225">
        <f t="shared" si="11"/>
        <v>6.71</v>
      </c>
      <c r="DB225">
        <v>0</v>
      </c>
    </row>
    <row r="226" spans="1:106" x14ac:dyDescent="0.2">
      <c r="A226">
        <f>ROW(Source!A168)</f>
        <v>168</v>
      </c>
      <c r="B226">
        <v>39096431</v>
      </c>
      <c r="C226">
        <v>39097831</v>
      </c>
      <c r="D226">
        <v>36799065</v>
      </c>
      <c r="E226">
        <v>17</v>
      </c>
      <c r="F226">
        <v>1</v>
      </c>
      <c r="G226">
        <v>1</v>
      </c>
      <c r="H226">
        <v>3</v>
      </c>
      <c r="I226" t="s">
        <v>835</v>
      </c>
      <c r="J226" t="s">
        <v>3</v>
      </c>
      <c r="K226" t="s">
        <v>836</v>
      </c>
      <c r="L226">
        <v>1374</v>
      </c>
      <c r="N226">
        <v>1013</v>
      </c>
      <c r="O226" t="s">
        <v>837</v>
      </c>
      <c r="P226" t="s">
        <v>837</v>
      </c>
      <c r="Q226">
        <v>1</v>
      </c>
      <c r="W226">
        <v>0</v>
      </c>
      <c r="X226">
        <v>-1731369543</v>
      </c>
      <c r="Y226">
        <v>0.43</v>
      </c>
      <c r="AA226">
        <v>1</v>
      </c>
      <c r="AB226">
        <v>0</v>
      </c>
      <c r="AC226">
        <v>0</v>
      </c>
      <c r="AD226">
        <v>0</v>
      </c>
      <c r="AE226">
        <v>1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0.43</v>
      </c>
      <c r="AU226" t="s">
        <v>3</v>
      </c>
      <c r="AV226">
        <v>0</v>
      </c>
      <c r="AW226">
        <v>2</v>
      </c>
      <c r="AX226">
        <v>39488922</v>
      </c>
      <c r="AY226">
        <v>1</v>
      </c>
      <c r="AZ226">
        <v>0</v>
      </c>
      <c r="BA226">
        <v>225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Y226*Source!I168</f>
        <v>0.43</v>
      </c>
      <c r="CY226">
        <f t="shared" si="9"/>
        <v>1</v>
      </c>
      <c r="CZ226">
        <f t="shared" si="10"/>
        <v>1</v>
      </c>
      <c r="DA226">
        <f t="shared" si="11"/>
        <v>1</v>
      </c>
      <c r="DB226">
        <v>0</v>
      </c>
    </row>
    <row r="227" spans="1:106" x14ac:dyDescent="0.2">
      <c r="A227">
        <f>ROW(Source!A170)</f>
        <v>170</v>
      </c>
      <c r="B227">
        <v>39096431</v>
      </c>
      <c r="C227">
        <v>39096775</v>
      </c>
      <c r="D227">
        <v>37064998</v>
      </c>
      <c r="E227">
        <v>1</v>
      </c>
      <c r="F227">
        <v>1</v>
      </c>
      <c r="G227">
        <v>1</v>
      </c>
      <c r="H227">
        <v>1</v>
      </c>
      <c r="I227" t="s">
        <v>667</v>
      </c>
      <c r="J227" t="s">
        <v>3</v>
      </c>
      <c r="K227" t="s">
        <v>668</v>
      </c>
      <c r="L227">
        <v>1191</v>
      </c>
      <c r="N227">
        <v>1013</v>
      </c>
      <c r="O227" t="s">
        <v>660</v>
      </c>
      <c r="P227" t="s">
        <v>660</v>
      </c>
      <c r="Q227">
        <v>1</v>
      </c>
      <c r="W227">
        <v>0</v>
      </c>
      <c r="X227">
        <v>735429535</v>
      </c>
      <c r="Y227">
        <v>85.5</v>
      </c>
      <c r="AA227">
        <v>0</v>
      </c>
      <c r="AB227">
        <v>0</v>
      </c>
      <c r="AC227">
        <v>0</v>
      </c>
      <c r="AD227">
        <v>52.34</v>
      </c>
      <c r="AE227">
        <v>0</v>
      </c>
      <c r="AF227">
        <v>0</v>
      </c>
      <c r="AG227">
        <v>0</v>
      </c>
      <c r="AH227">
        <v>7.8</v>
      </c>
      <c r="AI227">
        <v>1</v>
      </c>
      <c r="AJ227">
        <v>1</v>
      </c>
      <c r="AK227">
        <v>1</v>
      </c>
      <c r="AL227">
        <v>6.71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85.5</v>
      </c>
      <c r="AU227" t="s">
        <v>3</v>
      </c>
      <c r="AV227">
        <v>1</v>
      </c>
      <c r="AW227">
        <v>2</v>
      </c>
      <c r="AX227">
        <v>39096777</v>
      </c>
      <c r="AY227">
        <v>1</v>
      </c>
      <c r="AZ227">
        <v>0</v>
      </c>
      <c r="BA227">
        <v>226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Y227*Source!I170</f>
        <v>11.97</v>
      </c>
      <c r="CY227">
        <f>AD227</f>
        <v>52.34</v>
      </c>
      <c r="CZ227">
        <f>AH227</f>
        <v>7.8</v>
      </c>
      <c r="DA227">
        <f>AL227</f>
        <v>6.71</v>
      </c>
      <c r="DB227">
        <v>0</v>
      </c>
    </row>
    <row r="228" spans="1:106" x14ac:dyDescent="0.2">
      <c r="A228">
        <f>ROW(Source!A171)</f>
        <v>171</v>
      </c>
      <c r="B228">
        <v>39096431</v>
      </c>
      <c r="C228">
        <v>39490106</v>
      </c>
      <c r="D228">
        <v>37064878</v>
      </c>
      <c r="E228">
        <v>1</v>
      </c>
      <c r="F228">
        <v>1</v>
      </c>
      <c r="G228">
        <v>1</v>
      </c>
      <c r="H228">
        <v>1</v>
      </c>
      <c r="I228" t="s">
        <v>744</v>
      </c>
      <c r="J228" t="s">
        <v>3</v>
      </c>
      <c r="K228" t="s">
        <v>745</v>
      </c>
      <c r="L228">
        <v>1191</v>
      </c>
      <c r="N228">
        <v>1013</v>
      </c>
      <c r="O228" t="s">
        <v>660</v>
      </c>
      <c r="P228" t="s">
        <v>660</v>
      </c>
      <c r="Q228">
        <v>1</v>
      </c>
      <c r="W228">
        <v>0</v>
      </c>
      <c r="X228">
        <v>-1081351934</v>
      </c>
      <c r="Y228">
        <v>15.28</v>
      </c>
      <c r="AA228">
        <v>0</v>
      </c>
      <c r="AB228">
        <v>0</v>
      </c>
      <c r="AC228">
        <v>0</v>
      </c>
      <c r="AD228">
        <v>63.07</v>
      </c>
      <c r="AE228">
        <v>0</v>
      </c>
      <c r="AF228">
        <v>0</v>
      </c>
      <c r="AG228">
        <v>0</v>
      </c>
      <c r="AH228">
        <v>9.4</v>
      </c>
      <c r="AI228">
        <v>1</v>
      </c>
      <c r="AJ228">
        <v>1</v>
      </c>
      <c r="AK228">
        <v>1</v>
      </c>
      <c r="AL228">
        <v>6.71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15.28</v>
      </c>
      <c r="AU228" t="s">
        <v>3</v>
      </c>
      <c r="AV228">
        <v>1</v>
      </c>
      <c r="AW228">
        <v>2</v>
      </c>
      <c r="AX228">
        <v>39490107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Y228*Source!I171</f>
        <v>1.4974400000000001</v>
      </c>
      <c r="CY228">
        <f>AD228</f>
        <v>63.07</v>
      </c>
      <c r="CZ228">
        <f>AH228</f>
        <v>9.4</v>
      </c>
      <c r="DA228">
        <f>AL228</f>
        <v>6.71</v>
      </c>
      <c r="DB228">
        <v>0</v>
      </c>
    </row>
    <row r="229" spans="1:106" x14ac:dyDescent="0.2">
      <c r="A229">
        <f>ROW(Source!A171)</f>
        <v>171</v>
      </c>
      <c r="B229">
        <v>39096431</v>
      </c>
      <c r="C229">
        <v>39490106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661</v>
      </c>
      <c r="J229" t="s">
        <v>3</v>
      </c>
      <c r="K229" t="s">
        <v>662</v>
      </c>
      <c r="L229">
        <v>1191</v>
      </c>
      <c r="N229">
        <v>1013</v>
      </c>
      <c r="O229" t="s">
        <v>660</v>
      </c>
      <c r="P229" t="s">
        <v>660</v>
      </c>
      <c r="Q229">
        <v>1</v>
      </c>
      <c r="W229">
        <v>0</v>
      </c>
      <c r="X229">
        <v>-1417349443</v>
      </c>
      <c r="Y229">
        <v>0.22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6.71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0.22</v>
      </c>
      <c r="AU229" t="s">
        <v>3</v>
      </c>
      <c r="AV229">
        <v>2</v>
      </c>
      <c r="AW229">
        <v>2</v>
      </c>
      <c r="AX229">
        <v>39490108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Y229*Source!I171</f>
        <v>2.1559999999999999E-2</v>
      </c>
      <c r="CY229">
        <f>AD229</f>
        <v>0</v>
      </c>
      <c r="CZ229">
        <f>AH229</f>
        <v>0</v>
      </c>
      <c r="DA229">
        <f>AL229</f>
        <v>1</v>
      </c>
      <c r="DB229">
        <v>0</v>
      </c>
    </row>
    <row r="230" spans="1:106" x14ac:dyDescent="0.2">
      <c r="A230">
        <f>ROW(Source!A171)</f>
        <v>171</v>
      </c>
      <c r="B230">
        <v>39096431</v>
      </c>
      <c r="C230">
        <v>39490106</v>
      </c>
      <c r="D230">
        <v>36882159</v>
      </c>
      <c r="E230">
        <v>1</v>
      </c>
      <c r="F230">
        <v>1</v>
      </c>
      <c r="G230">
        <v>1</v>
      </c>
      <c r="H230">
        <v>2</v>
      </c>
      <c r="I230" t="s">
        <v>802</v>
      </c>
      <c r="J230" t="s">
        <v>803</v>
      </c>
      <c r="K230" t="s">
        <v>804</v>
      </c>
      <c r="L230">
        <v>1368</v>
      </c>
      <c r="N230">
        <v>1011</v>
      </c>
      <c r="O230" t="s">
        <v>666</v>
      </c>
      <c r="P230" t="s">
        <v>666</v>
      </c>
      <c r="Q230">
        <v>1</v>
      </c>
      <c r="W230">
        <v>0</v>
      </c>
      <c r="X230">
        <v>-1718674368</v>
      </c>
      <c r="Y230">
        <v>0.11</v>
      </c>
      <c r="AA230">
        <v>0</v>
      </c>
      <c r="AB230">
        <v>751.45</v>
      </c>
      <c r="AC230">
        <v>13.5</v>
      </c>
      <c r="AD230">
        <v>0</v>
      </c>
      <c r="AE230">
        <v>0</v>
      </c>
      <c r="AF230">
        <v>111.99</v>
      </c>
      <c r="AG230">
        <v>13.5</v>
      </c>
      <c r="AH230">
        <v>0</v>
      </c>
      <c r="AI230">
        <v>1</v>
      </c>
      <c r="AJ230">
        <v>6.71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0.11</v>
      </c>
      <c r="AU230" t="s">
        <v>3</v>
      </c>
      <c r="AV230">
        <v>0</v>
      </c>
      <c r="AW230">
        <v>2</v>
      </c>
      <c r="AX230">
        <v>39490109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Y230*Source!I171</f>
        <v>1.078E-2</v>
      </c>
      <c r="CY230">
        <f>AB230</f>
        <v>751.45</v>
      </c>
      <c r="CZ230">
        <f>AF230</f>
        <v>111.99</v>
      </c>
      <c r="DA230">
        <f>AJ230</f>
        <v>6.71</v>
      </c>
      <c r="DB230">
        <v>0</v>
      </c>
    </row>
    <row r="231" spans="1:106" x14ac:dyDescent="0.2">
      <c r="A231">
        <f>ROW(Source!A171)</f>
        <v>171</v>
      </c>
      <c r="B231">
        <v>39096431</v>
      </c>
      <c r="C231">
        <v>39490106</v>
      </c>
      <c r="D231">
        <v>36883554</v>
      </c>
      <c r="E231">
        <v>1</v>
      </c>
      <c r="F231">
        <v>1</v>
      </c>
      <c r="G231">
        <v>1</v>
      </c>
      <c r="H231">
        <v>2</v>
      </c>
      <c r="I231" t="s">
        <v>679</v>
      </c>
      <c r="J231" t="s">
        <v>680</v>
      </c>
      <c r="K231" t="s">
        <v>681</v>
      </c>
      <c r="L231">
        <v>1368</v>
      </c>
      <c r="N231">
        <v>1011</v>
      </c>
      <c r="O231" t="s">
        <v>666</v>
      </c>
      <c r="P231" t="s">
        <v>666</v>
      </c>
      <c r="Q231">
        <v>1</v>
      </c>
      <c r="W231">
        <v>0</v>
      </c>
      <c r="X231">
        <v>1372534845</v>
      </c>
      <c r="Y231">
        <v>0.11</v>
      </c>
      <c r="AA231">
        <v>0</v>
      </c>
      <c r="AB231">
        <v>440.91</v>
      </c>
      <c r="AC231">
        <v>11.6</v>
      </c>
      <c r="AD231">
        <v>0</v>
      </c>
      <c r="AE231">
        <v>0</v>
      </c>
      <c r="AF231">
        <v>65.709999999999994</v>
      </c>
      <c r="AG231">
        <v>11.6</v>
      </c>
      <c r="AH231">
        <v>0</v>
      </c>
      <c r="AI231">
        <v>1</v>
      </c>
      <c r="AJ231">
        <v>6.71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0.11</v>
      </c>
      <c r="AU231" t="s">
        <v>3</v>
      </c>
      <c r="AV231">
        <v>0</v>
      </c>
      <c r="AW231">
        <v>2</v>
      </c>
      <c r="AX231">
        <v>39490110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Y231*Source!I171</f>
        <v>1.078E-2</v>
      </c>
      <c r="CY231">
        <f>AB231</f>
        <v>440.91</v>
      </c>
      <c r="CZ231">
        <f>AF231</f>
        <v>65.709999999999994</v>
      </c>
      <c r="DA231">
        <f>AJ231</f>
        <v>6.71</v>
      </c>
      <c r="DB231">
        <v>0</v>
      </c>
    </row>
    <row r="232" spans="1:106" x14ac:dyDescent="0.2">
      <c r="A232">
        <f>ROW(Source!A171)</f>
        <v>171</v>
      </c>
      <c r="B232">
        <v>39096431</v>
      </c>
      <c r="C232">
        <v>39490106</v>
      </c>
      <c r="D232">
        <v>36807344</v>
      </c>
      <c r="E232">
        <v>1</v>
      </c>
      <c r="F232">
        <v>1</v>
      </c>
      <c r="G232">
        <v>1</v>
      </c>
      <c r="H232">
        <v>3</v>
      </c>
      <c r="I232" t="s">
        <v>879</v>
      </c>
      <c r="J232" t="s">
        <v>880</v>
      </c>
      <c r="K232" t="s">
        <v>881</v>
      </c>
      <c r="L232">
        <v>1339</v>
      </c>
      <c r="N232">
        <v>1007</v>
      </c>
      <c r="O232" t="s">
        <v>106</v>
      </c>
      <c r="P232" t="s">
        <v>106</v>
      </c>
      <c r="Q232">
        <v>1</v>
      </c>
      <c r="W232">
        <v>0</v>
      </c>
      <c r="X232">
        <v>536744769</v>
      </c>
      <c r="Y232">
        <v>2.1000000000000001E-2</v>
      </c>
      <c r="AA232">
        <v>4026</v>
      </c>
      <c r="AB232">
        <v>0</v>
      </c>
      <c r="AC232">
        <v>0</v>
      </c>
      <c r="AD232">
        <v>0</v>
      </c>
      <c r="AE232">
        <v>600</v>
      </c>
      <c r="AF232">
        <v>0</v>
      </c>
      <c r="AG232">
        <v>0</v>
      </c>
      <c r="AH232">
        <v>0</v>
      </c>
      <c r="AI232">
        <v>6.71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2.1000000000000001E-2</v>
      </c>
      <c r="AU232" t="s">
        <v>3</v>
      </c>
      <c r="AV232">
        <v>0</v>
      </c>
      <c r="AW232">
        <v>2</v>
      </c>
      <c r="AX232">
        <v>39490111</v>
      </c>
      <c r="AY232">
        <v>1</v>
      </c>
      <c r="AZ232">
        <v>0</v>
      </c>
      <c r="BA232">
        <v>232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Y232*Source!I171</f>
        <v>2.0580000000000004E-3</v>
      </c>
      <c r="CY232">
        <f t="shared" ref="CY232:CY238" si="12">AA232</f>
        <v>4026</v>
      </c>
      <c r="CZ232">
        <f t="shared" ref="CZ232:CZ238" si="13">AE232</f>
        <v>600</v>
      </c>
      <c r="DA232">
        <f t="shared" ref="DA232:DA238" si="14">AI232</f>
        <v>6.71</v>
      </c>
      <c r="DB232">
        <v>0</v>
      </c>
    </row>
    <row r="233" spans="1:106" x14ac:dyDescent="0.2">
      <c r="A233">
        <f>ROW(Source!A171)</f>
        <v>171</v>
      </c>
      <c r="B233">
        <v>39096431</v>
      </c>
      <c r="C233">
        <v>39490106</v>
      </c>
      <c r="D233">
        <v>36836935</v>
      </c>
      <c r="E233">
        <v>1</v>
      </c>
      <c r="F233">
        <v>1</v>
      </c>
      <c r="G233">
        <v>1</v>
      </c>
      <c r="H233">
        <v>3</v>
      </c>
      <c r="I233" t="s">
        <v>882</v>
      </c>
      <c r="J233" t="s">
        <v>883</v>
      </c>
      <c r="K233" t="s">
        <v>884</v>
      </c>
      <c r="L233">
        <v>1346</v>
      </c>
      <c r="N233">
        <v>1009</v>
      </c>
      <c r="O233" t="s">
        <v>138</v>
      </c>
      <c r="P233" t="s">
        <v>138</v>
      </c>
      <c r="Q233">
        <v>1</v>
      </c>
      <c r="W233">
        <v>0</v>
      </c>
      <c r="X233">
        <v>505519491</v>
      </c>
      <c r="Y233">
        <v>0.4</v>
      </c>
      <c r="AA233">
        <v>173.12</v>
      </c>
      <c r="AB233">
        <v>0</v>
      </c>
      <c r="AC233">
        <v>0</v>
      </c>
      <c r="AD233">
        <v>0</v>
      </c>
      <c r="AE233">
        <v>25.8</v>
      </c>
      <c r="AF233">
        <v>0</v>
      </c>
      <c r="AG233">
        <v>0</v>
      </c>
      <c r="AH233">
        <v>0</v>
      </c>
      <c r="AI233">
        <v>6.71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0.4</v>
      </c>
      <c r="AU233" t="s">
        <v>3</v>
      </c>
      <c r="AV233">
        <v>0</v>
      </c>
      <c r="AW233">
        <v>2</v>
      </c>
      <c r="AX233">
        <v>39490112</v>
      </c>
      <c r="AY233">
        <v>1</v>
      </c>
      <c r="AZ233">
        <v>0</v>
      </c>
      <c r="BA233">
        <v>233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Y233*Source!I171</f>
        <v>3.9200000000000006E-2</v>
      </c>
      <c r="CY233">
        <f t="shared" si="12"/>
        <v>173.12</v>
      </c>
      <c r="CZ233">
        <f t="shared" si="13"/>
        <v>25.8</v>
      </c>
      <c r="DA233">
        <f t="shared" si="14"/>
        <v>6.71</v>
      </c>
      <c r="DB233">
        <v>0</v>
      </c>
    </row>
    <row r="234" spans="1:106" x14ac:dyDescent="0.2">
      <c r="A234">
        <f>ROW(Source!A171)</f>
        <v>171</v>
      </c>
      <c r="B234">
        <v>39096431</v>
      </c>
      <c r="C234">
        <v>39490106</v>
      </c>
      <c r="D234">
        <v>36852067</v>
      </c>
      <c r="E234">
        <v>1</v>
      </c>
      <c r="F234">
        <v>1</v>
      </c>
      <c r="G234">
        <v>1</v>
      </c>
      <c r="H234">
        <v>3</v>
      </c>
      <c r="I234" t="s">
        <v>885</v>
      </c>
      <c r="J234" t="s">
        <v>886</v>
      </c>
      <c r="K234" t="s">
        <v>887</v>
      </c>
      <c r="L234">
        <v>1356</v>
      </c>
      <c r="N234">
        <v>1010</v>
      </c>
      <c r="O234" t="s">
        <v>741</v>
      </c>
      <c r="P234" t="s">
        <v>741</v>
      </c>
      <c r="Q234">
        <v>1000</v>
      </c>
      <c r="W234">
        <v>0</v>
      </c>
      <c r="X234">
        <v>40709342</v>
      </c>
      <c r="Y234">
        <v>3.2000000000000001E-2</v>
      </c>
      <c r="AA234">
        <v>1811.7</v>
      </c>
      <c r="AB234">
        <v>0</v>
      </c>
      <c r="AC234">
        <v>0</v>
      </c>
      <c r="AD234">
        <v>0</v>
      </c>
      <c r="AE234">
        <v>270</v>
      </c>
      <c r="AF234">
        <v>0</v>
      </c>
      <c r="AG234">
        <v>0</v>
      </c>
      <c r="AH234">
        <v>0</v>
      </c>
      <c r="AI234">
        <v>6.71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3.2000000000000001E-2</v>
      </c>
      <c r="AU234" t="s">
        <v>3</v>
      </c>
      <c r="AV234">
        <v>0</v>
      </c>
      <c r="AW234">
        <v>2</v>
      </c>
      <c r="AX234">
        <v>39490113</v>
      </c>
      <c r="AY234">
        <v>1</v>
      </c>
      <c r="AZ234">
        <v>0</v>
      </c>
      <c r="BA234">
        <v>234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Y234*Source!I171</f>
        <v>3.1360000000000003E-3</v>
      </c>
      <c r="CY234">
        <f t="shared" si="12"/>
        <v>1811.7</v>
      </c>
      <c r="CZ234">
        <f t="shared" si="13"/>
        <v>270</v>
      </c>
      <c r="DA234">
        <f t="shared" si="14"/>
        <v>6.71</v>
      </c>
      <c r="DB234">
        <v>0</v>
      </c>
    </row>
    <row r="235" spans="1:106" x14ac:dyDescent="0.2">
      <c r="A235">
        <f>ROW(Source!A171)</f>
        <v>171</v>
      </c>
      <c r="B235">
        <v>39096431</v>
      </c>
      <c r="C235">
        <v>39490106</v>
      </c>
      <c r="D235">
        <v>36852075</v>
      </c>
      <c r="E235">
        <v>1</v>
      </c>
      <c r="F235">
        <v>1</v>
      </c>
      <c r="G235">
        <v>1</v>
      </c>
      <c r="H235">
        <v>3</v>
      </c>
      <c r="I235" t="s">
        <v>888</v>
      </c>
      <c r="J235" t="s">
        <v>889</v>
      </c>
      <c r="K235" t="s">
        <v>890</v>
      </c>
      <c r="L235">
        <v>1358</v>
      </c>
      <c r="N235">
        <v>1010</v>
      </c>
      <c r="O235" t="s">
        <v>436</v>
      </c>
      <c r="P235" t="s">
        <v>436</v>
      </c>
      <c r="Q235">
        <v>10</v>
      </c>
      <c r="W235">
        <v>0</v>
      </c>
      <c r="X235">
        <v>-1110089157</v>
      </c>
      <c r="Y235">
        <v>1</v>
      </c>
      <c r="AA235">
        <v>133.53</v>
      </c>
      <c r="AB235">
        <v>0</v>
      </c>
      <c r="AC235">
        <v>0</v>
      </c>
      <c r="AD235">
        <v>0</v>
      </c>
      <c r="AE235">
        <v>19.899999999999999</v>
      </c>
      <c r="AF235">
        <v>0</v>
      </c>
      <c r="AG235">
        <v>0</v>
      </c>
      <c r="AH235">
        <v>0</v>
      </c>
      <c r="AI235">
        <v>6.71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1</v>
      </c>
      <c r="AU235" t="s">
        <v>3</v>
      </c>
      <c r="AV235">
        <v>0</v>
      </c>
      <c r="AW235">
        <v>2</v>
      </c>
      <c r="AX235">
        <v>39490114</v>
      </c>
      <c r="AY235">
        <v>1</v>
      </c>
      <c r="AZ235">
        <v>0</v>
      </c>
      <c r="BA235">
        <v>235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Y235*Source!I171</f>
        <v>9.8000000000000004E-2</v>
      </c>
      <c r="CY235">
        <f t="shared" si="12"/>
        <v>133.53</v>
      </c>
      <c r="CZ235">
        <f t="shared" si="13"/>
        <v>19.899999999999999</v>
      </c>
      <c r="DA235">
        <f t="shared" si="14"/>
        <v>6.71</v>
      </c>
      <c r="DB235">
        <v>0</v>
      </c>
    </row>
    <row r="236" spans="1:106" x14ac:dyDescent="0.2">
      <c r="A236">
        <f>ROW(Source!A171)</f>
        <v>171</v>
      </c>
      <c r="B236">
        <v>39096431</v>
      </c>
      <c r="C236">
        <v>39490106</v>
      </c>
      <c r="D236">
        <v>36853421</v>
      </c>
      <c r="E236">
        <v>1</v>
      </c>
      <c r="F236">
        <v>1</v>
      </c>
      <c r="G236">
        <v>1</v>
      </c>
      <c r="H236">
        <v>3</v>
      </c>
      <c r="I236" t="s">
        <v>891</v>
      </c>
      <c r="J236" t="s">
        <v>892</v>
      </c>
      <c r="K236" t="s">
        <v>893</v>
      </c>
      <c r="L236">
        <v>1354</v>
      </c>
      <c r="N236">
        <v>1010</v>
      </c>
      <c r="O236" t="s">
        <v>46</v>
      </c>
      <c r="P236" t="s">
        <v>46</v>
      </c>
      <c r="Q236">
        <v>1</v>
      </c>
      <c r="W236">
        <v>0</v>
      </c>
      <c r="X236">
        <v>-1308137011</v>
      </c>
      <c r="Y236">
        <v>0.5</v>
      </c>
      <c r="AA236">
        <v>448.36</v>
      </c>
      <c r="AB236">
        <v>0</v>
      </c>
      <c r="AC236">
        <v>0</v>
      </c>
      <c r="AD236">
        <v>0</v>
      </c>
      <c r="AE236">
        <v>66.819999999999993</v>
      </c>
      <c r="AF236">
        <v>0</v>
      </c>
      <c r="AG236">
        <v>0</v>
      </c>
      <c r="AH236">
        <v>0</v>
      </c>
      <c r="AI236">
        <v>6.71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0.5</v>
      </c>
      <c r="AU236" t="s">
        <v>3</v>
      </c>
      <c r="AV236">
        <v>0</v>
      </c>
      <c r="AW236">
        <v>2</v>
      </c>
      <c r="AX236">
        <v>39490115</v>
      </c>
      <c r="AY236">
        <v>1</v>
      </c>
      <c r="AZ236">
        <v>0</v>
      </c>
      <c r="BA236">
        <v>236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Y236*Source!I171</f>
        <v>4.9000000000000002E-2</v>
      </c>
      <c r="CY236">
        <f t="shared" si="12"/>
        <v>448.36</v>
      </c>
      <c r="CZ236">
        <f t="shared" si="13"/>
        <v>66.819999999999993</v>
      </c>
      <c r="DA236">
        <f t="shared" si="14"/>
        <v>6.71</v>
      </c>
      <c r="DB236">
        <v>0</v>
      </c>
    </row>
    <row r="237" spans="1:106" x14ac:dyDescent="0.2">
      <c r="A237">
        <f>ROW(Source!A171)</f>
        <v>171</v>
      </c>
      <c r="B237">
        <v>39096431</v>
      </c>
      <c r="C237">
        <v>39490106</v>
      </c>
      <c r="D237">
        <v>36868749</v>
      </c>
      <c r="E237">
        <v>1</v>
      </c>
      <c r="F237">
        <v>1</v>
      </c>
      <c r="G237">
        <v>1</v>
      </c>
      <c r="H237">
        <v>3</v>
      </c>
      <c r="I237" t="s">
        <v>423</v>
      </c>
      <c r="J237" t="s">
        <v>426</v>
      </c>
      <c r="K237" t="s">
        <v>424</v>
      </c>
      <c r="L237">
        <v>1302</v>
      </c>
      <c r="N237">
        <v>1003</v>
      </c>
      <c r="O237" t="s">
        <v>425</v>
      </c>
      <c r="P237" t="s">
        <v>425</v>
      </c>
      <c r="Q237">
        <v>10</v>
      </c>
      <c r="W237">
        <v>0</v>
      </c>
      <c r="X237">
        <v>-835976676</v>
      </c>
      <c r="Y237">
        <v>10</v>
      </c>
      <c r="AA237">
        <v>667.11</v>
      </c>
      <c r="AB237">
        <v>0</v>
      </c>
      <c r="AC237">
        <v>0</v>
      </c>
      <c r="AD237">
        <v>0</v>
      </c>
      <c r="AE237">
        <v>99.42</v>
      </c>
      <c r="AF237">
        <v>0</v>
      </c>
      <c r="AG237">
        <v>0</v>
      </c>
      <c r="AH237">
        <v>0</v>
      </c>
      <c r="AI237">
        <v>6.71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3</v>
      </c>
      <c r="AT237">
        <v>10</v>
      </c>
      <c r="AU237" t="s">
        <v>3</v>
      </c>
      <c r="AV237">
        <v>0</v>
      </c>
      <c r="AW237">
        <v>1</v>
      </c>
      <c r="AX237">
        <v>-1</v>
      </c>
      <c r="AY237">
        <v>0</v>
      </c>
      <c r="AZ237">
        <v>0</v>
      </c>
      <c r="BA237" t="s">
        <v>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Y237*Source!I171</f>
        <v>0.98</v>
      </c>
      <c r="CY237">
        <f t="shared" si="12"/>
        <v>667.11</v>
      </c>
      <c r="CZ237">
        <f t="shared" si="13"/>
        <v>99.42</v>
      </c>
      <c r="DA237">
        <f t="shared" si="14"/>
        <v>6.71</v>
      </c>
      <c r="DB237">
        <v>0</v>
      </c>
    </row>
    <row r="238" spans="1:106" x14ac:dyDescent="0.2">
      <c r="A238">
        <f>ROW(Source!A171)</f>
        <v>171</v>
      </c>
      <c r="B238">
        <v>39096431</v>
      </c>
      <c r="C238">
        <v>39490106</v>
      </c>
      <c r="D238">
        <v>36799065</v>
      </c>
      <c r="E238">
        <v>17</v>
      </c>
      <c r="F238">
        <v>1</v>
      </c>
      <c r="G238">
        <v>1</v>
      </c>
      <c r="H238">
        <v>3</v>
      </c>
      <c r="I238" t="s">
        <v>835</v>
      </c>
      <c r="J238" t="s">
        <v>3</v>
      </c>
      <c r="K238" t="s">
        <v>836</v>
      </c>
      <c r="L238">
        <v>1374</v>
      </c>
      <c r="N238">
        <v>1013</v>
      </c>
      <c r="O238" t="s">
        <v>837</v>
      </c>
      <c r="P238" t="s">
        <v>837</v>
      </c>
      <c r="Q238">
        <v>1</v>
      </c>
      <c r="W238">
        <v>0</v>
      </c>
      <c r="X238">
        <v>-1731369543</v>
      </c>
      <c r="Y238">
        <v>2.87</v>
      </c>
      <c r="AA238">
        <v>1</v>
      </c>
      <c r="AB238">
        <v>0</v>
      </c>
      <c r="AC238">
        <v>0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2.87</v>
      </c>
      <c r="AU238" t="s">
        <v>3</v>
      </c>
      <c r="AV238">
        <v>0</v>
      </c>
      <c r="AW238">
        <v>2</v>
      </c>
      <c r="AX238">
        <v>39490116</v>
      </c>
      <c r="AY238">
        <v>1</v>
      </c>
      <c r="AZ238">
        <v>0</v>
      </c>
      <c r="BA238">
        <v>237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Y238*Source!I171</f>
        <v>0.28126000000000001</v>
      </c>
      <c r="CY238">
        <f t="shared" si="12"/>
        <v>1</v>
      </c>
      <c r="CZ238">
        <f t="shared" si="13"/>
        <v>1</v>
      </c>
      <c r="DA238">
        <f t="shared" si="14"/>
        <v>1</v>
      </c>
      <c r="DB238">
        <v>0</v>
      </c>
    </row>
    <row r="239" spans="1:106" x14ac:dyDescent="0.2">
      <c r="A239">
        <f>ROW(Source!A173)</f>
        <v>173</v>
      </c>
      <c r="B239">
        <v>39096431</v>
      </c>
      <c r="C239">
        <v>39488937</v>
      </c>
      <c r="D239">
        <v>37082223</v>
      </c>
      <c r="E239">
        <v>1</v>
      </c>
      <c r="F239">
        <v>1</v>
      </c>
      <c r="G239">
        <v>1</v>
      </c>
      <c r="H239">
        <v>1</v>
      </c>
      <c r="I239" t="s">
        <v>894</v>
      </c>
      <c r="J239" t="s">
        <v>3</v>
      </c>
      <c r="K239" t="s">
        <v>895</v>
      </c>
      <c r="L239">
        <v>1191</v>
      </c>
      <c r="N239">
        <v>1013</v>
      </c>
      <c r="O239" t="s">
        <v>660</v>
      </c>
      <c r="P239" t="s">
        <v>660</v>
      </c>
      <c r="Q239">
        <v>1</v>
      </c>
      <c r="W239">
        <v>0</v>
      </c>
      <c r="X239">
        <v>-2143564933</v>
      </c>
      <c r="Y239">
        <v>0.5</v>
      </c>
      <c r="AA239">
        <v>0</v>
      </c>
      <c r="AB239">
        <v>0</v>
      </c>
      <c r="AC239">
        <v>0</v>
      </c>
      <c r="AD239">
        <v>65.489999999999995</v>
      </c>
      <c r="AE239">
        <v>0</v>
      </c>
      <c r="AF239">
        <v>0</v>
      </c>
      <c r="AG239">
        <v>0</v>
      </c>
      <c r="AH239">
        <v>9.76</v>
      </c>
      <c r="AI239">
        <v>1</v>
      </c>
      <c r="AJ239">
        <v>1</v>
      </c>
      <c r="AK239">
        <v>1</v>
      </c>
      <c r="AL239">
        <v>6.71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0.5</v>
      </c>
      <c r="AU239" t="s">
        <v>3</v>
      </c>
      <c r="AV239">
        <v>1</v>
      </c>
      <c r="AW239">
        <v>2</v>
      </c>
      <c r="AX239">
        <v>39488938</v>
      </c>
      <c r="AY239">
        <v>1</v>
      </c>
      <c r="AZ239">
        <v>0</v>
      </c>
      <c r="BA239">
        <v>238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Y239*Source!I173</f>
        <v>71</v>
      </c>
      <c r="CY239">
        <f>AD239</f>
        <v>65.489999999999995</v>
      </c>
      <c r="CZ239">
        <f>AH239</f>
        <v>9.76</v>
      </c>
      <c r="DA239">
        <f>AL239</f>
        <v>6.71</v>
      </c>
      <c r="DB239">
        <v>0</v>
      </c>
    </row>
    <row r="240" spans="1:106" x14ac:dyDescent="0.2">
      <c r="A240">
        <f>ROW(Source!A173)</f>
        <v>173</v>
      </c>
      <c r="B240">
        <v>39096431</v>
      </c>
      <c r="C240">
        <v>39488937</v>
      </c>
      <c r="D240">
        <v>36804944</v>
      </c>
      <c r="E240">
        <v>1</v>
      </c>
      <c r="F240">
        <v>1</v>
      </c>
      <c r="G240">
        <v>1</v>
      </c>
      <c r="H240">
        <v>3</v>
      </c>
      <c r="I240" t="s">
        <v>832</v>
      </c>
      <c r="J240" t="s">
        <v>833</v>
      </c>
      <c r="K240" t="s">
        <v>834</v>
      </c>
      <c r="L240">
        <v>1348</v>
      </c>
      <c r="N240">
        <v>1009</v>
      </c>
      <c r="O240" t="s">
        <v>110</v>
      </c>
      <c r="P240" t="s">
        <v>110</v>
      </c>
      <c r="Q240">
        <v>1000</v>
      </c>
      <c r="W240">
        <v>0</v>
      </c>
      <c r="X240">
        <v>-1755229539</v>
      </c>
      <c r="Y240">
        <v>1.0000000000000001E-5</v>
      </c>
      <c r="AA240">
        <v>83405.3</v>
      </c>
      <c r="AB240">
        <v>0</v>
      </c>
      <c r="AC240">
        <v>0</v>
      </c>
      <c r="AD240">
        <v>0</v>
      </c>
      <c r="AE240">
        <v>12430</v>
      </c>
      <c r="AF240">
        <v>0</v>
      </c>
      <c r="AG240">
        <v>0</v>
      </c>
      <c r="AH240">
        <v>0</v>
      </c>
      <c r="AI240">
        <v>6.71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1.0000000000000001E-5</v>
      </c>
      <c r="AU240" t="s">
        <v>3</v>
      </c>
      <c r="AV240">
        <v>0</v>
      </c>
      <c r="AW240">
        <v>2</v>
      </c>
      <c r="AX240">
        <v>39488939</v>
      </c>
      <c r="AY240">
        <v>1</v>
      </c>
      <c r="AZ240">
        <v>0</v>
      </c>
      <c r="BA240">
        <v>239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Y240*Source!I173</f>
        <v>1.42E-3</v>
      </c>
      <c r="CY240">
        <f>AA240</f>
        <v>83405.3</v>
      </c>
      <c r="CZ240">
        <f>AE240</f>
        <v>12430</v>
      </c>
      <c r="DA240">
        <f>AI240</f>
        <v>6.71</v>
      </c>
      <c r="DB240">
        <v>0</v>
      </c>
    </row>
    <row r="241" spans="1:106" x14ac:dyDescent="0.2">
      <c r="A241">
        <f>ROW(Source!A173)</f>
        <v>173</v>
      </c>
      <c r="B241">
        <v>39096431</v>
      </c>
      <c r="C241">
        <v>39488937</v>
      </c>
      <c r="D241">
        <v>36806488</v>
      </c>
      <c r="E241">
        <v>1</v>
      </c>
      <c r="F241">
        <v>1</v>
      </c>
      <c r="G241">
        <v>1</v>
      </c>
      <c r="H241">
        <v>3</v>
      </c>
      <c r="I241" t="s">
        <v>674</v>
      </c>
      <c r="J241" t="s">
        <v>675</v>
      </c>
      <c r="K241" t="s">
        <v>676</v>
      </c>
      <c r="L241">
        <v>1348</v>
      </c>
      <c r="N241">
        <v>1009</v>
      </c>
      <c r="O241" t="s">
        <v>110</v>
      </c>
      <c r="P241" t="s">
        <v>110</v>
      </c>
      <c r="Q241">
        <v>1000</v>
      </c>
      <c r="W241">
        <v>0</v>
      </c>
      <c r="X241">
        <v>-1421715385</v>
      </c>
      <c r="Y241">
        <v>5.0000000000000002E-5</v>
      </c>
      <c r="AA241">
        <v>4898.17</v>
      </c>
      <c r="AB241">
        <v>0</v>
      </c>
      <c r="AC241">
        <v>0</v>
      </c>
      <c r="AD241">
        <v>0</v>
      </c>
      <c r="AE241">
        <v>729.98</v>
      </c>
      <c r="AF241">
        <v>0</v>
      </c>
      <c r="AG241">
        <v>0</v>
      </c>
      <c r="AH241">
        <v>0</v>
      </c>
      <c r="AI241">
        <v>6.71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5.0000000000000002E-5</v>
      </c>
      <c r="AU241" t="s">
        <v>3</v>
      </c>
      <c r="AV241">
        <v>0</v>
      </c>
      <c r="AW241">
        <v>2</v>
      </c>
      <c r="AX241">
        <v>39488940</v>
      </c>
      <c r="AY241">
        <v>1</v>
      </c>
      <c r="AZ241">
        <v>0</v>
      </c>
      <c r="BA241">
        <v>240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Y241*Source!I173</f>
        <v>7.1000000000000004E-3</v>
      </c>
      <c r="CY241">
        <f>AA241</f>
        <v>4898.17</v>
      </c>
      <c r="CZ241">
        <f>AE241</f>
        <v>729.98</v>
      </c>
      <c r="DA241">
        <f>AI241</f>
        <v>6.71</v>
      </c>
      <c r="DB241">
        <v>0</v>
      </c>
    </row>
    <row r="242" spans="1:106" x14ac:dyDescent="0.2">
      <c r="A242">
        <f>ROW(Source!A173)</f>
        <v>173</v>
      </c>
      <c r="B242">
        <v>39096431</v>
      </c>
      <c r="C242">
        <v>39488937</v>
      </c>
      <c r="D242">
        <v>36825637</v>
      </c>
      <c r="E242">
        <v>1</v>
      </c>
      <c r="F242">
        <v>1</v>
      </c>
      <c r="G242">
        <v>1</v>
      </c>
      <c r="H242">
        <v>3</v>
      </c>
      <c r="I242" t="s">
        <v>896</v>
      </c>
      <c r="J242" t="s">
        <v>897</v>
      </c>
      <c r="K242" t="s">
        <v>898</v>
      </c>
      <c r="L242">
        <v>1348</v>
      </c>
      <c r="N242">
        <v>1009</v>
      </c>
      <c r="O242" t="s">
        <v>110</v>
      </c>
      <c r="P242" t="s">
        <v>110</v>
      </c>
      <c r="Q242">
        <v>1000</v>
      </c>
      <c r="W242">
        <v>0</v>
      </c>
      <c r="X242">
        <v>-1328921133</v>
      </c>
      <c r="Y242">
        <v>1.0000000000000001E-5</v>
      </c>
      <c r="AA242">
        <v>98569.9</v>
      </c>
      <c r="AB242">
        <v>0</v>
      </c>
      <c r="AC242">
        <v>0</v>
      </c>
      <c r="AD242">
        <v>0</v>
      </c>
      <c r="AE242">
        <v>14690</v>
      </c>
      <c r="AF242">
        <v>0</v>
      </c>
      <c r="AG242">
        <v>0</v>
      </c>
      <c r="AH242">
        <v>0</v>
      </c>
      <c r="AI242">
        <v>6.71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1.0000000000000001E-5</v>
      </c>
      <c r="AU242" t="s">
        <v>3</v>
      </c>
      <c r="AV242">
        <v>0</v>
      </c>
      <c r="AW242">
        <v>2</v>
      </c>
      <c r="AX242">
        <v>39488941</v>
      </c>
      <c r="AY242">
        <v>1</v>
      </c>
      <c r="AZ242">
        <v>0</v>
      </c>
      <c r="BA242">
        <v>241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Y242*Source!I173</f>
        <v>1.42E-3</v>
      </c>
      <c r="CY242">
        <f>AA242</f>
        <v>98569.9</v>
      </c>
      <c r="CZ242">
        <f>AE242</f>
        <v>14690</v>
      </c>
      <c r="DA242">
        <f>AI242</f>
        <v>6.71</v>
      </c>
      <c r="DB242">
        <v>0</v>
      </c>
    </row>
    <row r="243" spans="1:106" x14ac:dyDescent="0.2">
      <c r="A243">
        <f>ROW(Source!A173)</f>
        <v>173</v>
      </c>
      <c r="B243">
        <v>39096431</v>
      </c>
      <c r="C243">
        <v>39488937</v>
      </c>
      <c r="D243">
        <v>36855447</v>
      </c>
      <c r="E243">
        <v>1</v>
      </c>
      <c r="F243">
        <v>1</v>
      </c>
      <c r="G243">
        <v>1</v>
      </c>
      <c r="H243">
        <v>3</v>
      </c>
      <c r="I243" t="s">
        <v>434</v>
      </c>
      <c r="J243" t="s">
        <v>437</v>
      </c>
      <c r="K243" t="s">
        <v>435</v>
      </c>
      <c r="L243">
        <v>1358</v>
      </c>
      <c r="N243">
        <v>1010</v>
      </c>
      <c r="O243" t="s">
        <v>436</v>
      </c>
      <c r="P243" t="s">
        <v>436</v>
      </c>
      <c r="Q243">
        <v>10</v>
      </c>
      <c r="W243">
        <v>0</v>
      </c>
      <c r="X243">
        <v>1303598448</v>
      </c>
      <c r="Y243">
        <v>0.1</v>
      </c>
      <c r="AA243">
        <v>418.7</v>
      </c>
      <c r="AB243">
        <v>0</v>
      </c>
      <c r="AC243">
        <v>0</v>
      </c>
      <c r="AD243">
        <v>0</v>
      </c>
      <c r="AE243">
        <v>62.4</v>
      </c>
      <c r="AF243">
        <v>0</v>
      </c>
      <c r="AG243">
        <v>0</v>
      </c>
      <c r="AH243">
        <v>0</v>
      </c>
      <c r="AI243">
        <v>6.71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3</v>
      </c>
      <c r="AT243">
        <v>0.1</v>
      </c>
      <c r="AU243" t="s">
        <v>3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Y243*Source!I173</f>
        <v>14.200000000000001</v>
      </c>
      <c r="CY243">
        <f>AA243</f>
        <v>418.7</v>
      </c>
      <c r="CZ243">
        <f>AE243</f>
        <v>62.4</v>
      </c>
      <c r="DA243">
        <f>AI243</f>
        <v>6.71</v>
      </c>
      <c r="DB243">
        <v>0</v>
      </c>
    </row>
    <row r="244" spans="1:106" x14ac:dyDescent="0.2">
      <c r="A244">
        <f>ROW(Source!A173)</f>
        <v>173</v>
      </c>
      <c r="B244">
        <v>39096431</v>
      </c>
      <c r="C244">
        <v>39488937</v>
      </c>
      <c r="D244">
        <v>36799065</v>
      </c>
      <c r="E244">
        <v>17</v>
      </c>
      <c r="F244">
        <v>1</v>
      </c>
      <c r="G244">
        <v>1</v>
      </c>
      <c r="H244">
        <v>3</v>
      </c>
      <c r="I244" t="s">
        <v>835</v>
      </c>
      <c r="J244" t="s">
        <v>3</v>
      </c>
      <c r="K244" t="s">
        <v>836</v>
      </c>
      <c r="L244">
        <v>1374</v>
      </c>
      <c r="N244">
        <v>1013</v>
      </c>
      <c r="O244" t="s">
        <v>837</v>
      </c>
      <c r="P244" t="s">
        <v>837</v>
      </c>
      <c r="Q244">
        <v>1</v>
      </c>
      <c r="W244">
        <v>0</v>
      </c>
      <c r="X244">
        <v>-1731369543</v>
      </c>
      <c r="Y244">
        <v>0.1</v>
      </c>
      <c r="AA244">
        <v>1</v>
      </c>
      <c r="AB244">
        <v>0</v>
      </c>
      <c r="AC244">
        <v>0</v>
      </c>
      <c r="AD244">
        <v>0</v>
      </c>
      <c r="AE244">
        <v>1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0.1</v>
      </c>
      <c r="AU244" t="s">
        <v>3</v>
      </c>
      <c r="AV244">
        <v>0</v>
      </c>
      <c r="AW244">
        <v>2</v>
      </c>
      <c r="AX244">
        <v>39488942</v>
      </c>
      <c r="AY244">
        <v>1</v>
      </c>
      <c r="AZ244">
        <v>0</v>
      </c>
      <c r="BA244">
        <v>242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Y244*Source!I173</f>
        <v>14.200000000000001</v>
      </c>
      <c r="CY244">
        <f>AA244</f>
        <v>1</v>
      </c>
      <c r="CZ244">
        <f>AE244</f>
        <v>1</v>
      </c>
      <c r="DA244">
        <f>AI244</f>
        <v>1</v>
      </c>
      <c r="DB244">
        <v>0</v>
      </c>
    </row>
    <row r="245" spans="1:106" x14ac:dyDescent="0.2">
      <c r="A245">
        <f>ROW(Source!A175)</f>
        <v>175</v>
      </c>
      <c r="B245">
        <v>39096431</v>
      </c>
      <c r="C245">
        <v>39488956</v>
      </c>
      <c r="D245">
        <v>37070202</v>
      </c>
      <c r="E245">
        <v>1</v>
      </c>
      <c r="F245">
        <v>1</v>
      </c>
      <c r="G245">
        <v>1</v>
      </c>
      <c r="H245">
        <v>1</v>
      </c>
      <c r="I245" t="s">
        <v>677</v>
      </c>
      <c r="J245" t="s">
        <v>3</v>
      </c>
      <c r="K245" t="s">
        <v>678</v>
      </c>
      <c r="L245">
        <v>1191</v>
      </c>
      <c r="N245">
        <v>1013</v>
      </c>
      <c r="O245" t="s">
        <v>660</v>
      </c>
      <c r="P245" t="s">
        <v>660</v>
      </c>
      <c r="Q245">
        <v>1</v>
      </c>
      <c r="W245">
        <v>0</v>
      </c>
      <c r="X245">
        <v>1983201532</v>
      </c>
      <c r="Y245">
        <v>20.329999999999998</v>
      </c>
      <c r="AA245">
        <v>0</v>
      </c>
      <c r="AB245">
        <v>0</v>
      </c>
      <c r="AC245">
        <v>0</v>
      </c>
      <c r="AD245">
        <v>63.81</v>
      </c>
      <c r="AE245">
        <v>0</v>
      </c>
      <c r="AF245">
        <v>0</v>
      </c>
      <c r="AG245">
        <v>0</v>
      </c>
      <c r="AH245">
        <v>9.51</v>
      </c>
      <c r="AI245">
        <v>1</v>
      </c>
      <c r="AJ245">
        <v>1</v>
      </c>
      <c r="AK245">
        <v>1</v>
      </c>
      <c r="AL245">
        <v>6.71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20.329999999999998</v>
      </c>
      <c r="AU245" t="s">
        <v>3</v>
      </c>
      <c r="AV245">
        <v>1</v>
      </c>
      <c r="AW245">
        <v>2</v>
      </c>
      <c r="AX245">
        <v>39488957</v>
      </c>
      <c r="AY245">
        <v>1</v>
      </c>
      <c r="AZ245">
        <v>0</v>
      </c>
      <c r="BA245">
        <v>243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Y245*Source!I175</f>
        <v>13.214499999999999</v>
      </c>
      <c r="CY245">
        <f>AD245</f>
        <v>63.81</v>
      </c>
      <c r="CZ245">
        <f>AH245</f>
        <v>9.51</v>
      </c>
      <c r="DA245">
        <f>AL245</f>
        <v>6.71</v>
      </c>
      <c r="DB245">
        <v>0</v>
      </c>
    </row>
    <row r="246" spans="1:106" x14ac:dyDescent="0.2">
      <c r="A246">
        <f>ROW(Source!A175)</f>
        <v>175</v>
      </c>
      <c r="B246">
        <v>39096431</v>
      </c>
      <c r="C246">
        <v>39488956</v>
      </c>
      <c r="D246">
        <v>37064876</v>
      </c>
      <c r="E246">
        <v>1</v>
      </c>
      <c r="F246">
        <v>1</v>
      </c>
      <c r="G246">
        <v>1</v>
      </c>
      <c r="H246">
        <v>1</v>
      </c>
      <c r="I246" t="s">
        <v>661</v>
      </c>
      <c r="J246" t="s">
        <v>3</v>
      </c>
      <c r="K246" t="s">
        <v>662</v>
      </c>
      <c r="L246">
        <v>1191</v>
      </c>
      <c r="N246">
        <v>1013</v>
      </c>
      <c r="O246" t="s">
        <v>660</v>
      </c>
      <c r="P246" t="s">
        <v>660</v>
      </c>
      <c r="Q246">
        <v>1</v>
      </c>
      <c r="W246">
        <v>0</v>
      </c>
      <c r="X246">
        <v>-1417349443</v>
      </c>
      <c r="Y246">
        <v>0.01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6.71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0.01</v>
      </c>
      <c r="AU246" t="s">
        <v>3</v>
      </c>
      <c r="AV246">
        <v>2</v>
      </c>
      <c r="AW246">
        <v>2</v>
      </c>
      <c r="AX246">
        <v>39488958</v>
      </c>
      <c r="AY246">
        <v>1</v>
      </c>
      <c r="AZ246">
        <v>0</v>
      </c>
      <c r="BA246">
        <v>244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Y246*Source!I175</f>
        <v>6.5000000000000006E-3</v>
      </c>
      <c r="CY246">
        <f>AD246</f>
        <v>0</v>
      </c>
      <c r="CZ246">
        <f>AH246</f>
        <v>0</v>
      </c>
      <c r="DA246">
        <f>AL246</f>
        <v>1</v>
      </c>
      <c r="DB246">
        <v>0</v>
      </c>
    </row>
    <row r="247" spans="1:106" x14ac:dyDescent="0.2">
      <c r="A247">
        <f>ROW(Source!A175)</f>
        <v>175</v>
      </c>
      <c r="B247">
        <v>39096431</v>
      </c>
      <c r="C247">
        <v>39488956</v>
      </c>
      <c r="D247">
        <v>36882452</v>
      </c>
      <c r="E247">
        <v>1</v>
      </c>
      <c r="F247">
        <v>1</v>
      </c>
      <c r="G247">
        <v>1</v>
      </c>
      <c r="H247">
        <v>2</v>
      </c>
      <c r="I247" t="s">
        <v>663</v>
      </c>
      <c r="J247" t="s">
        <v>664</v>
      </c>
      <c r="K247" t="s">
        <v>665</v>
      </c>
      <c r="L247">
        <v>1368</v>
      </c>
      <c r="N247">
        <v>1011</v>
      </c>
      <c r="O247" t="s">
        <v>666</v>
      </c>
      <c r="P247" t="s">
        <v>666</v>
      </c>
      <c r="Q247">
        <v>1</v>
      </c>
      <c r="W247">
        <v>0</v>
      </c>
      <c r="X247">
        <v>1188625873</v>
      </c>
      <c r="Y247">
        <v>0.01</v>
      </c>
      <c r="AA247">
        <v>0</v>
      </c>
      <c r="AB247">
        <v>209.75</v>
      </c>
      <c r="AC247">
        <v>13.5</v>
      </c>
      <c r="AD247">
        <v>0</v>
      </c>
      <c r="AE247">
        <v>0</v>
      </c>
      <c r="AF247">
        <v>31.26</v>
      </c>
      <c r="AG247">
        <v>13.5</v>
      </c>
      <c r="AH247">
        <v>0</v>
      </c>
      <c r="AI247">
        <v>1</v>
      </c>
      <c r="AJ247">
        <v>6.71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0.01</v>
      </c>
      <c r="AU247" t="s">
        <v>3</v>
      </c>
      <c r="AV247">
        <v>0</v>
      </c>
      <c r="AW247">
        <v>2</v>
      </c>
      <c r="AX247">
        <v>39488959</v>
      </c>
      <c r="AY247">
        <v>1</v>
      </c>
      <c r="AZ247">
        <v>0</v>
      </c>
      <c r="BA247">
        <v>245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Y247*Source!I175</f>
        <v>6.5000000000000006E-3</v>
      </c>
      <c r="CY247">
        <f>AB247</f>
        <v>209.75</v>
      </c>
      <c r="CZ247">
        <f>AF247</f>
        <v>31.26</v>
      </c>
      <c r="DA247">
        <f>AJ247</f>
        <v>6.71</v>
      </c>
      <c r="DB247">
        <v>0</v>
      </c>
    </row>
    <row r="248" spans="1:106" x14ac:dyDescent="0.2">
      <c r="A248">
        <f>ROW(Source!A175)</f>
        <v>175</v>
      </c>
      <c r="B248">
        <v>39096431</v>
      </c>
      <c r="C248">
        <v>39488956</v>
      </c>
      <c r="D248">
        <v>36804582</v>
      </c>
      <c r="E248">
        <v>1</v>
      </c>
      <c r="F248">
        <v>1</v>
      </c>
      <c r="G248">
        <v>1</v>
      </c>
      <c r="H248">
        <v>3</v>
      </c>
      <c r="I248" t="s">
        <v>829</v>
      </c>
      <c r="J248" t="s">
        <v>830</v>
      </c>
      <c r="K248" t="s">
        <v>831</v>
      </c>
      <c r="L248">
        <v>1356</v>
      </c>
      <c r="N248">
        <v>1010</v>
      </c>
      <c r="O248" t="s">
        <v>741</v>
      </c>
      <c r="P248" t="s">
        <v>741</v>
      </c>
      <c r="Q248">
        <v>1000</v>
      </c>
      <c r="W248">
        <v>0</v>
      </c>
      <c r="X248">
        <v>1975348994</v>
      </c>
      <c r="Y248">
        <v>0.4</v>
      </c>
      <c r="AA248">
        <v>1207.8</v>
      </c>
      <c r="AB248">
        <v>0</v>
      </c>
      <c r="AC248">
        <v>0</v>
      </c>
      <c r="AD248">
        <v>0</v>
      </c>
      <c r="AE248">
        <v>180</v>
      </c>
      <c r="AF248">
        <v>0</v>
      </c>
      <c r="AG248">
        <v>0</v>
      </c>
      <c r="AH248">
        <v>0</v>
      </c>
      <c r="AI248">
        <v>6.71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0.4</v>
      </c>
      <c r="AU248" t="s">
        <v>3</v>
      </c>
      <c r="AV248">
        <v>0</v>
      </c>
      <c r="AW248">
        <v>2</v>
      </c>
      <c r="AX248">
        <v>39488960</v>
      </c>
      <c r="AY248">
        <v>1</v>
      </c>
      <c r="AZ248">
        <v>0</v>
      </c>
      <c r="BA248">
        <v>246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Y248*Source!I175</f>
        <v>0.26</v>
      </c>
      <c r="CY248">
        <f>AA248</f>
        <v>1207.8</v>
      </c>
      <c r="CZ248">
        <f>AE248</f>
        <v>180</v>
      </c>
      <c r="DA248">
        <f>AI248</f>
        <v>6.71</v>
      </c>
      <c r="DB248">
        <v>0</v>
      </c>
    </row>
    <row r="249" spans="1:106" x14ac:dyDescent="0.2">
      <c r="A249">
        <f>ROW(Source!A175)</f>
        <v>175</v>
      </c>
      <c r="B249">
        <v>39096431</v>
      </c>
      <c r="C249">
        <v>39488956</v>
      </c>
      <c r="D249">
        <v>36804944</v>
      </c>
      <c r="E249">
        <v>1</v>
      </c>
      <c r="F249">
        <v>1</v>
      </c>
      <c r="G249">
        <v>1</v>
      </c>
      <c r="H249">
        <v>3</v>
      </c>
      <c r="I249" t="s">
        <v>832</v>
      </c>
      <c r="J249" t="s">
        <v>833</v>
      </c>
      <c r="K249" t="s">
        <v>834</v>
      </c>
      <c r="L249">
        <v>1348</v>
      </c>
      <c r="N249">
        <v>1009</v>
      </c>
      <c r="O249" t="s">
        <v>110</v>
      </c>
      <c r="P249" t="s">
        <v>110</v>
      </c>
      <c r="Q249">
        <v>1000</v>
      </c>
      <c r="W249">
        <v>0</v>
      </c>
      <c r="X249">
        <v>-1755229539</v>
      </c>
      <c r="Y249">
        <v>1.4E-3</v>
      </c>
      <c r="AA249">
        <v>83405.3</v>
      </c>
      <c r="AB249">
        <v>0</v>
      </c>
      <c r="AC249">
        <v>0</v>
      </c>
      <c r="AD249">
        <v>0</v>
      </c>
      <c r="AE249">
        <v>12430</v>
      </c>
      <c r="AF249">
        <v>0</v>
      </c>
      <c r="AG249">
        <v>0</v>
      </c>
      <c r="AH249">
        <v>0</v>
      </c>
      <c r="AI249">
        <v>6.71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1.4E-3</v>
      </c>
      <c r="AU249" t="s">
        <v>3</v>
      </c>
      <c r="AV249">
        <v>0</v>
      </c>
      <c r="AW249">
        <v>2</v>
      </c>
      <c r="AX249">
        <v>39488961</v>
      </c>
      <c r="AY249">
        <v>1</v>
      </c>
      <c r="AZ249">
        <v>0</v>
      </c>
      <c r="BA249">
        <v>247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Y249*Source!I175</f>
        <v>9.1E-4</v>
      </c>
      <c r="CY249">
        <f>AA249</f>
        <v>83405.3</v>
      </c>
      <c r="CZ249">
        <f>AE249</f>
        <v>12430</v>
      </c>
      <c r="DA249">
        <f>AI249</f>
        <v>6.71</v>
      </c>
      <c r="DB249">
        <v>0</v>
      </c>
    </row>
    <row r="250" spans="1:106" x14ac:dyDescent="0.2">
      <c r="A250">
        <f>ROW(Source!A175)</f>
        <v>175</v>
      </c>
      <c r="B250">
        <v>39096431</v>
      </c>
      <c r="C250">
        <v>39488956</v>
      </c>
      <c r="D250">
        <v>0</v>
      </c>
      <c r="E250">
        <v>1</v>
      </c>
      <c r="F250">
        <v>1</v>
      </c>
      <c r="G250">
        <v>1</v>
      </c>
      <c r="H250">
        <v>3</v>
      </c>
      <c r="I250" t="s">
        <v>443</v>
      </c>
      <c r="J250" t="s">
        <v>445</v>
      </c>
      <c r="K250" t="s">
        <v>444</v>
      </c>
      <c r="L250">
        <v>1308</v>
      </c>
      <c r="N250">
        <v>1003</v>
      </c>
      <c r="O250" t="s">
        <v>27</v>
      </c>
      <c r="P250" t="s">
        <v>27</v>
      </c>
      <c r="Q250">
        <v>100</v>
      </c>
      <c r="W250">
        <v>0</v>
      </c>
      <c r="X250">
        <v>866845708</v>
      </c>
      <c r="Y250">
        <v>1</v>
      </c>
      <c r="AA250">
        <v>9125.6</v>
      </c>
      <c r="AB250">
        <v>0</v>
      </c>
      <c r="AC250">
        <v>0</v>
      </c>
      <c r="AD250">
        <v>0</v>
      </c>
      <c r="AE250">
        <v>1360</v>
      </c>
      <c r="AF250">
        <v>0</v>
      </c>
      <c r="AG250">
        <v>0</v>
      </c>
      <c r="AH250">
        <v>0</v>
      </c>
      <c r="AI250">
        <v>6.71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3</v>
      </c>
      <c r="AT250">
        <v>1</v>
      </c>
      <c r="AU250" t="s">
        <v>3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Y250*Source!I175</f>
        <v>0.65</v>
      </c>
      <c r="CY250">
        <f>AA250</f>
        <v>9125.6</v>
      </c>
      <c r="CZ250">
        <f>AE250</f>
        <v>1360</v>
      </c>
      <c r="DA250">
        <f>AI250</f>
        <v>6.71</v>
      </c>
      <c r="DB250">
        <v>0</v>
      </c>
    </row>
    <row r="251" spans="1:106" x14ac:dyDescent="0.2">
      <c r="A251">
        <f>ROW(Source!A175)</f>
        <v>175</v>
      </c>
      <c r="B251">
        <v>39096431</v>
      </c>
      <c r="C251">
        <v>39488956</v>
      </c>
      <c r="D251">
        <v>36799065</v>
      </c>
      <c r="E251">
        <v>17</v>
      </c>
      <c r="F251">
        <v>1</v>
      </c>
      <c r="G251">
        <v>1</v>
      </c>
      <c r="H251">
        <v>3</v>
      </c>
      <c r="I251" t="s">
        <v>835</v>
      </c>
      <c r="J251" t="s">
        <v>3</v>
      </c>
      <c r="K251" t="s">
        <v>836</v>
      </c>
      <c r="L251">
        <v>1374</v>
      </c>
      <c r="N251">
        <v>1013</v>
      </c>
      <c r="O251" t="s">
        <v>837</v>
      </c>
      <c r="P251" t="s">
        <v>837</v>
      </c>
      <c r="Q251">
        <v>1</v>
      </c>
      <c r="W251">
        <v>0</v>
      </c>
      <c r="X251">
        <v>-1731369543</v>
      </c>
      <c r="Y251">
        <v>3.87</v>
      </c>
      <c r="AA251">
        <v>1</v>
      </c>
      <c r="AB251">
        <v>0</v>
      </c>
      <c r="AC251">
        <v>0</v>
      </c>
      <c r="AD251">
        <v>0</v>
      </c>
      <c r="AE251">
        <v>1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3.87</v>
      </c>
      <c r="AU251" t="s">
        <v>3</v>
      </c>
      <c r="AV251">
        <v>0</v>
      </c>
      <c r="AW251">
        <v>2</v>
      </c>
      <c r="AX251">
        <v>39488962</v>
      </c>
      <c r="AY251">
        <v>1</v>
      </c>
      <c r="AZ251">
        <v>0</v>
      </c>
      <c r="BA251">
        <v>248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Y251*Source!I175</f>
        <v>2.5155000000000003</v>
      </c>
      <c r="CY251">
        <f>AA251</f>
        <v>1</v>
      </c>
      <c r="CZ251">
        <f>AE251</f>
        <v>1</v>
      </c>
      <c r="DA251">
        <f>AI251</f>
        <v>1</v>
      </c>
      <c r="DB251">
        <v>0</v>
      </c>
    </row>
    <row r="252" spans="1:106" x14ac:dyDescent="0.2">
      <c r="A252">
        <f>ROW(Source!A177)</f>
        <v>177</v>
      </c>
      <c r="B252">
        <v>39096431</v>
      </c>
      <c r="C252">
        <v>39096830</v>
      </c>
      <c r="D252">
        <v>37072767</v>
      </c>
      <c r="E252">
        <v>1</v>
      </c>
      <c r="F252">
        <v>1</v>
      </c>
      <c r="G252">
        <v>1</v>
      </c>
      <c r="H252">
        <v>1</v>
      </c>
      <c r="I252" t="s">
        <v>733</v>
      </c>
      <c r="J252" t="s">
        <v>3</v>
      </c>
      <c r="K252" t="s">
        <v>734</v>
      </c>
      <c r="L252">
        <v>1191</v>
      </c>
      <c r="N252">
        <v>1013</v>
      </c>
      <c r="O252" t="s">
        <v>660</v>
      </c>
      <c r="P252" t="s">
        <v>660</v>
      </c>
      <c r="Q252">
        <v>1</v>
      </c>
      <c r="W252">
        <v>0</v>
      </c>
      <c r="X252">
        <v>-1027537862</v>
      </c>
      <c r="Y252">
        <v>15.2</v>
      </c>
      <c r="AA252">
        <v>0</v>
      </c>
      <c r="AB252">
        <v>0</v>
      </c>
      <c r="AC252">
        <v>0</v>
      </c>
      <c r="AD252">
        <v>61.6</v>
      </c>
      <c r="AE252">
        <v>0</v>
      </c>
      <c r="AF252">
        <v>0</v>
      </c>
      <c r="AG252">
        <v>0</v>
      </c>
      <c r="AH252">
        <v>9.18</v>
      </c>
      <c r="AI252">
        <v>1</v>
      </c>
      <c r="AJ252">
        <v>1</v>
      </c>
      <c r="AK252">
        <v>1</v>
      </c>
      <c r="AL252">
        <v>6.71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15.2</v>
      </c>
      <c r="AU252" t="s">
        <v>3</v>
      </c>
      <c r="AV252">
        <v>1</v>
      </c>
      <c r="AW252">
        <v>2</v>
      </c>
      <c r="AX252">
        <v>39096835</v>
      </c>
      <c r="AY252">
        <v>1</v>
      </c>
      <c r="AZ252">
        <v>0</v>
      </c>
      <c r="BA252">
        <v>249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Y252*Source!I177</f>
        <v>65.36</v>
      </c>
      <c r="CY252">
        <f>AD252</f>
        <v>61.6</v>
      </c>
      <c r="CZ252">
        <f>AH252</f>
        <v>9.18</v>
      </c>
      <c r="DA252">
        <f>AL252</f>
        <v>6.71</v>
      </c>
      <c r="DB252">
        <v>0</v>
      </c>
    </row>
    <row r="253" spans="1:106" x14ac:dyDescent="0.2">
      <c r="A253">
        <f>ROW(Source!A177)</f>
        <v>177</v>
      </c>
      <c r="B253">
        <v>39096431</v>
      </c>
      <c r="C253">
        <v>39096830</v>
      </c>
      <c r="D253">
        <v>36804661</v>
      </c>
      <c r="E253">
        <v>1</v>
      </c>
      <c r="F253">
        <v>1</v>
      </c>
      <c r="G253">
        <v>1</v>
      </c>
      <c r="H253">
        <v>3</v>
      </c>
      <c r="I253" t="s">
        <v>899</v>
      </c>
      <c r="J253" t="s">
        <v>900</v>
      </c>
      <c r="K253" t="s">
        <v>901</v>
      </c>
      <c r="L253">
        <v>1355</v>
      </c>
      <c r="N253">
        <v>1010</v>
      </c>
      <c r="O253" t="s">
        <v>161</v>
      </c>
      <c r="P253" t="s">
        <v>161</v>
      </c>
      <c r="Q253">
        <v>100</v>
      </c>
      <c r="W253">
        <v>0</v>
      </c>
      <c r="X253">
        <v>1135215184</v>
      </c>
      <c r="Y253">
        <v>1.75</v>
      </c>
      <c r="AA253">
        <v>53.68</v>
      </c>
      <c r="AB253">
        <v>0</v>
      </c>
      <c r="AC253">
        <v>0</v>
      </c>
      <c r="AD253">
        <v>0</v>
      </c>
      <c r="AE253">
        <v>8</v>
      </c>
      <c r="AF253">
        <v>0</v>
      </c>
      <c r="AG253">
        <v>0</v>
      </c>
      <c r="AH253">
        <v>0</v>
      </c>
      <c r="AI253">
        <v>6.71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1.75</v>
      </c>
      <c r="AU253" t="s">
        <v>3</v>
      </c>
      <c r="AV253">
        <v>0</v>
      </c>
      <c r="AW253">
        <v>2</v>
      </c>
      <c r="AX253">
        <v>39096836</v>
      </c>
      <c r="AY253">
        <v>1</v>
      </c>
      <c r="AZ253">
        <v>0</v>
      </c>
      <c r="BA253">
        <v>250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Y253*Source!I177</f>
        <v>7.5249999999999995</v>
      </c>
      <c r="CY253">
        <f>AA253</f>
        <v>53.68</v>
      </c>
      <c r="CZ253">
        <f>AE253</f>
        <v>8</v>
      </c>
      <c r="DA253">
        <f>AI253</f>
        <v>6.71</v>
      </c>
      <c r="DB253">
        <v>0</v>
      </c>
    </row>
    <row r="254" spans="1:106" x14ac:dyDescent="0.2">
      <c r="A254">
        <f>ROW(Source!A177)</f>
        <v>177</v>
      </c>
      <c r="B254">
        <v>39096431</v>
      </c>
      <c r="C254">
        <v>39096830</v>
      </c>
      <c r="D254">
        <v>36868178</v>
      </c>
      <c r="E254">
        <v>1</v>
      </c>
      <c r="F254">
        <v>1</v>
      </c>
      <c r="G254">
        <v>1</v>
      </c>
      <c r="H254">
        <v>3</v>
      </c>
      <c r="I254" t="s">
        <v>451</v>
      </c>
      <c r="J254" t="s">
        <v>453</v>
      </c>
      <c r="K254" t="s">
        <v>452</v>
      </c>
      <c r="L254">
        <v>1302</v>
      </c>
      <c r="N254">
        <v>1003</v>
      </c>
      <c r="O254" t="s">
        <v>425</v>
      </c>
      <c r="P254" t="s">
        <v>425</v>
      </c>
      <c r="Q254">
        <v>10</v>
      </c>
      <c r="W254">
        <v>0</v>
      </c>
      <c r="X254">
        <v>1745554190</v>
      </c>
      <c r="Y254">
        <v>10</v>
      </c>
      <c r="AA254">
        <v>212.04</v>
      </c>
      <c r="AB254">
        <v>0</v>
      </c>
      <c r="AC254">
        <v>0</v>
      </c>
      <c r="AD254">
        <v>0</v>
      </c>
      <c r="AE254">
        <v>31.6</v>
      </c>
      <c r="AF254">
        <v>0</v>
      </c>
      <c r="AG254">
        <v>0</v>
      </c>
      <c r="AH254">
        <v>0</v>
      </c>
      <c r="AI254">
        <v>6.71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3</v>
      </c>
      <c r="AT254">
        <v>10</v>
      </c>
      <c r="AU254" t="s">
        <v>3</v>
      </c>
      <c r="AV254">
        <v>0</v>
      </c>
      <c r="AW254">
        <v>1</v>
      </c>
      <c r="AX254">
        <v>-1</v>
      </c>
      <c r="AY254">
        <v>0</v>
      </c>
      <c r="AZ254">
        <v>0</v>
      </c>
      <c r="BA254" t="s">
        <v>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Y254*Source!I177</f>
        <v>43</v>
      </c>
      <c r="CY254">
        <f>AA254</f>
        <v>212.04</v>
      </c>
      <c r="CZ254">
        <f>AE254</f>
        <v>31.6</v>
      </c>
      <c r="DA254">
        <f>AI254</f>
        <v>6.71</v>
      </c>
      <c r="DB254">
        <v>0</v>
      </c>
    </row>
    <row r="255" spans="1:106" x14ac:dyDescent="0.2">
      <c r="A255">
        <f>ROW(Source!A177)</f>
        <v>177</v>
      </c>
      <c r="B255">
        <v>39096431</v>
      </c>
      <c r="C255">
        <v>39096830</v>
      </c>
      <c r="D255">
        <v>36799065</v>
      </c>
      <c r="E255">
        <v>17</v>
      </c>
      <c r="F255">
        <v>1</v>
      </c>
      <c r="G255">
        <v>1</v>
      </c>
      <c r="H255">
        <v>3</v>
      </c>
      <c r="I255" t="s">
        <v>835</v>
      </c>
      <c r="J255" t="s">
        <v>3</v>
      </c>
      <c r="K255" t="s">
        <v>836</v>
      </c>
      <c r="L255">
        <v>1374</v>
      </c>
      <c r="N255">
        <v>1013</v>
      </c>
      <c r="O255" t="s">
        <v>837</v>
      </c>
      <c r="P255" t="s">
        <v>837</v>
      </c>
      <c r="Q255">
        <v>1</v>
      </c>
      <c r="W255">
        <v>0</v>
      </c>
      <c r="X255">
        <v>-1731369543</v>
      </c>
      <c r="Y255">
        <v>2.79</v>
      </c>
      <c r="AA255">
        <v>1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2.79</v>
      </c>
      <c r="AU255" t="s">
        <v>3</v>
      </c>
      <c r="AV255">
        <v>0</v>
      </c>
      <c r="AW255">
        <v>2</v>
      </c>
      <c r="AX255">
        <v>39096837</v>
      </c>
      <c r="AY255">
        <v>1</v>
      </c>
      <c r="AZ255">
        <v>0</v>
      </c>
      <c r="BA255">
        <v>251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Y255*Source!I177</f>
        <v>11.997</v>
      </c>
      <c r="CY255">
        <f>AA255</f>
        <v>1</v>
      </c>
      <c r="CZ255">
        <f>AE255</f>
        <v>1</v>
      </c>
      <c r="DA255">
        <f>AI255</f>
        <v>1</v>
      </c>
      <c r="DB255">
        <v>0</v>
      </c>
    </row>
    <row r="256" spans="1:106" x14ac:dyDescent="0.2">
      <c r="A256">
        <f>ROW(Source!A179)</f>
        <v>179</v>
      </c>
      <c r="B256">
        <v>39096431</v>
      </c>
      <c r="C256">
        <v>39488965</v>
      </c>
      <c r="D256">
        <v>37064878</v>
      </c>
      <c r="E256">
        <v>1</v>
      </c>
      <c r="F256">
        <v>1</v>
      </c>
      <c r="G256">
        <v>1</v>
      </c>
      <c r="H256">
        <v>1</v>
      </c>
      <c r="I256" t="s">
        <v>744</v>
      </c>
      <c r="J256" t="s">
        <v>3</v>
      </c>
      <c r="K256" t="s">
        <v>745</v>
      </c>
      <c r="L256">
        <v>1191</v>
      </c>
      <c r="N256">
        <v>1013</v>
      </c>
      <c r="O256" t="s">
        <v>660</v>
      </c>
      <c r="P256" t="s">
        <v>660</v>
      </c>
      <c r="Q256">
        <v>1</v>
      </c>
      <c r="W256">
        <v>0</v>
      </c>
      <c r="X256">
        <v>-1081351934</v>
      </c>
      <c r="Y256">
        <v>3.76</v>
      </c>
      <c r="AA256">
        <v>0</v>
      </c>
      <c r="AB256">
        <v>0</v>
      </c>
      <c r="AC256">
        <v>0</v>
      </c>
      <c r="AD256">
        <v>63.07</v>
      </c>
      <c r="AE256">
        <v>0</v>
      </c>
      <c r="AF256">
        <v>0</v>
      </c>
      <c r="AG256">
        <v>0</v>
      </c>
      <c r="AH256">
        <v>9.4</v>
      </c>
      <c r="AI256">
        <v>1</v>
      </c>
      <c r="AJ256">
        <v>1</v>
      </c>
      <c r="AK256">
        <v>1</v>
      </c>
      <c r="AL256">
        <v>6.71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3.76</v>
      </c>
      <c r="AU256" t="s">
        <v>3</v>
      </c>
      <c r="AV256">
        <v>1</v>
      </c>
      <c r="AW256">
        <v>2</v>
      </c>
      <c r="AX256">
        <v>39488966</v>
      </c>
      <c r="AY256">
        <v>1</v>
      </c>
      <c r="AZ256">
        <v>0</v>
      </c>
      <c r="BA256">
        <v>252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Y256*Source!I179</f>
        <v>3.5719999999999996</v>
      </c>
      <c r="CY256">
        <f>AD256</f>
        <v>63.07</v>
      </c>
      <c r="CZ256">
        <f>AH256</f>
        <v>9.4</v>
      </c>
      <c r="DA256">
        <f>AL256</f>
        <v>6.71</v>
      </c>
      <c r="DB256">
        <v>0</v>
      </c>
    </row>
    <row r="257" spans="1:106" x14ac:dyDescent="0.2">
      <c r="A257">
        <f>ROW(Source!A179)</f>
        <v>179</v>
      </c>
      <c r="B257">
        <v>39096431</v>
      </c>
      <c r="C257">
        <v>39488965</v>
      </c>
      <c r="D257">
        <v>37064876</v>
      </c>
      <c r="E257">
        <v>1</v>
      </c>
      <c r="F257">
        <v>1</v>
      </c>
      <c r="G257">
        <v>1</v>
      </c>
      <c r="H257">
        <v>1</v>
      </c>
      <c r="I257" t="s">
        <v>661</v>
      </c>
      <c r="J257" t="s">
        <v>3</v>
      </c>
      <c r="K257" t="s">
        <v>662</v>
      </c>
      <c r="L257">
        <v>1191</v>
      </c>
      <c r="N257">
        <v>1013</v>
      </c>
      <c r="O257" t="s">
        <v>660</v>
      </c>
      <c r="P257" t="s">
        <v>660</v>
      </c>
      <c r="Q257">
        <v>1</v>
      </c>
      <c r="W257">
        <v>0</v>
      </c>
      <c r="X257">
        <v>-1417349443</v>
      </c>
      <c r="Y257">
        <v>0.02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6.71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0.02</v>
      </c>
      <c r="AU257" t="s">
        <v>3</v>
      </c>
      <c r="AV257">
        <v>2</v>
      </c>
      <c r="AW257">
        <v>2</v>
      </c>
      <c r="AX257">
        <v>39488967</v>
      </c>
      <c r="AY257">
        <v>1</v>
      </c>
      <c r="AZ257">
        <v>0</v>
      </c>
      <c r="BA257">
        <v>253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Y257*Source!I179</f>
        <v>1.9E-2</v>
      </c>
      <c r="CY257">
        <f>AD257</f>
        <v>0</v>
      </c>
      <c r="CZ257">
        <f>AH257</f>
        <v>0</v>
      </c>
      <c r="DA257">
        <f>AL257</f>
        <v>1</v>
      </c>
      <c r="DB257">
        <v>0</v>
      </c>
    </row>
    <row r="258" spans="1:106" x14ac:dyDescent="0.2">
      <c r="A258">
        <f>ROW(Source!A179)</f>
        <v>179</v>
      </c>
      <c r="B258">
        <v>39096431</v>
      </c>
      <c r="C258">
        <v>39488965</v>
      </c>
      <c r="D258">
        <v>36882159</v>
      </c>
      <c r="E258">
        <v>1</v>
      </c>
      <c r="F258">
        <v>1</v>
      </c>
      <c r="G258">
        <v>1</v>
      </c>
      <c r="H258">
        <v>2</v>
      </c>
      <c r="I258" t="s">
        <v>802</v>
      </c>
      <c r="J258" t="s">
        <v>803</v>
      </c>
      <c r="K258" t="s">
        <v>804</v>
      </c>
      <c r="L258">
        <v>1368</v>
      </c>
      <c r="N258">
        <v>1011</v>
      </c>
      <c r="O258" t="s">
        <v>666</v>
      </c>
      <c r="P258" t="s">
        <v>666</v>
      </c>
      <c r="Q258">
        <v>1</v>
      </c>
      <c r="W258">
        <v>0</v>
      </c>
      <c r="X258">
        <v>-1718674368</v>
      </c>
      <c r="Y258">
        <v>0.01</v>
      </c>
      <c r="AA258">
        <v>0</v>
      </c>
      <c r="AB258">
        <v>751.45</v>
      </c>
      <c r="AC258">
        <v>13.5</v>
      </c>
      <c r="AD258">
        <v>0</v>
      </c>
      <c r="AE258">
        <v>0</v>
      </c>
      <c r="AF258">
        <v>111.99</v>
      </c>
      <c r="AG258">
        <v>13.5</v>
      </c>
      <c r="AH258">
        <v>0</v>
      </c>
      <c r="AI258">
        <v>1</v>
      </c>
      <c r="AJ258">
        <v>6.71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0.01</v>
      </c>
      <c r="AU258" t="s">
        <v>3</v>
      </c>
      <c r="AV258">
        <v>0</v>
      </c>
      <c r="AW258">
        <v>2</v>
      </c>
      <c r="AX258">
        <v>39488968</v>
      </c>
      <c r="AY258">
        <v>1</v>
      </c>
      <c r="AZ258">
        <v>0</v>
      </c>
      <c r="BA258">
        <v>254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Y258*Source!I179</f>
        <v>9.4999999999999998E-3</v>
      </c>
      <c r="CY258">
        <f>AB258</f>
        <v>751.45</v>
      </c>
      <c r="CZ258">
        <f>AF258</f>
        <v>111.99</v>
      </c>
      <c r="DA258">
        <f>AJ258</f>
        <v>6.71</v>
      </c>
      <c r="DB258">
        <v>0</v>
      </c>
    </row>
    <row r="259" spans="1:106" x14ac:dyDescent="0.2">
      <c r="A259">
        <f>ROW(Source!A179)</f>
        <v>179</v>
      </c>
      <c r="B259">
        <v>39096431</v>
      </c>
      <c r="C259">
        <v>39488965</v>
      </c>
      <c r="D259">
        <v>36883554</v>
      </c>
      <c r="E259">
        <v>1</v>
      </c>
      <c r="F259">
        <v>1</v>
      </c>
      <c r="G259">
        <v>1</v>
      </c>
      <c r="H259">
        <v>2</v>
      </c>
      <c r="I259" t="s">
        <v>679</v>
      </c>
      <c r="J259" t="s">
        <v>680</v>
      </c>
      <c r="K259" t="s">
        <v>681</v>
      </c>
      <c r="L259">
        <v>1368</v>
      </c>
      <c r="N259">
        <v>1011</v>
      </c>
      <c r="O259" t="s">
        <v>666</v>
      </c>
      <c r="P259" t="s">
        <v>666</v>
      </c>
      <c r="Q259">
        <v>1</v>
      </c>
      <c r="W259">
        <v>0</v>
      </c>
      <c r="X259">
        <v>1372534845</v>
      </c>
      <c r="Y259">
        <v>0.01</v>
      </c>
      <c r="AA259">
        <v>0</v>
      </c>
      <c r="AB259">
        <v>440.91</v>
      </c>
      <c r="AC259">
        <v>11.6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6.71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0.01</v>
      </c>
      <c r="AU259" t="s">
        <v>3</v>
      </c>
      <c r="AV259">
        <v>0</v>
      </c>
      <c r="AW259">
        <v>2</v>
      </c>
      <c r="AX259">
        <v>39488969</v>
      </c>
      <c r="AY259">
        <v>1</v>
      </c>
      <c r="AZ259">
        <v>0</v>
      </c>
      <c r="BA259">
        <v>255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Y259*Source!I179</f>
        <v>9.4999999999999998E-3</v>
      </c>
      <c r="CY259">
        <f>AB259</f>
        <v>440.91</v>
      </c>
      <c r="CZ259">
        <f>AF259</f>
        <v>65.709999999999994</v>
      </c>
      <c r="DA259">
        <f>AJ259</f>
        <v>6.71</v>
      </c>
      <c r="DB259">
        <v>0</v>
      </c>
    </row>
    <row r="260" spans="1:106" x14ac:dyDescent="0.2">
      <c r="A260">
        <f>ROW(Source!A179)</f>
        <v>179</v>
      </c>
      <c r="B260">
        <v>39096431</v>
      </c>
      <c r="C260">
        <v>39488965</v>
      </c>
      <c r="D260">
        <v>36802094</v>
      </c>
      <c r="E260">
        <v>1</v>
      </c>
      <c r="F260">
        <v>1</v>
      </c>
      <c r="G260">
        <v>1</v>
      </c>
      <c r="H260">
        <v>3</v>
      </c>
      <c r="I260" t="s">
        <v>852</v>
      </c>
      <c r="J260" t="s">
        <v>853</v>
      </c>
      <c r="K260" t="s">
        <v>854</v>
      </c>
      <c r="L260">
        <v>1346</v>
      </c>
      <c r="N260">
        <v>1009</v>
      </c>
      <c r="O260" t="s">
        <v>138</v>
      </c>
      <c r="P260" t="s">
        <v>138</v>
      </c>
      <c r="Q260">
        <v>1</v>
      </c>
      <c r="W260">
        <v>0</v>
      </c>
      <c r="X260">
        <v>-1088866022</v>
      </c>
      <c r="Y260">
        <v>0.16</v>
      </c>
      <c r="AA260">
        <v>203.98</v>
      </c>
      <c r="AB260">
        <v>0</v>
      </c>
      <c r="AC260">
        <v>0</v>
      </c>
      <c r="AD260">
        <v>0</v>
      </c>
      <c r="AE260">
        <v>30.4</v>
      </c>
      <c r="AF260">
        <v>0</v>
      </c>
      <c r="AG260">
        <v>0</v>
      </c>
      <c r="AH260">
        <v>0</v>
      </c>
      <c r="AI260">
        <v>6.71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0.16</v>
      </c>
      <c r="AU260" t="s">
        <v>3</v>
      </c>
      <c r="AV260">
        <v>0</v>
      </c>
      <c r="AW260">
        <v>2</v>
      </c>
      <c r="AX260">
        <v>39488970</v>
      </c>
      <c r="AY260">
        <v>1</v>
      </c>
      <c r="AZ260">
        <v>0</v>
      </c>
      <c r="BA260">
        <v>256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Y260*Source!I179</f>
        <v>0.152</v>
      </c>
      <c r="CY260">
        <f>AA260</f>
        <v>203.98</v>
      </c>
      <c r="CZ260">
        <f>AE260</f>
        <v>30.4</v>
      </c>
      <c r="DA260">
        <f>AI260</f>
        <v>6.71</v>
      </c>
      <c r="DB260">
        <v>0</v>
      </c>
    </row>
    <row r="261" spans="1:106" x14ac:dyDescent="0.2">
      <c r="A261">
        <f>ROW(Source!A179)</f>
        <v>179</v>
      </c>
      <c r="B261">
        <v>39096431</v>
      </c>
      <c r="C261">
        <v>39488965</v>
      </c>
      <c r="D261">
        <v>36802106</v>
      </c>
      <c r="E261">
        <v>1</v>
      </c>
      <c r="F261">
        <v>1</v>
      </c>
      <c r="G261">
        <v>1</v>
      </c>
      <c r="H261">
        <v>3</v>
      </c>
      <c r="I261" t="s">
        <v>902</v>
      </c>
      <c r="J261" t="s">
        <v>903</v>
      </c>
      <c r="K261" t="s">
        <v>904</v>
      </c>
      <c r="L261">
        <v>1308</v>
      </c>
      <c r="N261">
        <v>1003</v>
      </c>
      <c r="O261" t="s">
        <v>27</v>
      </c>
      <c r="P261" t="s">
        <v>27</v>
      </c>
      <c r="Q261">
        <v>100</v>
      </c>
      <c r="W261">
        <v>0</v>
      </c>
      <c r="X261">
        <v>568244124</v>
      </c>
      <c r="Y261">
        <v>5.5E-2</v>
      </c>
      <c r="AA261">
        <v>805.2</v>
      </c>
      <c r="AB261">
        <v>0</v>
      </c>
      <c r="AC261">
        <v>0</v>
      </c>
      <c r="AD261">
        <v>0</v>
      </c>
      <c r="AE261">
        <v>120</v>
      </c>
      <c r="AF261">
        <v>0</v>
      </c>
      <c r="AG261">
        <v>0</v>
      </c>
      <c r="AH261">
        <v>0</v>
      </c>
      <c r="AI261">
        <v>6.71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5.5E-2</v>
      </c>
      <c r="AU261" t="s">
        <v>3</v>
      </c>
      <c r="AV261">
        <v>0</v>
      </c>
      <c r="AW261">
        <v>2</v>
      </c>
      <c r="AX261">
        <v>39488971</v>
      </c>
      <c r="AY261">
        <v>1</v>
      </c>
      <c r="AZ261">
        <v>0</v>
      </c>
      <c r="BA261">
        <v>257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Y261*Source!I179</f>
        <v>5.2249999999999998E-2</v>
      </c>
      <c r="CY261">
        <f>AA261</f>
        <v>805.2</v>
      </c>
      <c r="CZ261">
        <f>AE261</f>
        <v>120</v>
      </c>
      <c r="DA261">
        <f>AI261</f>
        <v>6.71</v>
      </c>
      <c r="DB261">
        <v>0</v>
      </c>
    </row>
    <row r="262" spans="1:106" x14ac:dyDescent="0.2">
      <c r="A262">
        <f>ROW(Source!A179)</f>
        <v>179</v>
      </c>
      <c r="B262">
        <v>39096431</v>
      </c>
      <c r="C262">
        <v>39488965</v>
      </c>
      <c r="D262">
        <v>36838317</v>
      </c>
      <c r="E262">
        <v>1</v>
      </c>
      <c r="F262">
        <v>1</v>
      </c>
      <c r="G262">
        <v>1</v>
      </c>
      <c r="H262">
        <v>3</v>
      </c>
      <c r="I262" t="s">
        <v>870</v>
      </c>
      <c r="J262" t="s">
        <v>871</v>
      </c>
      <c r="K262" t="s">
        <v>872</v>
      </c>
      <c r="L262">
        <v>1346</v>
      </c>
      <c r="N262">
        <v>1009</v>
      </c>
      <c r="O262" t="s">
        <v>138</v>
      </c>
      <c r="P262" t="s">
        <v>138</v>
      </c>
      <c r="Q262">
        <v>1</v>
      </c>
      <c r="W262">
        <v>0</v>
      </c>
      <c r="X262">
        <v>210558753</v>
      </c>
      <c r="Y262">
        <v>0.05</v>
      </c>
      <c r="AA262">
        <v>191.91</v>
      </c>
      <c r="AB262">
        <v>0</v>
      </c>
      <c r="AC262">
        <v>0</v>
      </c>
      <c r="AD262">
        <v>0</v>
      </c>
      <c r="AE262">
        <v>28.6</v>
      </c>
      <c r="AF262">
        <v>0</v>
      </c>
      <c r="AG262">
        <v>0</v>
      </c>
      <c r="AH262">
        <v>0</v>
      </c>
      <c r="AI262">
        <v>6.71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0.05</v>
      </c>
      <c r="AU262" t="s">
        <v>3</v>
      </c>
      <c r="AV262">
        <v>0</v>
      </c>
      <c r="AW262">
        <v>2</v>
      </c>
      <c r="AX262">
        <v>39488972</v>
      </c>
      <c r="AY262">
        <v>1</v>
      </c>
      <c r="AZ262">
        <v>0</v>
      </c>
      <c r="BA262">
        <v>258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Y262*Source!I179</f>
        <v>4.7500000000000001E-2</v>
      </c>
      <c r="CY262">
        <f>AA262</f>
        <v>191.91</v>
      </c>
      <c r="CZ262">
        <f>AE262</f>
        <v>28.6</v>
      </c>
      <c r="DA262">
        <f>AI262</f>
        <v>6.71</v>
      </c>
      <c r="DB262">
        <v>0</v>
      </c>
    </row>
    <row r="263" spans="1:106" x14ac:dyDescent="0.2">
      <c r="A263">
        <f>ROW(Source!A179)</f>
        <v>179</v>
      </c>
      <c r="B263">
        <v>39096431</v>
      </c>
      <c r="C263">
        <v>39488965</v>
      </c>
      <c r="D263">
        <v>36857511</v>
      </c>
      <c r="E263">
        <v>1</v>
      </c>
      <c r="F263">
        <v>1</v>
      </c>
      <c r="G263">
        <v>1</v>
      </c>
      <c r="H263">
        <v>3</v>
      </c>
      <c r="I263" t="s">
        <v>459</v>
      </c>
      <c r="J263" t="s">
        <v>462</v>
      </c>
      <c r="K263" t="s">
        <v>460</v>
      </c>
      <c r="L263">
        <v>1477</v>
      </c>
      <c r="N263">
        <v>1013</v>
      </c>
      <c r="O263" t="s">
        <v>461</v>
      </c>
      <c r="P263" t="s">
        <v>463</v>
      </c>
      <c r="Q263">
        <v>1</v>
      </c>
      <c r="W263">
        <v>0</v>
      </c>
      <c r="X263">
        <v>559331636</v>
      </c>
      <c r="Y263">
        <v>0.1</v>
      </c>
      <c r="AA263">
        <v>46435.95</v>
      </c>
      <c r="AB263">
        <v>0</v>
      </c>
      <c r="AC263">
        <v>0</v>
      </c>
      <c r="AD263">
        <v>0</v>
      </c>
      <c r="AE263">
        <v>6920.41</v>
      </c>
      <c r="AF263">
        <v>0</v>
      </c>
      <c r="AG263">
        <v>0</v>
      </c>
      <c r="AH263">
        <v>0</v>
      </c>
      <c r="AI263">
        <v>6.71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3</v>
      </c>
      <c r="AT263">
        <v>0.1</v>
      </c>
      <c r="AU263" t="s">
        <v>3</v>
      </c>
      <c r="AV263">
        <v>0</v>
      </c>
      <c r="AW263">
        <v>1</v>
      </c>
      <c r="AX263">
        <v>-1</v>
      </c>
      <c r="AY263">
        <v>0</v>
      </c>
      <c r="AZ263">
        <v>0</v>
      </c>
      <c r="BA263" t="s">
        <v>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Y263*Source!I179</f>
        <v>9.5000000000000001E-2</v>
      </c>
      <c r="CY263">
        <f>AA263</f>
        <v>46435.95</v>
      </c>
      <c r="CZ263">
        <f>AE263</f>
        <v>6920.41</v>
      </c>
      <c r="DA263">
        <f>AI263</f>
        <v>6.71</v>
      </c>
      <c r="DB263">
        <v>0</v>
      </c>
    </row>
    <row r="264" spans="1:106" x14ac:dyDescent="0.2">
      <c r="A264">
        <f>ROW(Source!A179)</f>
        <v>179</v>
      </c>
      <c r="B264">
        <v>39096431</v>
      </c>
      <c r="C264">
        <v>39488965</v>
      </c>
      <c r="D264">
        <v>36799065</v>
      </c>
      <c r="E264">
        <v>17</v>
      </c>
      <c r="F264">
        <v>1</v>
      </c>
      <c r="G264">
        <v>1</v>
      </c>
      <c r="H264">
        <v>3</v>
      </c>
      <c r="I264" t="s">
        <v>835</v>
      </c>
      <c r="J264" t="s">
        <v>3</v>
      </c>
      <c r="K264" t="s">
        <v>836</v>
      </c>
      <c r="L264">
        <v>1374</v>
      </c>
      <c r="N264">
        <v>1013</v>
      </c>
      <c r="O264" t="s">
        <v>837</v>
      </c>
      <c r="P264" t="s">
        <v>837</v>
      </c>
      <c r="Q264">
        <v>1</v>
      </c>
      <c r="W264">
        <v>0</v>
      </c>
      <c r="X264">
        <v>-1731369543</v>
      </c>
      <c r="Y264">
        <v>0.71</v>
      </c>
      <c r="AA264">
        <v>1</v>
      </c>
      <c r="AB264">
        <v>0</v>
      </c>
      <c r="AC264">
        <v>0</v>
      </c>
      <c r="AD264">
        <v>0</v>
      </c>
      <c r="AE264">
        <v>1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0.71</v>
      </c>
      <c r="AU264" t="s">
        <v>3</v>
      </c>
      <c r="AV264">
        <v>0</v>
      </c>
      <c r="AW264">
        <v>2</v>
      </c>
      <c r="AX264">
        <v>39488973</v>
      </c>
      <c r="AY264">
        <v>1</v>
      </c>
      <c r="AZ264">
        <v>0</v>
      </c>
      <c r="BA264">
        <v>259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Y264*Source!I179</f>
        <v>0.67449999999999999</v>
      </c>
      <c r="CY264">
        <f>AA264</f>
        <v>1</v>
      </c>
      <c r="CZ264">
        <f>AE264</f>
        <v>1</v>
      </c>
      <c r="DA264">
        <f>AI264</f>
        <v>1</v>
      </c>
      <c r="DB264">
        <v>0</v>
      </c>
    </row>
    <row r="265" spans="1:106" x14ac:dyDescent="0.2">
      <c r="A265">
        <f>ROW(Source!A181)</f>
        <v>181</v>
      </c>
      <c r="B265">
        <v>39096431</v>
      </c>
      <c r="C265">
        <v>39096858</v>
      </c>
      <c r="D265">
        <v>37064878</v>
      </c>
      <c r="E265">
        <v>1</v>
      </c>
      <c r="F265">
        <v>1</v>
      </c>
      <c r="G265">
        <v>1</v>
      </c>
      <c r="H265">
        <v>1</v>
      </c>
      <c r="I265" t="s">
        <v>744</v>
      </c>
      <c r="J265" t="s">
        <v>3</v>
      </c>
      <c r="K265" t="s">
        <v>745</v>
      </c>
      <c r="L265">
        <v>1191</v>
      </c>
      <c r="N265">
        <v>1013</v>
      </c>
      <c r="O265" t="s">
        <v>660</v>
      </c>
      <c r="P265" t="s">
        <v>660</v>
      </c>
      <c r="Q265">
        <v>1</v>
      </c>
      <c r="W265">
        <v>0</v>
      </c>
      <c r="X265">
        <v>-1081351934</v>
      </c>
      <c r="Y265">
        <v>6.29</v>
      </c>
      <c r="AA265">
        <v>0</v>
      </c>
      <c r="AB265">
        <v>0</v>
      </c>
      <c r="AC265">
        <v>0</v>
      </c>
      <c r="AD265">
        <v>63.07</v>
      </c>
      <c r="AE265">
        <v>0</v>
      </c>
      <c r="AF265">
        <v>0</v>
      </c>
      <c r="AG265">
        <v>0</v>
      </c>
      <c r="AH265">
        <v>9.4</v>
      </c>
      <c r="AI265">
        <v>1</v>
      </c>
      <c r="AJ265">
        <v>1</v>
      </c>
      <c r="AK265">
        <v>1</v>
      </c>
      <c r="AL265">
        <v>6.71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6.29</v>
      </c>
      <c r="AU265" t="s">
        <v>3</v>
      </c>
      <c r="AV265">
        <v>1</v>
      </c>
      <c r="AW265">
        <v>2</v>
      </c>
      <c r="AX265">
        <v>39096870</v>
      </c>
      <c r="AY265">
        <v>1</v>
      </c>
      <c r="AZ265">
        <v>0</v>
      </c>
      <c r="BA265">
        <v>260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Y265*Source!I181</f>
        <v>49.061999999999998</v>
      </c>
      <c r="CY265">
        <f>AD265</f>
        <v>63.07</v>
      </c>
      <c r="CZ265">
        <f>AH265</f>
        <v>9.4</v>
      </c>
      <c r="DA265">
        <f>AL265</f>
        <v>6.71</v>
      </c>
      <c r="DB265">
        <v>0</v>
      </c>
    </row>
    <row r="266" spans="1:106" x14ac:dyDescent="0.2">
      <c r="A266">
        <f>ROW(Source!A181)</f>
        <v>181</v>
      </c>
      <c r="B266">
        <v>39096431</v>
      </c>
      <c r="C266">
        <v>39096858</v>
      </c>
      <c r="D266">
        <v>37064876</v>
      </c>
      <c r="E266">
        <v>1</v>
      </c>
      <c r="F266">
        <v>1</v>
      </c>
      <c r="G266">
        <v>1</v>
      </c>
      <c r="H266">
        <v>1</v>
      </c>
      <c r="I266" t="s">
        <v>661</v>
      </c>
      <c r="J266" t="s">
        <v>3</v>
      </c>
      <c r="K266" t="s">
        <v>662</v>
      </c>
      <c r="L266">
        <v>1191</v>
      </c>
      <c r="N266">
        <v>1013</v>
      </c>
      <c r="O266" t="s">
        <v>660</v>
      </c>
      <c r="P266" t="s">
        <v>660</v>
      </c>
      <c r="Q266">
        <v>1</v>
      </c>
      <c r="W266">
        <v>0</v>
      </c>
      <c r="X266">
        <v>-1417349443</v>
      </c>
      <c r="Y266">
        <v>0.06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6.71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0.06</v>
      </c>
      <c r="AU266" t="s">
        <v>3</v>
      </c>
      <c r="AV266">
        <v>2</v>
      </c>
      <c r="AW266">
        <v>2</v>
      </c>
      <c r="AX266">
        <v>39096871</v>
      </c>
      <c r="AY266">
        <v>1</v>
      </c>
      <c r="AZ266">
        <v>0</v>
      </c>
      <c r="BA266">
        <v>261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Y266*Source!I181</f>
        <v>0.46799999999999997</v>
      </c>
      <c r="CY266">
        <f>AD266</f>
        <v>0</v>
      </c>
      <c r="CZ266">
        <f>AH266</f>
        <v>0</v>
      </c>
      <c r="DA266">
        <f>AL266</f>
        <v>1</v>
      </c>
      <c r="DB266">
        <v>0</v>
      </c>
    </row>
    <row r="267" spans="1:106" x14ac:dyDescent="0.2">
      <c r="A267">
        <f>ROW(Source!A181)</f>
        <v>181</v>
      </c>
      <c r="B267">
        <v>39096431</v>
      </c>
      <c r="C267">
        <v>39096858</v>
      </c>
      <c r="D267">
        <v>36882159</v>
      </c>
      <c r="E267">
        <v>1</v>
      </c>
      <c r="F267">
        <v>1</v>
      </c>
      <c r="G267">
        <v>1</v>
      </c>
      <c r="H267">
        <v>2</v>
      </c>
      <c r="I267" t="s">
        <v>802</v>
      </c>
      <c r="J267" t="s">
        <v>803</v>
      </c>
      <c r="K267" t="s">
        <v>804</v>
      </c>
      <c r="L267">
        <v>1368</v>
      </c>
      <c r="N267">
        <v>1011</v>
      </c>
      <c r="O267" t="s">
        <v>666</v>
      </c>
      <c r="P267" t="s">
        <v>666</v>
      </c>
      <c r="Q267">
        <v>1</v>
      </c>
      <c r="W267">
        <v>0</v>
      </c>
      <c r="X267">
        <v>-1718674368</v>
      </c>
      <c r="Y267">
        <v>0.03</v>
      </c>
      <c r="AA267">
        <v>0</v>
      </c>
      <c r="AB267">
        <v>751.45</v>
      </c>
      <c r="AC267">
        <v>13.5</v>
      </c>
      <c r="AD267">
        <v>0</v>
      </c>
      <c r="AE267">
        <v>0</v>
      </c>
      <c r="AF267">
        <v>111.99</v>
      </c>
      <c r="AG267">
        <v>13.5</v>
      </c>
      <c r="AH267">
        <v>0</v>
      </c>
      <c r="AI267">
        <v>1</v>
      </c>
      <c r="AJ267">
        <v>6.71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0.03</v>
      </c>
      <c r="AU267" t="s">
        <v>3</v>
      </c>
      <c r="AV267">
        <v>0</v>
      </c>
      <c r="AW267">
        <v>2</v>
      </c>
      <c r="AX267">
        <v>39096872</v>
      </c>
      <c r="AY267">
        <v>1</v>
      </c>
      <c r="AZ267">
        <v>0</v>
      </c>
      <c r="BA267">
        <v>262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Y267*Source!I181</f>
        <v>0.23399999999999999</v>
      </c>
      <c r="CY267">
        <f>AB267</f>
        <v>751.45</v>
      </c>
      <c r="CZ267">
        <f>AF267</f>
        <v>111.99</v>
      </c>
      <c r="DA267">
        <f>AJ267</f>
        <v>6.71</v>
      </c>
      <c r="DB267">
        <v>0</v>
      </c>
    </row>
    <row r="268" spans="1:106" x14ac:dyDescent="0.2">
      <c r="A268">
        <f>ROW(Source!A181)</f>
        <v>181</v>
      </c>
      <c r="B268">
        <v>39096431</v>
      </c>
      <c r="C268">
        <v>39096858</v>
      </c>
      <c r="D268">
        <v>36883554</v>
      </c>
      <c r="E268">
        <v>1</v>
      </c>
      <c r="F268">
        <v>1</v>
      </c>
      <c r="G268">
        <v>1</v>
      </c>
      <c r="H268">
        <v>2</v>
      </c>
      <c r="I268" t="s">
        <v>679</v>
      </c>
      <c r="J268" t="s">
        <v>680</v>
      </c>
      <c r="K268" t="s">
        <v>681</v>
      </c>
      <c r="L268">
        <v>1368</v>
      </c>
      <c r="N268">
        <v>1011</v>
      </c>
      <c r="O268" t="s">
        <v>666</v>
      </c>
      <c r="P268" t="s">
        <v>666</v>
      </c>
      <c r="Q268">
        <v>1</v>
      </c>
      <c r="W268">
        <v>0</v>
      </c>
      <c r="X268">
        <v>1372534845</v>
      </c>
      <c r="Y268">
        <v>0.03</v>
      </c>
      <c r="AA268">
        <v>0</v>
      </c>
      <c r="AB268">
        <v>440.91</v>
      </c>
      <c r="AC268">
        <v>11.6</v>
      </c>
      <c r="AD268">
        <v>0</v>
      </c>
      <c r="AE268">
        <v>0</v>
      </c>
      <c r="AF268">
        <v>65.709999999999994</v>
      </c>
      <c r="AG268">
        <v>11.6</v>
      </c>
      <c r="AH268">
        <v>0</v>
      </c>
      <c r="AI268">
        <v>1</v>
      </c>
      <c r="AJ268">
        <v>6.71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0.03</v>
      </c>
      <c r="AU268" t="s">
        <v>3</v>
      </c>
      <c r="AV268">
        <v>0</v>
      </c>
      <c r="AW268">
        <v>2</v>
      </c>
      <c r="AX268">
        <v>39096873</v>
      </c>
      <c r="AY268">
        <v>1</v>
      </c>
      <c r="AZ268">
        <v>0</v>
      </c>
      <c r="BA268">
        <v>263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Y268*Source!I181</f>
        <v>0.23399999999999999</v>
      </c>
      <c r="CY268">
        <f>AB268</f>
        <v>440.91</v>
      </c>
      <c r="CZ268">
        <f>AF268</f>
        <v>65.709999999999994</v>
      </c>
      <c r="DA268">
        <f>AJ268</f>
        <v>6.71</v>
      </c>
      <c r="DB268">
        <v>0</v>
      </c>
    </row>
    <row r="269" spans="1:106" x14ac:dyDescent="0.2">
      <c r="A269">
        <f>ROW(Source!A181)</f>
        <v>181</v>
      </c>
      <c r="B269">
        <v>39096431</v>
      </c>
      <c r="C269">
        <v>39096858</v>
      </c>
      <c r="D269">
        <v>36802094</v>
      </c>
      <c r="E269">
        <v>1</v>
      </c>
      <c r="F269">
        <v>1</v>
      </c>
      <c r="G269">
        <v>1</v>
      </c>
      <c r="H269">
        <v>3</v>
      </c>
      <c r="I269" t="s">
        <v>852</v>
      </c>
      <c r="J269" t="s">
        <v>853</v>
      </c>
      <c r="K269" t="s">
        <v>854</v>
      </c>
      <c r="L269">
        <v>1346</v>
      </c>
      <c r="N269">
        <v>1009</v>
      </c>
      <c r="O269" t="s">
        <v>138</v>
      </c>
      <c r="P269" t="s">
        <v>138</v>
      </c>
      <c r="Q269">
        <v>1</v>
      </c>
      <c r="W269">
        <v>0</v>
      </c>
      <c r="X269">
        <v>-1088866022</v>
      </c>
      <c r="Y269">
        <v>0.32</v>
      </c>
      <c r="AA269">
        <v>203.98</v>
      </c>
      <c r="AB269">
        <v>0</v>
      </c>
      <c r="AC269">
        <v>0</v>
      </c>
      <c r="AD269">
        <v>0</v>
      </c>
      <c r="AE269">
        <v>30.4</v>
      </c>
      <c r="AF269">
        <v>0</v>
      </c>
      <c r="AG269">
        <v>0</v>
      </c>
      <c r="AH269">
        <v>0</v>
      </c>
      <c r="AI269">
        <v>6.71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0.32</v>
      </c>
      <c r="AU269" t="s">
        <v>3</v>
      </c>
      <c r="AV269">
        <v>0</v>
      </c>
      <c r="AW269">
        <v>2</v>
      </c>
      <c r="AX269">
        <v>39096874</v>
      </c>
      <c r="AY269">
        <v>1</v>
      </c>
      <c r="AZ269">
        <v>0</v>
      </c>
      <c r="BA269">
        <v>264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Y269*Source!I181</f>
        <v>2.496</v>
      </c>
      <c r="CY269">
        <f t="shared" ref="CY269:CY275" si="15">AA269</f>
        <v>203.98</v>
      </c>
      <c r="CZ269">
        <f t="shared" ref="CZ269:CZ275" si="16">AE269</f>
        <v>30.4</v>
      </c>
      <c r="DA269">
        <f t="shared" ref="DA269:DA275" si="17">AI269</f>
        <v>6.71</v>
      </c>
      <c r="DB269">
        <v>0</v>
      </c>
    </row>
    <row r="270" spans="1:106" x14ac:dyDescent="0.2">
      <c r="A270">
        <f>ROW(Source!A181)</f>
        <v>181</v>
      </c>
      <c r="B270">
        <v>39096431</v>
      </c>
      <c r="C270">
        <v>39096858</v>
      </c>
      <c r="D270">
        <v>36802373</v>
      </c>
      <c r="E270">
        <v>1</v>
      </c>
      <c r="F270">
        <v>1</v>
      </c>
      <c r="G270">
        <v>1</v>
      </c>
      <c r="H270">
        <v>3</v>
      </c>
      <c r="I270" t="s">
        <v>905</v>
      </c>
      <c r="J270" t="s">
        <v>906</v>
      </c>
      <c r="K270" t="s">
        <v>907</v>
      </c>
      <c r="L270">
        <v>1348</v>
      </c>
      <c r="N270">
        <v>1009</v>
      </c>
      <c r="O270" t="s">
        <v>110</v>
      </c>
      <c r="P270" t="s">
        <v>110</v>
      </c>
      <c r="Q270">
        <v>1000</v>
      </c>
      <c r="W270">
        <v>0</v>
      </c>
      <c r="X270">
        <v>1012095217</v>
      </c>
      <c r="Y270">
        <v>1.0499999999999999E-3</v>
      </c>
      <c r="AA270">
        <v>12212.2</v>
      </c>
      <c r="AB270">
        <v>0</v>
      </c>
      <c r="AC270">
        <v>0</v>
      </c>
      <c r="AD270">
        <v>0</v>
      </c>
      <c r="AE270">
        <v>1820</v>
      </c>
      <c r="AF270">
        <v>0</v>
      </c>
      <c r="AG270">
        <v>0</v>
      </c>
      <c r="AH270">
        <v>0</v>
      </c>
      <c r="AI270">
        <v>6.71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1.0499999999999999E-3</v>
      </c>
      <c r="AU270" t="s">
        <v>3</v>
      </c>
      <c r="AV270">
        <v>0</v>
      </c>
      <c r="AW270">
        <v>2</v>
      </c>
      <c r="AX270">
        <v>39096875</v>
      </c>
      <c r="AY270">
        <v>1</v>
      </c>
      <c r="AZ270">
        <v>0</v>
      </c>
      <c r="BA270">
        <v>265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Y270*Source!I181</f>
        <v>8.1899999999999994E-3</v>
      </c>
      <c r="CY270">
        <f t="shared" si="15"/>
        <v>12212.2</v>
      </c>
      <c r="CZ270">
        <f t="shared" si="16"/>
        <v>1820</v>
      </c>
      <c r="DA270">
        <f t="shared" si="17"/>
        <v>6.71</v>
      </c>
      <c r="DB270">
        <v>0</v>
      </c>
    </row>
    <row r="271" spans="1:106" x14ac:dyDescent="0.2">
      <c r="A271">
        <f>ROW(Source!A181)</f>
        <v>181</v>
      </c>
      <c r="B271">
        <v>39096431</v>
      </c>
      <c r="C271">
        <v>39096858</v>
      </c>
      <c r="D271">
        <v>36838317</v>
      </c>
      <c r="E271">
        <v>1</v>
      </c>
      <c r="F271">
        <v>1</v>
      </c>
      <c r="G271">
        <v>1</v>
      </c>
      <c r="H271">
        <v>3</v>
      </c>
      <c r="I271" t="s">
        <v>870</v>
      </c>
      <c r="J271" t="s">
        <v>871</v>
      </c>
      <c r="K271" t="s">
        <v>872</v>
      </c>
      <c r="L271">
        <v>1346</v>
      </c>
      <c r="N271">
        <v>1009</v>
      </c>
      <c r="O271" t="s">
        <v>138</v>
      </c>
      <c r="P271" t="s">
        <v>138</v>
      </c>
      <c r="Q271">
        <v>1</v>
      </c>
      <c r="W271">
        <v>0</v>
      </c>
      <c r="X271">
        <v>210558753</v>
      </c>
      <c r="Y271">
        <v>0.02</v>
      </c>
      <c r="AA271">
        <v>191.91</v>
      </c>
      <c r="AB271">
        <v>0</v>
      </c>
      <c r="AC271">
        <v>0</v>
      </c>
      <c r="AD271">
        <v>0</v>
      </c>
      <c r="AE271">
        <v>28.6</v>
      </c>
      <c r="AF271">
        <v>0</v>
      </c>
      <c r="AG271">
        <v>0</v>
      </c>
      <c r="AH271">
        <v>0</v>
      </c>
      <c r="AI271">
        <v>6.71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0.02</v>
      </c>
      <c r="AU271" t="s">
        <v>3</v>
      </c>
      <c r="AV271">
        <v>0</v>
      </c>
      <c r="AW271">
        <v>2</v>
      </c>
      <c r="AX271">
        <v>39096876</v>
      </c>
      <c r="AY271">
        <v>1</v>
      </c>
      <c r="AZ271">
        <v>0</v>
      </c>
      <c r="BA271">
        <v>266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Y271*Source!I181</f>
        <v>0.156</v>
      </c>
      <c r="CY271">
        <f t="shared" si="15"/>
        <v>191.91</v>
      </c>
      <c r="CZ271">
        <f t="shared" si="16"/>
        <v>28.6</v>
      </c>
      <c r="DA271">
        <f t="shared" si="17"/>
        <v>6.71</v>
      </c>
      <c r="DB271">
        <v>0</v>
      </c>
    </row>
    <row r="272" spans="1:106" x14ac:dyDescent="0.2">
      <c r="A272">
        <f>ROW(Source!A181)</f>
        <v>181</v>
      </c>
      <c r="B272">
        <v>39096431</v>
      </c>
      <c r="C272">
        <v>39096858</v>
      </c>
      <c r="D272">
        <v>36852011</v>
      </c>
      <c r="E272">
        <v>1</v>
      </c>
      <c r="F272">
        <v>1</v>
      </c>
      <c r="G272">
        <v>1</v>
      </c>
      <c r="H272">
        <v>3</v>
      </c>
      <c r="I272" t="s">
        <v>908</v>
      </c>
      <c r="J272" t="s">
        <v>909</v>
      </c>
      <c r="K272" t="s">
        <v>910</v>
      </c>
      <c r="L272">
        <v>1355</v>
      </c>
      <c r="N272">
        <v>1010</v>
      </c>
      <c r="O272" t="s">
        <v>161</v>
      </c>
      <c r="P272" t="s">
        <v>161</v>
      </c>
      <c r="Q272">
        <v>100</v>
      </c>
      <c r="W272">
        <v>0</v>
      </c>
      <c r="X272">
        <v>-1427219203</v>
      </c>
      <c r="Y272">
        <v>0.05</v>
      </c>
      <c r="AA272">
        <v>959.53</v>
      </c>
      <c r="AB272">
        <v>0</v>
      </c>
      <c r="AC272">
        <v>0</v>
      </c>
      <c r="AD272">
        <v>0</v>
      </c>
      <c r="AE272">
        <v>143</v>
      </c>
      <c r="AF272">
        <v>0</v>
      </c>
      <c r="AG272">
        <v>0</v>
      </c>
      <c r="AH272">
        <v>0</v>
      </c>
      <c r="AI272">
        <v>6.71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0.05</v>
      </c>
      <c r="AU272" t="s">
        <v>3</v>
      </c>
      <c r="AV272">
        <v>0</v>
      </c>
      <c r="AW272">
        <v>2</v>
      </c>
      <c r="AX272">
        <v>39096877</v>
      </c>
      <c r="AY272">
        <v>1</v>
      </c>
      <c r="AZ272">
        <v>0</v>
      </c>
      <c r="BA272">
        <v>267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Y272*Source!I181</f>
        <v>0.39</v>
      </c>
      <c r="CY272">
        <f t="shared" si="15"/>
        <v>959.53</v>
      </c>
      <c r="CZ272">
        <f t="shared" si="16"/>
        <v>143</v>
      </c>
      <c r="DA272">
        <f t="shared" si="17"/>
        <v>6.71</v>
      </c>
      <c r="DB272">
        <v>0</v>
      </c>
    </row>
    <row r="273" spans="1:106" x14ac:dyDescent="0.2">
      <c r="A273">
        <f>ROW(Source!A181)</f>
        <v>181</v>
      </c>
      <c r="B273">
        <v>39096431</v>
      </c>
      <c r="C273">
        <v>39096858</v>
      </c>
      <c r="D273">
        <v>36852061</v>
      </c>
      <c r="E273">
        <v>1</v>
      </c>
      <c r="F273">
        <v>1</v>
      </c>
      <c r="G273">
        <v>1</v>
      </c>
      <c r="H273">
        <v>3</v>
      </c>
      <c r="I273" t="s">
        <v>911</v>
      </c>
      <c r="J273" t="s">
        <v>912</v>
      </c>
      <c r="K273" t="s">
        <v>913</v>
      </c>
      <c r="L273">
        <v>1356</v>
      </c>
      <c r="N273">
        <v>1010</v>
      </c>
      <c r="O273" t="s">
        <v>741</v>
      </c>
      <c r="P273" t="s">
        <v>741</v>
      </c>
      <c r="Q273">
        <v>1000</v>
      </c>
      <c r="W273">
        <v>0</v>
      </c>
      <c r="X273">
        <v>2033598199</v>
      </c>
      <c r="Y273">
        <v>1.2200000000000001E-2</v>
      </c>
      <c r="AA273">
        <v>1182.3699999999999</v>
      </c>
      <c r="AB273">
        <v>0</v>
      </c>
      <c r="AC273">
        <v>0</v>
      </c>
      <c r="AD273">
        <v>0</v>
      </c>
      <c r="AE273">
        <v>176.21</v>
      </c>
      <c r="AF273">
        <v>0</v>
      </c>
      <c r="AG273">
        <v>0</v>
      </c>
      <c r="AH273">
        <v>0</v>
      </c>
      <c r="AI273">
        <v>6.71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1.2200000000000001E-2</v>
      </c>
      <c r="AU273" t="s">
        <v>3</v>
      </c>
      <c r="AV273">
        <v>0</v>
      </c>
      <c r="AW273">
        <v>2</v>
      </c>
      <c r="AX273">
        <v>39096878</v>
      </c>
      <c r="AY273">
        <v>1</v>
      </c>
      <c r="AZ273">
        <v>0</v>
      </c>
      <c r="BA273">
        <v>268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Y273*Source!I181</f>
        <v>9.5160000000000008E-2</v>
      </c>
      <c r="CY273">
        <f t="shared" si="15"/>
        <v>1182.3699999999999</v>
      </c>
      <c r="CZ273">
        <f t="shared" si="16"/>
        <v>176.21</v>
      </c>
      <c r="DA273">
        <f t="shared" si="17"/>
        <v>6.71</v>
      </c>
      <c r="DB273">
        <v>0</v>
      </c>
    </row>
    <row r="274" spans="1:106" x14ac:dyDescent="0.2">
      <c r="A274">
        <f>ROW(Source!A181)</f>
        <v>181</v>
      </c>
      <c r="B274">
        <v>39096431</v>
      </c>
      <c r="C274">
        <v>39096858</v>
      </c>
      <c r="D274">
        <v>36857511</v>
      </c>
      <c r="E274">
        <v>1</v>
      </c>
      <c r="F274">
        <v>1</v>
      </c>
      <c r="G274">
        <v>1</v>
      </c>
      <c r="H274">
        <v>3</v>
      </c>
      <c r="I274" t="s">
        <v>459</v>
      </c>
      <c r="J274" t="s">
        <v>462</v>
      </c>
      <c r="K274" t="s">
        <v>460</v>
      </c>
      <c r="L274">
        <v>1477</v>
      </c>
      <c r="N274">
        <v>1013</v>
      </c>
      <c r="O274" t="s">
        <v>461</v>
      </c>
      <c r="P274" t="s">
        <v>463</v>
      </c>
      <c r="Q274">
        <v>1</v>
      </c>
      <c r="W274">
        <v>0</v>
      </c>
      <c r="X274">
        <v>559331636</v>
      </c>
      <c r="Y274">
        <v>0.1</v>
      </c>
      <c r="AA274">
        <v>46435.95</v>
      </c>
      <c r="AB274">
        <v>0</v>
      </c>
      <c r="AC274">
        <v>0</v>
      </c>
      <c r="AD274">
        <v>0</v>
      </c>
      <c r="AE274">
        <v>6920.41</v>
      </c>
      <c r="AF274">
        <v>0</v>
      </c>
      <c r="AG274">
        <v>0</v>
      </c>
      <c r="AH274">
        <v>0</v>
      </c>
      <c r="AI274">
        <v>6.71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3</v>
      </c>
      <c r="AT274">
        <v>0.1</v>
      </c>
      <c r="AU274" t="s">
        <v>3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Y274*Source!I181</f>
        <v>0.78</v>
      </c>
      <c r="CY274">
        <f t="shared" si="15"/>
        <v>46435.95</v>
      </c>
      <c r="CZ274">
        <f t="shared" si="16"/>
        <v>6920.41</v>
      </c>
      <c r="DA274">
        <f t="shared" si="17"/>
        <v>6.71</v>
      </c>
      <c r="DB274">
        <v>0</v>
      </c>
    </row>
    <row r="275" spans="1:106" x14ac:dyDescent="0.2">
      <c r="A275">
        <f>ROW(Source!A181)</f>
        <v>181</v>
      </c>
      <c r="B275">
        <v>39096431</v>
      </c>
      <c r="C275">
        <v>39096858</v>
      </c>
      <c r="D275">
        <v>36799065</v>
      </c>
      <c r="E275">
        <v>17</v>
      </c>
      <c r="F275">
        <v>1</v>
      </c>
      <c r="G275">
        <v>1</v>
      </c>
      <c r="H275">
        <v>3</v>
      </c>
      <c r="I275" t="s">
        <v>835</v>
      </c>
      <c r="J275" t="s">
        <v>3</v>
      </c>
      <c r="K275" t="s">
        <v>836</v>
      </c>
      <c r="L275">
        <v>1374</v>
      </c>
      <c r="N275">
        <v>1013</v>
      </c>
      <c r="O275" t="s">
        <v>837</v>
      </c>
      <c r="P275" t="s">
        <v>837</v>
      </c>
      <c r="Q275">
        <v>1</v>
      </c>
      <c r="W275">
        <v>0</v>
      </c>
      <c r="X275">
        <v>-1731369543</v>
      </c>
      <c r="Y275">
        <v>1.18</v>
      </c>
      <c r="AA275">
        <v>1</v>
      </c>
      <c r="AB275">
        <v>0</v>
      </c>
      <c r="AC275">
        <v>0</v>
      </c>
      <c r="AD275">
        <v>0</v>
      </c>
      <c r="AE275">
        <v>1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1.18</v>
      </c>
      <c r="AU275" t="s">
        <v>3</v>
      </c>
      <c r="AV275">
        <v>0</v>
      </c>
      <c r="AW275">
        <v>2</v>
      </c>
      <c r="AX275">
        <v>39096879</v>
      </c>
      <c r="AY275">
        <v>1</v>
      </c>
      <c r="AZ275">
        <v>0</v>
      </c>
      <c r="BA275">
        <v>269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Y275*Source!I181</f>
        <v>9.2039999999999988</v>
      </c>
      <c r="CY275">
        <f t="shared" si="15"/>
        <v>1</v>
      </c>
      <c r="CZ275">
        <f t="shared" si="16"/>
        <v>1</v>
      </c>
      <c r="DA275">
        <f t="shared" si="17"/>
        <v>1</v>
      </c>
      <c r="DB275">
        <v>0</v>
      </c>
    </row>
    <row r="276" spans="1:106" x14ac:dyDescent="0.2">
      <c r="A276">
        <f>ROW(Source!A183)</f>
        <v>183</v>
      </c>
      <c r="B276">
        <v>39096431</v>
      </c>
      <c r="C276">
        <v>39490119</v>
      </c>
      <c r="D276">
        <v>37080781</v>
      </c>
      <c r="E276">
        <v>1</v>
      </c>
      <c r="F276">
        <v>1</v>
      </c>
      <c r="G276">
        <v>1</v>
      </c>
      <c r="H276">
        <v>1</v>
      </c>
      <c r="I276" t="s">
        <v>702</v>
      </c>
      <c r="J276" t="s">
        <v>3</v>
      </c>
      <c r="K276" t="s">
        <v>703</v>
      </c>
      <c r="L276">
        <v>1191</v>
      </c>
      <c r="N276">
        <v>1013</v>
      </c>
      <c r="O276" t="s">
        <v>660</v>
      </c>
      <c r="P276" t="s">
        <v>660</v>
      </c>
      <c r="Q276">
        <v>1</v>
      </c>
      <c r="W276">
        <v>0</v>
      </c>
      <c r="X276">
        <v>912892513</v>
      </c>
      <c r="Y276">
        <v>35.130000000000003</v>
      </c>
      <c r="AA276">
        <v>0</v>
      </c>
      <c r="AB276">
        <v>0</v>
      </c>
      <c r="AC276">
        <v>0</v>
      </c>
      <c r="AD276">
        <v>66.56</v>
      </c>
      <c r="AE276">
        <v>0</v>
      </c>
      <c r="AF276">
        <v>0</v>
      </c>
      <c r="AG276">
        <v>0</v>
      </c>
      <c r="AH276">
        <v>9.92</v>
      </c>
      <c r="AI276">
        <v>1</v>
      </c>
      <c r="AJ276">
        <v>1</v>
      </c>
      <c r="AK276">
        <v>1</v>
      </c>
      <c r="AL276">
        <v>6.71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35.130000000000003</v>
      </c>
      <c r="AU276" t="s">
        <v>3</v>
      </c>
      <c r="AV276">
        <v>1</v>
      </c>
      <c r="AW276">
        <v>2</v>
      </c>
      <c r="AX276">
        <v>39490120</v>
      </c>
      <c r="AY276">
        <v>1</v>
      </c>
      <c r="AZ276">
        <v>0</v>
      </c>
      <c r="BA276">
        <v>270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Y276*Source!I183</f>
        <v>2.4591000000000003</v>
      </c>
      <c r="CY276">
        <f>AD276</f>
        <v>66.56</v>
      </c>
      <c r="CZ276">
        <f>AH276</f>
        <v>9.92</v>
      </c>
      <c r="DA276">
        <f>AL276</f>
        <v>6.71</v>
      </c>
      <c r="DB276">
        <v>0</v>
      </c>
    </row>
    <row r="277" spans="1:106" x14ac:dyDescent="0.2">
      <c r="A277">
        <f>ROW(Source!A183)</f>
        <v>183</v>
      </c>
      <c r="B277">
        <v>39096431</v>
      </c>
      <c r="C277">
        <v>39490119</v>
      </c>
      <c r="D277">
        <v>37064876</v>
      </c>
      <c r="E277">
        <v>1</v>
      </c>
      <c r="F277">
        <v>1</v>
      </c>
      <c r="G277">
        <v>1</v>
      </c>
      <c r="H277">
        <v>1</v>
      </c>
      <c r="I277" t="s">
        <v>661</v>
      </c>
      <c r="J277" t="s">
        <v>3</v>
      </c>
      <c r="K277" t="s">
        <v>662</v>
      </c>
      <c r="L277">
        <v>1191</v>
      </c>
      <c r="N277">
        <v>1013</v>
      </c>
      <c r="O277" t="s">
        <v>660</v>
      </c>
      <c r="P277" t="s">
        <v>660</v>
      </c>
      <c r="Q277">
        <v>1</v>
      </c>
      <c r="W277">
        <v>0</v>
      </c>
      <c r="X277">
        <v>-1417349443</v>
      </c>
      <c r="Y277">
        <v>0.05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6.71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0.05</v>
      </c>
      <c r="AU277" t="s">
        <v>3</v>
      </c>
      <c r="AV277">
        <v>2</v>
      </c>
      <c r="AW277">
        <v>2</v>
      </c>
      <c r="AX277">
        <v>39490121</v>
      </c>
      <c r="AY277">
        <v>1</v>
      </c>
      <c r="AZ277">
        <v>0</v>
      </c>
      <c r="BA277">
        <v>271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Y277*Source!I183</f>
        <v>3.5000000000000005E-3</v>
      </c>
      <c r="CY277">
        <f>AD277</f>
        <v>0</v>
      </c>
      <c r="CZ277">
        <f>AH277</f>
        <v>0</v>
      </c>
      <c r="DA277">
        <f>AL277</f>
        <v>1</v>
      </c>
      <c r="DB277">
        <v>0</v>
      </c>
    </row>
    <row r="278" spans="1:106" x14ac:dyDescent="0.2">
      <c r="A278">
        <f>ROW(Source!A183)</f>
        <v>183</v>
      </c>
      <c r="B278">
        <v>39096431</v>
      </c>
      <c r="C278">
        <v>39490119</v>
      </c>
      <c r="D278">
        <v>36882159</v>
      </c>
      <c r="E278">
        <v>1</v>
      </c>
      <c r="F278">
        <v>1</v>
      </c>
      <c r="G278">
        <v>1</v>
      </c>
      <c r="H278">
        <v>2</v>
      </c>
      <c r="I278" t="s">
        <v>802</v>
      </c>
      <c r="J278" t="s">
        <v>803</v>
      </c>
      <c r="K278" t="s">
        <v>804</v>
      </c>
      <c r="L278">
        <v>1368</v>
      </c>
      <c r="N278">
        <v>1011</v>
      </c>
      <c r="O278" t="s">
        <v>666</v>
      </c>
      <c r="P278" t="s">
        <v>666</v>
      </c>
      <c r="Q278">
        <v>1</v>
      </c>
      <c r="W278">
        <v>0</v>
      </c>
      <c r="X278">
        <v>-1718674368</v>
      </c>
      <c r="Y278">
        <v>0.03</v>
      </c>
      <c r="AA278">
        <v>0</v>
      </c>
      <c r="AB278">
        <v>751.45</v>
      </c>
      <c r="AC278">
        <v>13.5</v>
      </c>
      <c r="AD278">
        <v>0</v>
      </c>
      <c r="AE278">
        <v>0</v>
      </c>
      <c r="AF278">
        <v>111.99</v>
      </c>
      <c r="AG278">
        <v>13.5</v>
      </c>
      <c r="AH278">
        <v>0</v>
      </c>
      <c r="AI278">
        <v>1</v>
      </c>
      <c r="AJ278">
        <v>6.71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0.03</v>
      </c>
      <c r="AU278" t="s">
        <v>3</v>
      </c>
      <c r="AV278">
        <v>0</v>
      </c>
      <c r="AW278">
        <v>2</v>
      </c>
      <c r="AX278">
        <v>39490122</v>
      </c>
      <c r="AY278">
        <v>1</v>
      </c>
      <c r="AZ278">
        <v>0</v>
      </c>
      <c r="BA278">
        <v>272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Y278*Source!I183</f>
        <v>2.1000000000000003E-3</v>
      </c>
      <c r="CY278">
        <f>AB278</f>
        <v>751.45</v>
      </c>
      <c r="CZ278">
        <f>AF278</f>
        <v>111.99</v>
      </c>
      <c r="DA278">
        <f>AJ278</f>
        <v>6.71</v>
      </c>
      <c r="DB278">
        <v>0</v>
      </c>
    </row>
    <row r="279" spans="1:106" x14ac:dyDescent="0.2">
      <c r="A279">
        <f>ROW(Source!A183)</f>
        <v>183</v>
      </c>
      <c r="B279">
        <v>39096431</v>
      </c>
      <c r="C279">
        <v>39490119</v>
      </c>
      <c r="D279">
        <v>36883554</v>
      </c>
      <c r="E279">
        <v>1</v>
      </c>
      <c r="F279">
        <v>1</v>
      </c>
      <c r="G279">
        <v>1</v>
      </c>
      <c r="H279">
        <v>2</v>
      </c>
      <c r="I279" t="s">
        <v>679</v>
      </c>
      <c r="J279" t="s">
        <v>680</v>
      </c>
      <c r="K279" t="s">
        <v>681</v>
      </c>
      <c r="L279">
        <v>1368</v>
      </c>
      <c r="N279">
        <v>1011</v>
      </c>
      <c r="O279" t="s">
        <v>666</v>
      </c>
      <c r="P279" t="s">
        <v>666</v>
      </c>
      <c r="Q279">
        <v>1</v>
      </c>
      <c r="W279">
        <v>0</v>
      </c>
      <c r="X279">
        <v>1372534845</v>
      </c>
      <c r="Y279">
        <v>0.02</v>
      </c>
      <c r="AA279">
        <v>0</v>
      </c>
      <c r="AB279">
        <v>440.91</v>
      </c>
      <c r="AC279">
        <v>11.6</v>
      </c>
      <c r="AD279">
        <v>0</v>
      </c>
      <c r="AE279">
        <v>0</v>
      </c>
      <c r="AF279">
        <v>65.709999999999994</v>
      </c>
      <c r="AG279">
        <v>11.6</v>
      </c>
      <c r="AH279">
        <v>0</v>
      </c>
      <c r="AI279">
        <v>1</v>
      </c>
      <c r="AJ279">
        <v>6.71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0.02</v>
      </c>
      <c r="AU279" t="s">
        <v>3</v>
      </c>
      <c r="AV279">
        <v>0</v>
      </c>
      <c r="AW279">
        <v>2</v>
      </c>
      <c r="AX279">
        <v>39490123</v>
      </c>
      <c r="AY279">
        <v>1</v>
      </c>
      <c r="AZ279">
        <v>0</v>
      </c>
      <c r="BA279">
        <v>273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Y279*Source!I183</f>
        <v>1.4000000000000002E-3</v>
      </c>
      <c r="CY279">
        <f>AB279</f>
        <v>440.91</v>
      </c>
      <c r="CZ279">
        <f>AF279</f>
        <v>65.709999999999994</v>
      </c>
      <c r="DA279">
        <f>AJ279</f>
        <v>6.71</v>
      </c>
      <c r="DB279">
        <v>0</v>
      </c>
    </row>
    <row r="280" spans="1:106" x14ac:dyDescent="0.2">
      <c r="A280">
        <f>ROW(Source!A183)</f>
        <v>183</v>
      </c>
      <c r="B280">
        <v>39096431</v>
      </c>
      <c r="C280">
        <v>39490119</v>
      </c>
      <c r="D280">
        <v>36804580</v>
      </c>
      <c r="E280">
        <v>1</v>
      </c>
      <c r="F280">
        <v>1</v>
      </c>
      <c r="G280">
        <v>1</v>
      </c>
      <c r="H280">
        <v>3</v>
      </c>
      <c r="I280" t="s">
        <v>861</v>
      </c>
      <c r="J280" t="s">
        <v>862</v>
      </c>
      <c r="K280" t="s">
        <v>863</v>
      </c>
      <c r="L280">
        <v>1355</v>
      </c>
      <c r="N280">
        <v>1010</v>
      </c>
      <c r="O280" t="s">
        <v>161</v>
      </c>
      <c r="P280" t="s">
        <v>161</v>
      </c>
      <c r="Q280">
        <v>100</v>
      </c>
      <c r="W280">
        <v>0</v>
      </c>
      <c r="X280">
        <v>1794244060</v>
      </c>
      <c r="Y280">
        <v>1.02</v>
      </c>
      <c r="AA280">
        <v>577.05999999999995</v>
      </c>
      <c r="AB280">
        <v>0</v>
      </c>
      <c r="AC280">
        <v>0</v>
      </c>
      <c r="AD280">
        <v>0</v>
      </c>
      <c r="AE280">
        <v>86</v>
      </c>
      <c r="AF280">
        <v>0</v>
      </c>
      <c r="AG280">
        <v>0</v>
      </c>
      <c r="AH280">
        <v>0</v>
      </c>
      <c r="AI280">
        <v>6.71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1.02</v>
      </c>
      <c r="AU280" t="s">
        <v>3</v>
      </c>
      <c r="AV280">
        <v>0</v>
      </c>
      <c r="AW280">
        <v>2</v>
      </c>
      <c r="AX280">
        <v>39490124</v>
      </c>
      <c r="AY280">
        <v>1</v>
      </c>
      <c r="AZ280">
        <v>0</v>
      </c>
      <c r="BA280">
        <v>274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Y280*Source!I183</f>
        <v>7.1400000000000005E-2</v>
      </c>
      <c r="CY280">
        <f>AA280</f>
        <v>577.05999999999995</v>
      </c>
      <c r="CZ280">
        <f>AE280</f>
        <v>86</v>
      </c>
      <c r="DA280">
        <f>AI280</f>
        <v>6.71</v>
      </c>
      <c r="DB280">
        <v>0</v>
      </c>
    </row>
    <row r="281" spans="1:106" x14ac:dyDescent="0.2">
      <c r="A281">
        <f>ROW(Source!A183)</f>
        <v>183</v>
      </c>
      <c r="B281">
        <v>39096431</v>
      </c>
      <c r="C281">
        <v>39490119</v>
      </c>
      <c r="D281">
        <v>36804940</v>
      </c>
      <c r="E281">
        <v>1</v>
      </c>
      <c r="F281">
        <v>1</v>
      </c>
      <c r="G281">
        <v>1</v>
      </c>
      <c r="H281">
        <v>3</v>
      </c>
      <c r="I281" t="s">
        <v>914</v>
      </c>
      <c r="J281" t="s">
        <v>915</v>
      </c>
      <c r="K281" t="s">
        <v>916</v>
      </c>
      <c r="L281">
        <v>1348</v>
      </c>
      <c r="N281">
        <v>1009</v>
      </c>
      <c r="O281" t="s">
        <v>110</v>
      </c>
      <c r="P281" t="s">
        <v>110</v>
      </c>
      <c r="Q281">
        <v>1000</v>
      </c>
      <c r="W281">
        <v>0</v>
      </c>
      <c r="X281">
        <v>797358079</v>
      </c>
      <c r="Y281">
        <v>1.6000000000000001E-4</v>
      </c>
      <c r="AA281">
        <v>199958</v>
      </c>
      <c r="AB281">
        <v>0</v>
      </c>
      <c r="AC281">
        <v>0</v>
      </c>
      <c r="AD281">
        <v>0</v>
      </c>
      <c r="AE281">
        <v>29800</v>
      </c>
      <c r="AF281">
        <v>0</v>
      </c>
      <c r="AG281">
        <v>0</v>
      </c>
      <c r="AH281">
        <v>0</v>
      </c>
      <c r="AI281">
        <v>6.71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1.6000000000000001E-4</v>
      </c>
      <c r="AU281" t="s">
        <v>3</v>
      </c>
      <c r="AV281">
        <v>0</v>
      </c>
      <c r="AW281">
        <v>2</v>
      </c>
      <c r="AX281">
        <v>39490125</v>
      </c>
      <c r="AY281">
        <v>1</v>
      </c>
      <c r="AZ281">
        <v>0</v>
      </c>
      <c r="BA281">
        <v>275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Y281*Source!I183</f>
        <v>1.1200000000000001E-5</v>
      </c>
      <c r="CY281">
        <f>AA281</f>
        <v>199958</v>
      </c>
      <c r="CZ281">
        <f>AE281</f>
        <v>29800</v>
      </c>
      <c r="DA281">
        <f>AI281</f>
        <v>6.71</v>
      </c>
      <c r="DB281">
        <v>0</v>
      </c>
    </row>
    <row r="282" spans="1:106" x14ac:dyDescent="0.2">
      <c r="A282">
        <f>ROW(Source!A183)</f>
        <v>183</v>
      </c>
      <c r="B282">
        <v>39096431</v>
      </c>
      <c r="C282">
        <v>39490119</v>
      </c>
      <c r="D282">
        <v>36804944</v>
      </c>
      <c r="E282">
        <v>1</v>
      </c>
      <c r="F282">
        <v>1</v>
      </c>
      <c r="G282">
        <v>1</v>
      </c>
      <c r="H282">
        <v>3</v>
      </c>
      <c r="I282" t="s">
        <v>832</v>
      </c>
      <c r="J282" t="s">
        <v>833</v>
      </c>
      <c r="K282" t="s">
        <v>834</v>
      </c>
      <c r="L282">
        <v>1348</v>
      </c>
      <c r="N282">
        <v>1009</v>
      </c>
      <c r="O282" t="s">
        <v>110</v>
      </c>
      <c r="P282" t="s">
        <v>110</v>
      </c>
      <c r="Q282">
        <v>1000</v>
      </c>
      <c r="W282">
        <v>0</v>
      </c>
      <c r="X282">
        <v>-1755229539</v>
      </c>
      <c r="Y282">
        <v>2.9999999999999997E-4</v>
      </c>
      <c r="AA282">
        <v>83405.3</v>
      </c>
      <c r="AB282">
        <v>0</v>
      </c>
      <c r="AC282">
        <v>0</v>
      </c>
      <c r="AD282">
        <v>0</v>
      </c>
      <c r="AE282">
        <v>12430</v>
      </c>
      <c r="AF282">
        <v>0</v>
      </c>
      <c r="AG282">
        <v>0</v>
      </c>
      <c r="AH282">
        <v>0</v>
      </c>
      <c r="AI282">
        <v>6.71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2.9999999999999997E-4</v>
      </c>
      <c r="AU282" t="s">
        <v>3</v>
      </c>
      <c r="AV282">
        <v>0</v>
      </c>
      <c r="AW282">
        <v>2</v>
      </c>
      <c r="AX282">
        <v>39490126</v>
      </c>
      <c r="AY282">
        <v>1</v>
      </c>
      <c r="AZ282">
        <v>0</v>
      </c>
      <c r="BA282">
        <v>276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Y282*Source!I183</f>
        <v>2.0999999999999999E-5</v>
      </c>
      <c r="CY282">
        <f>AA282</f>
        <v>83405.3</v>
      </c>
      <c r="CZ282">
        <f>AE282</f>
        <v>12430</v>
      </c>
      <c r="DA282">
        <f>AI282</f>
        <v>6.71</v>
      </c>
      <c r="DB282">
        <v>0</v>
      </c>
    </row>
    <row r="283" spans="1:106" x14ac:dyDescent="0.2">
      <c r="A283">
        <f>ROW(Source!A183)</f>
        <v>183</v>
      </c>
      <c r="B283">
        <v>39096431</v>
      </c>
      <c r="C283">
        <v>39490119</v>
      </c>
      <c r="D283">
        <v>36855048</v>
      </c>
      <c r="E283">
        <v>1</v>
      </c>
      <c r="F283">
        <v>1</v>
      </c>
      <c r="G283">
        <v>1</v>
      </c>
      <c r="H283">
        <v>3</v>
      </c>
      <c r="I283" t="s">
        <v>474</v>
      </c>
      <c r="J283" t="s">
        <v>476</v>
      </c>
      <c r="K283" t="s">
        <v>475</v>
      </c>
      <c r="L283">
        <v>1358</v>
      </c>
      <c r="N283">
        <v>1010</v>
      </c>
      <c r="O283" t="s">
        <v>436</v>
      </c>
      <c r="P283" t="s">
        <v>436</v>
      </c>
      <c r="Q283">
        <v>10</v>
      </c>
      <c r="W283">
        <v>0</v>
      </c>
      <c r="X283">
        <v>-265205787</v>
      </c>
      <c r="Y283">
        <v>10</v>
      </c>
      <c r="AA283">
        <v>574.38</v>
      </c>
      <c r="AB283">
        <v>0</v>
      </c>
      <c r="AC283">
        <v>0</v>
      </c>
      <c r="AD283">
        <v>0</v>
      </c>
      <c r="AE283">
        <v>85.6</v>
      </c>
      <c r="AF283">
        <v>0</v>
      </c>
      <c r="AG283">
        <v>0</v>
      </c>
      <c r="AH283">
        <v>0</v>
      </c>
      <c r="AI283">
        <v>6.71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3</v>
      </c>
      <c r="AT283">
        <v>10</v>
      </c>
      <c r="AU283" t="s">
        <v>3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Y283*Source!I183</f>
        <v>0.70000000000000007</v>
      </c>
      <c r="CY283">
        <f>AA283</f>
        <v>574.38</v>
      </c>
      <c r="CZ283">
        <f>AE283</f>
        <v>85.6</v>
      </c>
      <c r="DA283">
        <f>AI283</f>
        <v>6.71</v>
      </c>
      <c r="DB283">
        <v>0</v>
      </c>
    </row>
    <row r="284" spans="1:106" x14ac:dyDescent="0.2">
      <c r="A284">
        <f>ROW(Source!A183)</f>
        <v>183</v>
      </c>
      <c r="B284">
        <v>39096431</v>
      </c>
      <c r="C284">
        <v>39490119</v>
      </c>
      <c r="D284">
        <v>36799065</v>
      </c>
      <c r="E284">
        <v>17</v>
      </c>
      <c r="F284">
        <v>1</v>
      </c>
      <c r="G284">
        <v>1</v>
      </c>
      <c r="H284">
        <v>3</v>
      </c>
      <c r="I284" t="s">
        <v>835</v>
      </c>
      <c r="J284" t="s">
        <v>3</v>
      </c>
      <c r="K284" t="s">
        <v>836</v>
      </c>
      <c r="L284">
        <v>1374</v>
      </c>
      <c r="N284">
        <v>1013</v>
      </c>
      <c r="O284" t="s">
        <v>837</v>
      </c>
      <c r="P284" t="s">
        <v>837</v>
      </c>
      <c r="Q284">
        <v>1</v>
      </c>
      <c r="W284">
        <v>0</v>
      </c>
      <c r="X284">
        <v>-1731369543</v>
      </c>
      <c r="Y284">
        <v>6.97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6.97</v>
      </c>
      <c r="AU284" t="s">
        <v>3</v>
      </c>
      <c r="AV284">
        <v>0</v>
      </c>
      <c r="AW284">
        <v>2</v>
      </c>
      <c r="AX284">
        <v>39490127</v>
      </c>
      <c r="AY284">
        <v>1</v>
      </c>
      <c r="AZ284">
        <v>0</v>
      </c>
      <c r="BA284">
        <v>277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Y284*Source!I183</f>
        <v>0.48790000000000006</v>
      </c>
      <c r="CY284">
        <f>AA284</f>
        <v>1</v>
      </c>
      <c r="CZ284">
        <f>AE284</f>
        <v>1</v>
      </c>
      <c r="DA284">
        <f>AI284</f>
        <v>1</v>
      </c>
      <c r="DB284">
        <v>0</v>
      </c>
    </row>
    <row r="285" spans="1:106" x14ac:dyDescent="0.2">
      <c r="A285">
        <f>ROW(Source!A185)</f>
        <v>185</v>
      </c>
      <c r="B285">
        <v>39096431</v>
      </c>
      <c r="C285">
        <v>39488997</v>
      </c>
      <c r="D285">
        <v>37080781</v>
      </c>
      <c r="E285">
        <v>1</v>
      </c>
      <c r="F285">
        <v>1</v>
      </c>
      <c r="G285">
        <v>1</v>
      </c>
      <c r="H285">
        <v>1</v>
      </c>
      <c r="I285" t="s">
        <v>702</v>
      </c>
      <c r="J285" t="s">
        <v>3</v>
      </c>
      <c r="K285" t="s">
        <v>703</v>
      </c>
      <c r="L285">
        <v>1191</v>
      </c>
      <c r="N285">
        <v>1013</v>
      </c>
      <c r="O285" t="s">
        <v>660</v>
      </c>
      <c r="P285" t="s">
        <v>660</v>
      </c>
      <c r="Q285">
        <v>1</v>
      </c>
      <c r="W285">
        <v>0</v>
      </c>
      <c r="X285">
        <v>912892513</v>
      </c>
      <c r="Y285">
        <v>34.56</v>
      </c>
      <c r="AA285">
        <v>0</v>
      </c>
      <c r="AB285">
        <v>0</v>
      </c>
      <c r="AC285">
        <v>0</v>
      </c>
      <c r="AD285">
        <v>66.56</v>
      </c>
      <c r="AE285">
        <v>0</v>
      </c>
      <c r="AF285">
        <v>0</v>
      </c>
      <c r="AG285">
        <v>0</v>
      </c>
      <c r="AH285">
        <v>9.92</v>
      </c>
      <c r="AI285">
        <v>1</v>
      </c>
      <c r="AJ285">
        <v>1</v>
      </c>
      <c r="AK285">
        <v>1</v>
      </c>
      <c r="AL285">
        <v>6.71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34.56</v>
      </c>
      <c r="AU285" t="s">
        <v>3</v>
      </c>
      <c r="AV285">
        <v>1</v>
      </c>
      <c r="AW285">
        <v>2</v>
      </c>
      <c r="AX285">
        <v>39488998</v>
      </c>
      <c r="AY285">
        <v>1</v>
      </c>
      <c r="AZ285">
        <v>0</v>
      </c>
      <c r="BA285">
        <v>278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Y285*Source!I185</f>
        <v>15.552000000000001</v>
      </c>
      <c r="CY285">
        <f>AD285</f>
        <v>66.56</v>
      </c>
      <c r="CZ285">
        <f>AH285</f>
        <v>9.92</v>
      </c>
      <c r="DA285">
        <f>AL285</f>
        <v>6.71</v>
      </c>
      <c r="DB285">
        <v>0</v>
      </c>
    </row>
    <row r="286" spans="1:106" x14ac:dyDescent="0.2">
      <c r="A286">
        <f>ROW(Source!A185)</f>
        <v>185</v>
      </c>
      <c r="B286">
        <v>39096431</v>
      </c>
      <c r="C286">
        <v>39488997</v>
      </c>
      <c r="D286">
        <v>37064876</v>
      </c>
      <c r="E286">
        <v>1</v>
      </c>
      <c r="F286">
        <v>1</v>
      </c>
      <c r="G286">
        <v>1</v>
      </c>
      <c r="H286">
        <v>1</v>
      </c>
      <c r="I286" t="s">
        <v>661</v>
      </c>
      <c r="J286" t="s">
        <v>3</v>
      </c>
      <c r="K286" t="s">
        <v>662</v>
      </c>
      <c r="L286">
        <v>1191</v>
      </c>
      <c r="N286">
        <v>1013</v>
      </c>
      <c r="O286" t="s">
        <v>660</v>
      </c>
      <c r="P286" t="s">
        <v>660</v>
      </c>
      <c r="Q286">
        <v>1</v>
      </c>
      <c r="W286">
        <v>0</v>
      </c>
      <c r="X286">
        <v>-1417349443</v>
      </c>
      <c r="Y286">
        <v>0.05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6.71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0.05</v>
      </c>
      <c r="AU286" t="s">
        <v>3</v>
      </c>
      <c r="AV286">
        <v>2</v>
      </c>
      <c r="AW286">
        <v>2</v>
      </c>
      <c r="AX286">
        <v>39488999</v>
      </c>
      <c r="AY286">
        <v>1</v>
      </c>
      <c r="AZ286">
        <v>0</v>
      </c>
      <c r="BA286">
        <v>279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Y286*Source!I185</f>
        <v>2.2500000000000003E-2</v>
      </c>
      <c r="CY286">
        <f>AD286</f>
        <v>0</v>
      </c>
      <c r="CZ286">
        <f>AH286</f>
        <v>0</v>
      </c>
      <c r="DA286">
        <f>AL286</f>
        <v>1</v>
      </c>
      <c r="DB286">
        <v>0</v>
      </c>
    </row>
    <row r="287" spans="1:106" x14ac:dyDescent="0.2">
      <c r="A287">
        <f>ROW(Source!A185)</f>
        <v>185</v>
      </c>
      <c r="B287">
        <v>39096431</v>
      </c>
      <c r="C287">
        <v>39488997</v>
      </c>
      <c r="D287">
        <v>36882159</v>
      </c>
      <c r="E287">
        <v>1</v>
      </c>
      <c r="F287">
        <v>1</v>
      </c>
      <c r="G287">
        <v>1</v>
      </c>
      <c r="H287">
        <v>2</v>
      </c>
      <c r="I287" t="s">
        <v>802</v>
      </c>
      <c r="J287" t="s">
        <v>803</v>
      </c>
      <c r="K287" t="s">
        <v>804</v>
      </c>
      <c r="L287">
        <v>1368</v>
      </c>
      <c r="N287">
        <v>1011</v>
      </c>
      <c r="O287" t="s">
        <v>666</v>
      </c>
      <c r="P287" t="s">
        <v>666</v>
      </c>
      <c r="Q287">
        <v>1</v>
      </c>
      <c r="W287">
        <v>0</v>
      </c>
      <c r="X287">
        <v>-1718674368</v>
      </c>
      <c r="Y287">
        <v>0.03</v>
      </c>
      <c r="AA287">
        <v>0</v>
      </c>
      <c r="AB287">
        <v>751.45</v>
      </c>
      <c r="AC287">
        <v>13.5</v>
      </c>
      <c r="AD287">
        <v>0</v>
      </c>
      <c r="AE287">
        <v>0</v>
      </c>
      <c r="AF287">
        <v>111.99</v>
      </c>
      <c r="AG287">
        <v>13.5</v>
      </c>
      <c r="AH287">
        <v>0</v>
      </c>
      <c r="AI287">
        <v>1</v>
      </c>
      <c r="AJ287">
        <v>6.71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0.03</v>
      </c>
      <c r="AU287" t="s">
        <v>3</v>
      </c>
      <c r="AV287">
        <v>0</v>
      </c>
      <c r="AW287">
        <v>2</v>
      </c>
      <c r="AX287">
        <v>39489000</v>
      </c>
      <c r="AY287">
        <v>1</v>
      </c>
      <c r="AZ287">
        <v>0</v>
      </c>
      <c r="BA287">
        <v>280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Y287*Source!I185</f>
        <v>1.35E-2</v>
      </c>
      <c r="CY287">
        <f>AB287</f>
        <v>751.45</v>
      </c>
      <c r="CZ287">
        <f>AF287</f>
        <v>111.99</v>
      </c>
      <c r="DA287">
        <f>AJ287</f>
        <v>6.71</v>
      </c>
      <c r="DB287">
        <v>0</v>
      </c>
    </row>
    <row r="288" spans="1:106" x14ac:dyDescent="0.2">
      <c r="A288">
        <f>ROW(Source!A185)</f>
        <v>185</v>
      </c>
      <c r="B288">
        <v>39096431</v>
      </c>
      <c r="C288">
        <v>39488997</v>
      </c>
      <c r="D288">
        <v>36883554</v>
      </c>
      <c r="E288">
        <v>1</v>
      </c>
      <c r="F288">
        <v>1</v>
      </c>
      <c r="G288">
        <v>1</v>
      </c>
      <c r="H288">
        <v>2</v>
      </c>
      <c r="I288" t="s">
        <v>679</v>
      </c>
      <c r="J288" t="s">
        <v>680</v>
      </c>
      <c r="K288" t="s">
        <v>681</v>
      </c>
      <c r="L288">
        <v>1368</v>
      </c>
      <c r="N288">
        <v>1011</v>
      </c>
      <c r="O288" t="s">
        <v>666</v>
      </c>
      <c r="P288" t="s">
        <v>666</v>
      </c>
      <c r="Q288">
        <v>1</v>
      </c>
      <c r="W288">
        <v>0</v>
      </c>
      <c r="X288">
        <v>1372534845</v>
      </c>
      <c r="Y288">
        <v>0.02</v>
      </c>
      <c r="AA288">
        <v>0</v>
      </c>
      <c r="AB288">
        <v>440.91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6.71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0.02</v>
      </c>
      <c r="AU288" t="s">
        <v>3</v>
      </c>
      <c r="AV288">
        <v>0</v>
      </c>
      <c r="AW288">
        <v>2</v>
      </c>
      <c r="AX288">
        <v>39489001</v>
      </c>
      <c r="AY288">
        <v>1</v>
      </c>
      <c r="AZ288">
        <v>0</v>
      </c>
      <c r="BA288">
        <v>281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Y288*Source!I185</f>
        <v>9.0000000000000011E-3</v>
      </c>
      <c r="CY288">
        <f>AB288</f>
        <v>440.91</v>
      </c>
      <c r="CZ288">
        <f>AF288</f>
        <v>65.709999999999994</v>
      </c>
      <c r="DA288">
        <f>AJ288</f>
        <v>6.71</v>
      </c>
      <c r="DB288">
        <v>0</v>
      </c>
    </row>
    <row r="289" spans="1:106" x14ac:dyDescent="0.2">
      <c r="A289">
        <f>ROW(Source!A185)</f>
        <v>185</v>
      </c>
      <c r="B289">
        <v>39096431</v>
      </c>
      <c r="C289">
        <v>39488997</v>
      </c>
      <c r="D289">
        <v>36802094</v>
      </c>
      <c r="E289">
        <v>1</v>
      </c>
      <c r="F289">
        <v>1</v>
      </c>
      <c r="G289">
        <v>1</v>
      </c>
      <c r="H289">
        <v>3</v>
      </c>
      <c r="I289" t="s">
        <v>852</v>
      </c>
      <c r="J289" t="s">
        <v>853</v>
      </c>
      <c r="K289" t="s">
        <v>854</v>
      </c>
      <c r="L289">
        <v>1346</v>
      </c>
      <c r="N289">
        <v>1009</v>
      </c>
      <c r="O289" t="s">
        <v>138</v>
      </c>
      <c r="P289" t="s">
        <v>138</v>
      </c>
      <c r="Q289">
        <v>1</v>
      </c>
      <c r="W289">
        <v>0</v>
      </c>
      <c r="X289">
        <v>-1088866022</v>
      </c>
      <c r="Y289">
        <v>0.11</v>
      </c>
      <c r="AA289">
        <v>203.98</v>
      </c>
      <c r="AB289">
        <v>0</v>
      </c>
      <c r="AC289">
        <v>0</v>
      </c>
      <c r="AD289">
        <v>0</v>
      </c>
      <c r="AE289">
        <v>30.4</v>
      </c>
      <c r="AF289">
        <v>0</v>
      </c>
      <c r="AG289">
        <v>0</v>
      </c>
      <c r="AH289">
        <v>0</v>
      </c>
      <c r="AI289">
        <v>6.71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0.11</v>
      </c>
      <c r="AU289" t="s">
        <v>3</v>
      </c>
      <c r="AV289">
        <v>0</v>
      </c>
      <c r="AW289">
        <v>2</v>
      </c>
      <c r="AX289">
        <v>39489002</v>
      </c>
      <c r="AY289">
        <v>1</v>
      </c>
      <c r="AZ289">
        <v>0</v>
      </c>
      <c r="BA289">
        <v>282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Y289*Source!I185</f>
        <v>4.9500000000000002E-2</v>
      </c>
      <c r="CY289">
        <f t="shared" ref="CY289:CY295" si="18">AA289</f>
        <v>203.98</v>
      </c>
      <c r="CZ289">
        <f t="shared" ref="CZ289:CZ295" si="19">AE289</f>
        <v>30.4</v>
      </c>
      <c r="DA289">
        <f t="shared" ref="DA289:DA295" si="20">AI289</f>
        <v>6.71</v>
      </c>
      <c r="DB289">
        <v>0</v>
      </c>
    </row>
    <row r="290" spans="1:106" x14ac:dyDescent="0.2">
      <c r="A290">
        <f>ROW(Source!A185)</f>
        <v>185</v>
      </c>
      <c r="B290">
        <v>39096431</v>
      </c>
      <c r="C290">
        <v>39488997</v>
      </c>
      <c r="D290">
        <v>36804580</v>
      </c>
      <c r="E290">
        <v>1</v>
      </c>
      <c r="F290">
        <v>1</v>
      </c>
      <c r="G290">
        <v>1</v>
      </c>
      <c r="H290">
        <v>3</v>
      </c>
      <c r="I290" t="s">
        <v>861</v>
      </c>
      <c r="J290" t="s">
        <v>862</v>
      </c>
      <c r="K290" t="s">
        <v>863</v>
      </c>
      <c r="L290">
        <v>1355</v>
      </c>
      <c r="N290">
        <v>1010</v>
      </c>
      <c r="O290" t="s">
        <v>161</v>
      </c>
      <c r="P290" t="s">
        <v>161</v>
      </c>
      <c r="Q290">
        <v>100</v>
      </c>
      <c r="W290">
        <v>0</v>
      </c>
      <c r="X290">
        <v>1794244060</v>
      </c>
      <c r="Y290">
        <v>1.02</v>
      </c>
      <c r="AA290">
        <v>577.05999999999995</v>
      </c>
      <c r="AB290">
        <v>0</v>
      </c>
      <c r="AC290">
        <v>0</v>
      </c>
      <c r="AD290">
        <v>0</v>
      </c>
      <c r="AE290">
        <v>86</v>
      </c>
      <c r="AF290">
        <v>0</v>
      </c>
      <c r="AG290">
        <v>0</v>
      </c>
      <c r="AH290">
        <v>0</v>
      </c>
      <c r="AI290">
        <v>6.71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1.02</v>
      </c>
      <c r="AU290" t="s">
        <v>3</v>
      </c>
      <c r="AV290">
        <v>0</v>
      </c>
      <c r="AW290">
        <v>2</v>
      </c>
      <c r="AX290">
        <v>39489003</v>
      </c>
      <c r="AY290">
        <v>1</v>
      </c>
      <c r="AZ290">
        <v>0</v>
      </c>
      <c r="BA290">
        <v>283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Y290*Source!I185</f>
        <v>0.45900000000000002</v>
      </c>
      <c r="CY290">
        <f t="shared" si="18"/>
        <v>577.05999999999995</v>
      </c>
      <c r="CZ290">
        <f t="shared" si="19"/>
        <v>86</v>
      </c>
      <c r="DA290">
        <f t="shared" si="20"/>
        <v>6.71</v>
      </c>
      <c r="DB290">
        <v>0</v>
      </c>
    </row>
    <row r="291" spans="1:106" x14ac:dyDescent="0.2">
      <c r="A291">
        <f>ROW(Source!A185)</f>
        <v>185</v>
      </c>
      <c r="B291">
        <v>39096431</v>
      </c>
      <c r="C291">
        <v>39488997</v>
      </c>
      <c r="D291">
        <v>36804940</v>
      </c>
      <c r="E291">
        <v>1</v>
      </c>
      <c r="F291">
        <v>1</v>
      </c>
      <c r="G291">
        <v>1</v>
      </c>
      <c r="H291">
        <v>3</v>
      </c>
      <c r="I291" t="s">
        <v>914</v>
      </c>
      <c r="J291" t="s">
        <v>915</v>
      </c>
      <c r="K291" t="s">
        <v>916</v>
      </c>
      <c r="L291">
        <v>1348</v>
      </c>
      <c r="N291">
        <v>1009</v>
      </c>
      <c r="O291" t="s">
        <v>110</v>
      </c>
      <c r="P291" t="s">
        <v>110</v>
      </c>
      <c r="Q291">
        <v>1000</v>
      </c>
      <c r="W291">
        <v>0</v>
      </c>
      <c r="X291">
        <v>797358079</v>
      </c>
      <c r="Y291">
        <v>1.6000000000000001E-4</v>
      </c>
      <c r="AA291">
        <v>199958</v>
      </c>
      <c r="AB291">
        <v>0</v>
      </c>
      <c r="AC291">
        <v>0</v>
      </c>
      <c r="AD291">
        <v>0</v>
      </c>
      <c r="AE291">
        <v>29800</v>
      </c>
      <c r="AF291">
        <v>0</v>
      </c>
      <c r="AG291">
        <v>0</v>
      </c>
      <c r="AH291">
        <v>0</v>
      </c>
      <c r="AI291">
        <v>6.71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1.6000000000000001E-4</v>
      </c>
      <c r="AU291" t="s">
        <v>3</v>
      </c>
      <c r="AV291">
        <v>0</v>
      </c>
      <c r="AW291">
        <v>2</v>
      </c>
      <c r="AX291">
        <v>39489004</v>
      </c>
      <c r="AY291">
        <v>1</v>
      </c>
      <c r="AZ291">
        <v>0</v>
      </c>
      <c r="BA291">
        <v>284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Y291*Source!I185</f>
        <v>7.2000000000000002E-5</v>
      </c>
      <c r="CY291">
        <f t="shared" si="18"/>
        <v>199958</v>
      </c>
      <c r="CZ291">
        <f t="shared" si="19"/>
        <v>29800</v>
      </c>
      <c r="DA291">
        <f t="shared" si="20"/>
        <v>6.71</v>
      </c>
      <c r="DB291">
        <v>0</v>
      </c>
    </row>
    <row r="292" spans="1:106" x14ac:dyDescent="0.2">
      <c r="A292">
        <f>ROW(Source!A185)</f>
        <v>185</v>
      </c>
      <c r="B292">
        <v>39096431</v>
      </c>
      <c r="C292">
        <v>39488997</v>
      </c>
      <c r="D292">
        <v>36804944</v>
      </c>
      <c r="E292">
        <v>1</v>
      </c>
      <c r="F292">
        <v>1</v>
      </c>
      <c r="G292">
        <v>1</v>
      </c>
      <c r="H292">
        <v>3</v>
      </c>
      <c r="I292" t="s">
        <v>832</v>
      </c>
      <c r="J292" t="s">
        <v>833</v>
      </c>
      <c r="K292" t="s">
        <v>834</v>
      </c>
      <c r="L292">
        <v>1348</v>
      </c>
      <c r="N292">
        <v>1009</v>
      </c>
      <c r="O292" t="s">
        <v>110</v>
      </c>
      <c r="P292" t="s">
        <v>110</v>
      </c>
      <c r="Q292">
        <v>1000</v>
      </c>
      <c r="W292">
        <v>0</v>
      </c>
      <c r="X292">
        <v>-1755229539</v>
      </c>
      <c r="Y292">
        <v>2.9999999999999997E-4</v>
      </c>
      <c r="AA292">
        <v>83405.3</v>
      </c>
      <c r="AB292">
        <v>0</v>
      </c>
      <c r="AC292">
        <v>0</v>
      </c>
      <c r="AD292">
        <v>0</v>
      </c>
      <c r="AE292">
        <v>12430</v>
      </c>
      <c r="AF292">
        <v>0</v>
      </c>
      <c r="AG292">
        <v>0</v>
      </c>
      <c r="AH292">
        <v>0</v>
      </c>
      <c r="AI292">
        <v>6.71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2.9999999999999997E-4</v>
      </c>
      <c r="AU292" t="s">
        <v>3</v>
      </c>
      <c r="AV292">
        <v>0</v>
      </c>
      <c r="AW292">
        <v>2</v>
      </c>
      <c r="AX292">
        <v>39489005</v>
      </c>
      <c r="AY292">
        <v>1</v>
      </c>
      <c r="AZ292">
        <v>0</v>
      </c>
      <c r="BA292">
        <v>285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Y292*Source!I185</f>
        <v>1.35E-4</v>
      </c>
      <c r="CY292">
        <f t="shared" si="18"/>
        <v>83405.3</v>
      </c>
      <c r="CZ292">
        <f t="shared" si="19"/>
        <v>12430</v>
      </c>
      <c r="DA292">
        <f t="shared" si="20"/>
        <v>6.71</v>
      </c>
      <c r="DB292">
        <v>0</v>
      </c>
    </row>
    <row r="293" spans="1:106" x14ac:dyDescent="0.2">
      <c r="A293">
        <f>ROW(Source!A185)</f>
        <v>185</v>
      </c>
      <c r="B293">
        <v>39096431</v>
      </c>
      <c r="C293">
        <v>39488997</v>
      </c>
      <c r="D293">
        <v>36855274</v>
      </c>
      <c r="E293">
        <v>1</v>
      </c>
      <c r="F293">
        <v>1</v>
      </c>
      <c r="G293">
        <v>1</v>
      </c>
      <c r="H293">
        <v>3</v>
      </c>
      <c r="I293" t="s">
        <v>482</v>
      </c>
      <c r="J293" t="s">
        <v>484</v>
      </c>
      <c r="K293" t="s">
        <v>483</v>
      </c>
      <c r="L293">
        <v>1355</v>
      </c>
      <c r="N293">
        <v>1010</v>
      </c>
      <c r="O293" t="s">
        <v>161</v>
      </c>
      <c r="P293" t="s">
        <v>161</v>
      </c>
      <c r="Q293">
        <v>100</v>
      </c>
      <c r="W293">
        <v>0</v>
      </c>
      <c r="X293">
        <v>-2051776460</v>
      </c>
      <c r="Y293">
        <v>0.84444399999999997</v>
      </c>
      <c r="AA293">
        <v>6032.29</v>
      </c>
      <c r="AB293">
        <v>0</v>
      </c>
      <c r="AC293">
        <v>0</v>
      </c>
      <c r="AD293">
        <v>0</v>
      </c>
      <c r="AE293">
        <v>899</v>
      </c>
      <c r="AF293">
        <v>0</v>
      </c>
      <c r="AG293">
        <v>0</v>
      </c>
      <c r="AH293">
        <v>0</v>
      </c>
      <c r="AI293">
        <v>6.71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3</v>
      </c>
      <c r="AT293">
        <v>0.84444399999999997</v>
      </c>
      <c r="AU293" t="s">
        <v>3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Y293*Source!I185</f>
        <v>0.3799998</v>
      </c>
      <c r="CY293">
        <f t="shared" si="18"/>
        <v>6032.29</v>
      </c>
      <c r="CZ293">
        <f t="shared" si="19"/>
        <v>899</v>
      </c>
      <c r="DA293">
        <f t="shared" si="20"/>
        <v>6.71</v>
      </c>
      <c r="DB293">
        <v>0</v>
      </c>
    </row>
    <row r="294" spans="1:106" x14ac:dyDescent="0.2">
      <c r="A294">
        <f>ROW(Source!A185)</f>
        <v>185</v>
      </c>
      <c r="B294">
        <v>39096431</v>
      </c>
      <c r="C294">
        <v>39488997</v>
      </c>
      <c r="D294">
        <v>36855275</v>
      </c>
      <c r="E294">
        <v>1</v>
      </c>
      <c r="F294">
        <v>1</v>
      </c>
      <c r="G294">
        <v>1</v>
      </c>
      <c r="H294">
        <v>3</v>
      </c>
      <c r="I294" t="s">
        <v>486</v>
      </c>
      <c r="J294" t="s">
        <v>488</v>
      </c>
      <c r="K294" t="s">
        <v>487</v>
      </c>
      <c r="L294">
        <v>1355</v>
      </c>
      <c r="N294">
        <v>1010</v>
      </c>
      <c r="O294" t="s">
        <v>161</v>
      </c>
      <c r="P294" t="s">
        <v>161</v>
      </c>
      <c r="Q294">
        <v>100</v>
      </c>
      <c r="W294">
        <v>0</v>
      </c>
      <c r="X294">
        <v>375004976</v>
      </c>
      <c r="Y294">
        <v>0.155556</v>
      </c>
      <c r="AA294">
        <v>4925.1400000000003</v>
      </c>
      <c r="AB294">
        <v>0</v>
      </c>
      <c r="AC294">
        <v>0</v>
      </c>
      <c r="AD294">
        <v>0</v>
      </c>
      <c r="AE294">
        <v>734</v>
      </c>
      <c r="AF294">
        <v>0</v>
      </c>
      <c r="AG294">
        <v>0</v>
      </c>
      <c r="AH294">
        <v>0</v>
      </c>
      <c r="AI294">
        <v>6.71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3</v>
      </c>
      <c r="AT294">
        <v>0.155556</v>
      </c>
      <c r="AU294" t="s">
        <v>3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Y294*Source!I185</f>
        <v>7.0000199999999999E-2</v>
      </c>
      <c r="CY294">
        <f t="shared" si="18"/>
        <v>4925.1400000000003</v>
      </c>
      <c r="CZ294">
        <f t="shared" si="19"/>
        <v>734</v>
      </c>
      <c r="DA294">
        <f t="shared" si="20"/>
        <v>6.71</v>
      </c>
      <c r="DB294">
        <v>0</v>
      </c>
    </row>
    <row r="295" spans="1:106" x14ac:dyDescent="0.2">
      <c r="A295">
        <f>ROW(Source!A185)</f>
        <v>185</v>
      </c>
      <c r="B295">
        <v>39096431</v>
      </c>
      <c r="C295">
        <v>39488997</v>
      </c>
      <c r="D295">
        <v>36799065</v>
      </c>
      <c r="E295">
        <v>17</v>
      </c>
      <c r="F295">
        <v>1</v>
      </c>
      <c r="G295">
        <v>1</v>
      </c>
      <c r="H295">
        <v>3</v>
      </c>
      <c r="I295" t="s">
        <v>835</v>
      </c>
      <c r="J295" t="s">
        <v>3</v>
      </c>
      <c r="K295" t="s">
        <v>836</v>
      </c>
      <c r="L295">
        <v>1374</v>
      </c>
      <c r="N295">
        <v>1013</v>
      </c>
      <c r="O295" t="s">
        <v>837</v>
      </c>
      <c r="P295" t="s">
        <v>837</v>
      </c>
      <c r="Q295">
        <v>1</v>
      </c>
      <c r="W295">
        <v>0</v>
      </c>
      <c r="X295">
        <v>-1731369543</v>
      </c>
      <c r="Y295">
        <v>6.86</v>
      </c>
      <c r="AA295">
        <v>1</v>
      </c>
      <c r="AB295">
        <v>0</v>
      </c>
      <c r="AC295">
        <v>0</v>
      </c>
      <c r="AD295">
        <v>0</v>
      </c>
      <c r="AE295">
        <v>1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6.86</v>
      </c>
      <c r="AU295" t="s">
        <v>3</v>
      </c>
      <c r="AV295">
        <v>0</v>
      </c>
      <c r="AW295">
        <v>2</v>
      </c>
      <c r="AX295">
        <v>39489006</v>
      </c>
      <c r="AY295">
        <v>1</v>
      </c>
      <c r="AZ295">
        <v>0</v>
      </c>
      <c r="BA295">
        <v>286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Y295*Source!I185</f>
        <v>3.0870000000000002</v>
      </c>
      <c r="CY295">
        <f t="shared" si="18"/>
        <v>1</v>
      </c>
      <c r="CZ295">
        <f t="shared" si="19"/>
        <v>1</v>
      </c>
      <c r="DA295">
        <f t="shared" si="20"/>
        <v>1</v>
      </c>
      <c r="DB295">
        <v>0</v>
      </c>
    </row>
    <row r="296" spans="1:106" x14ac:dyDescent="0.2">
      <c r="A296">
        <f>ROW(Source!A188)</f>
        <v>188</v>
      </c>
      <c r="B296">
        <v>39096431</v>
      </c>
      <c r="C296">
        <v>39096919</v>
      </c>
      <c r="D296">
        <v>37077359</v>
      </c>
      <c r="E296">
        <v>1</v>
      </c>
      <c r="F296">
        <v>1</v>
      </c>
      <c r="G296">
        <v>1</v>
      </c>
      <c r="H296">
        <v>1</v>
      </c>
      <c r="I296" t="s">
        <v>917</v>
      </c>
      <c r="J296" t="s">
        <v>3</v>
      </c>
      <c r="K296" t="s">
        <v>918</v>
      </c>
      <c r="L296">
        <v>1191</v>
      </c>
      <c r="N296">
        <v>1013</v>
      </c>
      <c r="O296" t="s">
        <v>660</v>
      </c>
      <c r="P296" t="s">
        <v>660</v>
      </c>
      <c r="Q296">
        <v>1</v>
      </c>
      <c r="W296">
        <v>0</v>
      </c>
      <c r="X296">
        <v>-362667798</v>
      </c>
      <c r="Y296">
        <v>0.9</v>
      </c>
      <c r="AA296">
        <v>0</v>
      </c>
      <c r="AB296">
        <v>0</v>
      </c>
      <c r="AC296">
        <v>0</v>
      </c>
      <c r="AD296">
        <v>70.459999999999994</v>
      </c>
      <c r="AE296">
        <v>0</v>
      </c>
      <c r="AF296">
        <v>0</v>
      </c>
      <c r="AG296">
        <v>0</v>
      </c>
      <c r="AH296">
        <v>10.5</v>
      </c>
      <c r="AI296">
        <v>1</v>
      </c>
      <c r="AJ296">
        <v>1</v>
      </c>
      <c r="AK296">
        <v>1</v>
      </c>
      <c r="AL296">
        <v>6.71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0.9</v>
      </c>
      <c r="AU296" t="s">
        <v>3</v>
      </c>
      <c r="AV296">
        <v>1</v>
      </c>
      <c r="AW296">
        <v>2</v>
      </c>
      <c r="AX296">
        <v>39489062</v>
      </c>
      <c r="AY296">
        <v>1</v>
      </c>
      <c r="AZ296">
        <v>0</v>
      </c>
      <c r="BA296">
        <v>287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Y296*Source!I188</f>
        <v>6.3</v>
      </c>
      <c r="CY296">
        <f>AD296</f>
        <v>70.459999999999994</v>
      </c>
      <c r="CZ296">
        <f>AH296</f>
        <v>10.5</v>
      </c>
      <c r="DA296">
        <f>AL296</f>
        <v>6.71</v>
      </c>
      <c r="DB296">
        <v>0</v>
      </c>
    </row>
    <row r="297" spans="1:106" x14ac:dyDescent="0.2">
      <c r="A297">
        <f>ROW(Source!A188)</f>
        <v>188</v>
      </c>
      <c r="B297">
        <v>39096431</v>
      </c>
      <c r="C297">
        <v>39096919</v>
      </c>
      <c r="D297">
        <v>37064876</v>
      </c>
      <c r="E297">
        <v>1</v>
      </c>
      <c r="F297">
        <v>1</v>
      </c>
      <c r="G297">
        <v>1</v>
      </c>
      <c r="H297">
        <v>1</v>
      </c>
      <c r="I297" t="s">
        <v>661</v>
      </c>
      <c r="J297" t="s">
        <v>3</v>
      </c>
      <c r="K297" t="s">
        <v>662</v>
      </c>
      <c r="L297">
        <v>1191</v>
      </c>
      <c r="N297">
        <v>1013</v>
      </c>
      <c r="O297" t="s">
        <v>660</v>
      </c>
      <c r="P297" t="s">
        <v>660</v>
      </c>
      <c r="Q297">
        <v>1</v>
      </c>
      <c r="W297">
        <v>0</v>
      </c>
      <c r="X297">
        <v>-1417349443</v>
      </c>
      <c r="Y297">
        <v>0.2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6.71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0.2</v>
      </c>
      <c r="AU297" t="s">
        <v>3</v>
      </c>
      <c r="AV297">
        <v>2</v>
      </c>
      <c r="AW297">
        <v>2</v>
      </c>
      <c r="AX297">
        <v>39489063</v>
      </c>
      <c r="AY297">
        <v>1</v>
      </c>
      <c r="AZ297">
        <v>0</v>
      </c>
      <c r="BA297">
        <v>288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Y297*Source!I188</f>
        <v>1.4000000000000001</v>
      </c>
      <c r="CY297">
        <f>AD297</f>
        <v>0</v>
      </c>
      <c r="CZ297">
        <f>AH297</f>
        <v>0</v>
      </c>
      <c r="DA297">
        <f>AL297</f>
        <v>1</v>
      </c>
      <c r="DB297">
        <v>0</v>
      </c>
    </row>
    <row r="298" spans="1:106" x14ac:dyDescent="0.2">
      <c r="A298">
        <f>ROW(Source!A188)</f>
        <v>188</v>
      </c>
      <c r="B298">
        <v>39096431</v>
      </c>
      <c r="C298">
        <v>39096919</v>
      </c>
      <c r="D298">
        <v>36882159</v>
      </c>
      <c r="E298">
        <v>1</v>
      </c>
      <c r="F298">
        <v>1</v>
      </c>
      <c r="G298">
        <v>1</v>
      </c>
      <c r="H298">
        <v>2</v>
      </c>
      <c r="I298" t="s">
        <v>802</v>
      </c>
      <c r="J298" t="s">
        <v>803</v>
      </c>
      <c r="K298" t="s">
        <v>804</v>
      </c>
      <c r="L298">
        <v>1368</v>
      </c>
      <c r="N298">
        <v>1011</v>
      </c>
      <c r="O298" t="s">
        <v>666</v>
      </c>
      <c r="P298" t="s">
        <v>666</v>
      </c>
      <c r="Q298">
        <v>1</v>
      </c>
      <c r="W298">
        <v>0</v>
      </c>
      <c r="X298">
        <v>-1718674368</v>
      </c>
      <c r="Y298">
        <v>0.1</v>
      </c>
      <c r="AA298">
        <v>0</v>
      </c>
      <c r="AB298">
        <v>751.45</v>
      </c>
      <c r="AC298">
        <v>13.5</v>
      </c>
      <c r="AD298">
        <v>0</v>
      </c>
      <c r="AE298">
        <v>0</v>
      </c>
      <c r="AF298">
        <v>111.99</v>
      </c>
      <c r="AG298">
        <v>13.5</v>
      </c>
      <c r="AH298">
        <v>0</v>
      </c>
      <c r="AI298">
        <v>1</v>
      </c>
      <c r="AJ298">
        <v>6.71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0.1</v>
      </c>
      <c r="AU298" t="s">
        <v>3</v>
      </c>
      <c r="AV298">
        <v>0</v>
      </c>
      <c r="AW298">
        <v>2</v>
      </c>
      <c r="AX298">
        <v>39489064</v>
      </c>
      <c r="AY298">
        <v>1</v>
      </c>
      <c r="AZ298">
        <v>0</v>
      </c>
      <c r="BA298">
        <v>289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Y298*Source!I188</f>
        <v>0.70000000000000007</v>
      </c>
      <c r="CY298">
        <f>AB298</f>
        <v>751.45</v>
      </c>
      <c r="CZ298">
        <f>AF298</f>
        <v>111.99</v>
      </c>
      <c r="DA298">
        <f>AJ298</f>
        <v>6.71</v>
      </c>
      <c r="DB298">
        <v>0</v>
      </c>
    </row>
    <row r="299" spans="1:106" x14ac:dyDescent="0.2">
      <c r="A299">
        <f>ROW(Source!A188)</f>
        <v>188</v>
      </c>
      <c r="B299">
        <v>39096431</v>
      </c>
      <c r="C299">
        <v>39096919</v>
      </c>
      <c r="D299">
        <v>36883554</v>
      </c>
      <c r="E299">
        <v>1</v>
      </c>
      <c r="F299">
        <v>1</v>
      </c>
      <c r="G299">
        <v>1</v>
      </c>
      <c r="H299">
        <v>2</v>
      </c>
      <c r="I299" t="s">
        <v>679</v>
      </c>
      <c r="J299" t="s">
        <v>680</v>
      </c>
      <c r="K299" t="s">
        <v>681</v>
      </c>
      <c r="L299">
        <v>1368</v>
      </c>
      <c r="N299">
        <v>1011</v>
      </c>
      <c r="O299" t="s">
        <v>666</v>
      </c>
      <c r="P299" t="s">
        <v>666</v>
      </c>
      <c r="Q299">
        <v>1</v>
      </c>
      <c r="W299">
        <v>0</v>
      </c>
      <c r="X299">
        <v>1372534845</v>
      </c>
      <c r="Y299">
        <v>0.1</v>
      </c>
      <c r="AA299">
        <v>0</v>
      </c>
      <c r="AB299">
        <v>440.91</v>
      </c>
      <c r="AC299">
        <v>11.6</v>
      </c>
      <c r="AD299">
        <v>0</v>
      </c>
      <c r="AE299">
        <v>0</v>
      </c>
      <c r="AF299">
        <v>65.709999999999994</v>
      </c>
      <c r="AG299">
        <v>11.6</v>
      </c>
      <c r="AH299">
        <v>0</v>
      </c>
      <c r="AI299">
        <v>1</v>
      </c>
      <c r="AJ299">
        <v>6.71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0.1</v>
      </c>
      <c r="AU299" t="s">
        <v>3</v>
      </c>
      <c r="AV299">
        <v>0</v>
      </c>
      <c r="AW299">
        <v>2</v>
      </c>
      <c r="AX299">
        <v>39489065</v>
      </c>
      <c r="AY299">
        <v>1</v>
      </c>
      <c r="AZ299">
        <v>0</v>
      </c>
      <c r="BA299">
        <v>290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Y299*Source!I188</f>
        <v>0.70000000000000007</v>
      </c>
      <c r="CY299">
        <f>AB299</f>
        <v>440.91</v>
      </c>
      <c r="CZ299">
        <f>AF299</f>
        <v>65.709999999999994</v>
      </c>
      <c r="DA299">
        <f>AJ299</f>
        <v>6.71</v>
      </c>
      <c r="DB299">
        <v>0</v>
      </c>
    </row>
    <row r="300" spans="1:106" x14ac:dyDescent="0.2">
      <c r="A300">
        <f>ROW(Source!A188)</f>
        <v>188</v>
      </c>
      <c r="B300">
        <v>39096431</v>
      </c>
      <c r="C300">
        <v>39096919</v>
      </c>
      <c r="D300">
        <v>36802094</v>
      </c>
      <c r="E300">
        <v>1</v>
      </c>
      <c r="F300">
        <v>1</v>
      </c>
      <c r="G300">
        <v>1</v>
      </c>
      <c r="H300">
        <v>3</v>
      </c>
      <c r="I300" t="s">
        <v>852</v>
      </c>
      <c r="J300" t="s">
        <v>853</v>
      </c>
      <c r="K300" t="s">
        <v>854</v>
      </c>
      <c r="L300">
        <v>1346</v>
      </c>
      <c r="N300">
        <v>1009</v>
      </c>
      <c r="O300" t="s">
        <v>138</v>
      </c>
      <c r="P300" t="s">
        <v>138</v>
      </c>
      <c r="Q300">
        <v>1</v>
      </c>
      <c r="W300">
        <v>0</v>
      </c>
      <c r="X300">
        <v>-1088866022</v>
      </c>
      <c r="Y300">
        <v>0.01</v>
      </c>
      <c r="AA300">
        <v>203.98</v>
      </c>
      <c r="AB300">
        <v>0</v>
      </c>
      <c r="AC300">
        <v>0</v>
      </c>
      <c r="AD300">
        <v>0</v>
      </c>
      <c r="AE300">
        <v>30.4</v>
      </c>
      <c r="AF300">
        <v>0</v>
      </c>
      <c r="AG300">
        <v>0</v>
      </c>
      <c r="AH300">
        <v>0</v>
      </c>
      <c r="AI300">
        <v>6.71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0.01</v>
      </c>
      <c r="AU300" t="s">
        <v>3</v>
      </c>
      <c r="AV300">
        <v>0</v>
      </c>
      <c r="AW300">
        <v>2</v>
      </c>
      <c r="AX300">
        <v>39489066</v>
      </c>
      <c r="AY300">
        <v>1</v>
      </c>
      <c r="AZ300">
        <v>0</v>
      </c>
      <c r="BA300">
        <v>291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Y300*Source!I188</f>
        <v>7.0000000000000007E-2</v>
      </c>
      <c r="CY300">
        <f>AA300</f>
        <v>203.98</v>
      </c>
      <c r="CZ300">
        <f>AE300</f>
        <v>30.4</v>
      </c>
      <c r="DA300">
        <f>AI300</f>
        <v>6.71</v>
      </c>
      <c r="DB300">
        <v>0</v>
      </c>
    </row>
    <row r="301" spans="1:106" x14ac:dyDescent="0.2">
      <c r="A301">
        <f>ROW(Source!A188)</f>
        <v>188</v>
      </c>
      <c r="B301">
        <v>39096431</v>
      </c>
      <c r="C301">
        <v>39096919</v>
      </c>
      <c r="D301">
        <v>36804448</v>
      </c>
      <c r="E301">
        <v>1</v>
      </c>
      <c r="F301">
        <v>1</v>
      </c>
      <c r="G301">
        <v>1</v>
      </c>
      <c r="H301">
        <v>3</v>
      </c>
      <c r="I301" t="s">
        <v>858</v>
      </c>
      <c r="J301" t="s">
        <v>859</v>
      </c>
      <c r="K301" t="s">
        <v>860</v>
      </c>
      <c r="L301">
        <v>1346</v>
      </c>
      <c r="N301">
        <v>1009</v>
      </c>
      <c r="O301" t="s">
        <v>138</v>
      </c>
      <c r="P301" t="s">
        <v>138</v>
      </c>
      <c r="Q301">
        <v>1</v>
      </c>
      <c r="W301">
        <v>0</v>
      </c>
      <c r="X301">
        <v>103900845</v>
      </c>
      <c r="Y301">
        <v>0.3</v>
      </c>
      <c r="AA301">
        <v>60.66</v>
      </c>
      <c r="AB301">
        <v>0</v>
      </c>
      <c r="AC301">
        <v>0</v>
      </c>
      <c r="AD301">
        <v>0</v>
      </c>
      <c r="AE301">
        <v>9.0399999999999991</v>
      </c>
      <c r="AF301">
        <v>0</v>
      </c>
      <c r="AG301">
        <v>0</v>
      </c>
      <c r="AH301">
        <v>0</v>
      </c>
      <c r="AI301">
        <v>6.71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0.3</v>
      </c>
      <c r="AU301" t="s">
        <v>3</v>
      </c>
      <c r="AV301">
        <v>0</v>
      </c>
      <c r="AW301">
        <v>2</v>
      </c>
      <c r="AX301">
        <v>39489067</v>
      </c>
      <c r="AY301">
        <v>1</v>
      </c>
      <c r="AZ301">
        <v>0</v>
      </c>
      <c r="BA301">
        <v>292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Y301*Source!I188</f>
        <v>2.1</v>
      </c>
      <c r="CY301">
        <f>AA301</f>
        <v>60.66</v>
      </c>
      <c r="CZ301">
        <f>AE301</f>
        <v>9.0399999999999991</v>
      </c>
      <c r="DA301">
        <f>AI301</f>
        <v>6.71</v>
      </c>
      <c r="DB301">
        <v>0</v>
      </c>
    </row>
    <row r="302" spans="1:106" x14ac:dyDescent="0.2">
      <c r="A302">
        <f>ROW(Source!A188)</f>
        <v>188</v>
      </c>
      <c r="B302">
        <v>39096431</v>
      </c>
      <c r="C302">
        <v>39096919</v>
      </c>
      <c r="D302">
        <v>36825981</v>
      </c>
      <c r="E302">
        <v>1</v>
      </c>
      <c r="F302">
        <v>1</v>
      </c>
      <c r="G302">
        <v>1</v>
      </c>
      <c r="H302">
        <v>3</v>
      </c>
      <c r="I302" t="s">
        <v>919</v>
      </c>
      <c r="J302" t="s">
        <v>920</v>
      </c>
      <c r="K302" t="s">
        <v>921</v>
      </c>
      <c r="L302">
        <v>1348</v>
      </c>
      <c r="N302">
        <v>1009</v>
      </c>
      <c r="O302" t="s">
        <v>110</v>
      </c>
      <c r="P302" t="s">
        <v>110</v>
      </c>
      <c r="Q302">
        <v>1000</v>
      </c>
      <c r="W302">
        <v>0</v>
      </c>
      <c r="X302">
        <v>-1598896989</v>
      </c>
      <c r="Y302">
        <v>5.9999999999999995E-4</v>
      </c>
      <c r="AA302">
        <v>33550</v>
      </c>
      <c r="AB302">
        <v>0</v>
      </c>
      <c r="AC302">
        <v>0</v>
      </c>
      <c r="AD302">
        <v>0</v>
      </c>
      <c r="AE302">
        <v>5000</v>
      </c>
      <c r="AF302">
        <v>0</v>
      </c>
      <c r="AG302">
        <v>0</v>
      </c>
      <c r="AH302">
        <v>0</v>
      </c>
      <c r="AI302">
        <v>6.71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5.9999999999999995E-4</v>
      </c>
      <c r="AU302" t="s">
        <v>3</v>
      </c>
      <c r="AV302">
        <v>0</v>
      </c>
      <c r="AW302">
        <v>2</v>
      </c>
      <c r="AX302">
        <v>39489068</v>
      </c>
      <c r="AY302">
        <v>1</v>
      </c>
      <c r="AZ302">
        <v>0</v>
      </c>
      <c r="BA302">
        <v>293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Y302*Source!I188</f>
        <v>4.1999999999999997E-3</v>
      </c>
      <c r="CY302">
        <f>AA302</f>
        <v>33550</v>
      </c>
      <c r="CZ302">
        <f>AE302</f>
        <v>5000</v>
      </c>
      <c r="DA302">
        <f>AI302</f>
        <v>6.71</v>
      </c>
      <c r="DB302">
        <v>0</v>
      </c>
    </row>
    <row r="303" spans="1:106" x14ac:dyDescent="0.2">
      <c r="A303">
        <f>ROW(Source!A188)</f>
        <v>188</v>
      </c>
      <c r="B303">
        <v>39096431</v>
      </c>
      <c r="C303">
        <v>39096919</v>
      </c>
      <c r="D303">
        <v>36873831</v>
      </c>
      <c r="E303">
        <v>1</v>
      </c>
      <c r="F303">
        <v>1</v>
      </c>
      <c r="G303">
        <v>1</v>
      </c>
      <c r="H303">
        <v>3</v>
      </c>
      <c r="I303" t="s">
        <v>494</v>
      </c>
      <c r="J303" t="s">
        <v>496</v>
      </c>
      <c r="K303" t="s">
        <v>495</v>
      </c>
      <c r="L303">
        <v>1358</v>
      </c>
      <c r="N303">
        <v>1010</v>
      </c>
      <c r="O303" t="s">
        <v>436</v>
      </c>
      <c r="P303" t="s">
        <v>436</v>
      </c>
      <c r="Q303">
        <v>10</v>
      </c>
      <c r="W303">
        <v>0</v>
      </c>
      <c r="X303">
        <v>-1428264759</v>
      </c>
      <c r="Y303">
        <v>0.1</v>
      </c>
      <c r="AA303">
        <v>1264.8399999999999</v>
      </c>
      <c r="AB303">
        <v>0</v>
      </c>
      <c r="AC303">
        <v>0</v>
      </c>
      <c r="AD303">
        <v>0</v>
      </c>
      <c r="AE303">
        <v>188.5</v>
      </c>
      <c r="AF303">
        <v>0</v>
      </c>
      <c r="AG303">
        <v>0</v>
      </c>
      <c r="AH303">
        <v>0</v>
      </c>
      <c r="AI303">
        <v>6.71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3</v>
      </c>
      <c r="AT303">
        <v>0.1</v>
      </c>
      <c r="AU303" t="s">
        <v>3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Y303*Source!I188</f>
        <v>0.70000000000000007</v>
      </c>
      <c r="CY303">
        <f>AA303</f>
        <v>1264.8399999999999</v>
      </c>
      <c r="CZ303">
        <f>AE303</f>
        <v>188.5</v>
      </c>
      <c r="DA303">
        <f>AI303</f>
        <v>6.71</v>
      </c>
      <c r="DB303">
        <v>0</v>
      </c>
    </row>
    <row r="304" spans="1:106" x14ac:dyDescent="0.2">
      <c r="A304">
        <f>ROW(Source!A188)</f>
        <v>188</v>
      </c>
      <c r="B304">
        <v>39096431</v>
      </c>
      <c r="C304">
        <v>39096919</v>
      </c>
      <c r="D304">
        <v>36799065</v>
      </c>
      <c r="E304">
        <v>17</v>
      </c>
      <c r="F304">
        <v>1</v>
      </c>
      <c r="G304">
        <v>1</v>
      </c>
      <c r="H304">
        <v>3</v>
      </c>
      <c r="I304" t="s">
        <v>835</v>
      </c>
      <c r="J304" t="s">
        <v>3</v>
      </c>
      <c r="K304" t="s">
        <v>836</v>
      </c>
      <c r="L304">
        <v>1374</v>
      </c>
      <c r="N304">
        <v>1013</v>
      </c>
      <c r="O304" t="s">
        <v>837</v>
      </c>
      <c r="P304" t="s">
        <v>837</v>
      </c>
      <c r="Q304">
        <v>1</v>
      </c>
      <c r="W304">
        <v>0</v>
      </c>
      <c r="X304">
        <v>-1731369543</v>
      </c>
      <c r="Y304">
        <v>0.19</v>
      </c>
      <c r="AA304">
        <v>1</v>
      </c>
      <c r="AB304">
        <v>0</v>
      </c>
      <c r="AC304">
        <v>0</v>
      </c>
      <c r="AD304">
        <v>0</v>
      </c>
      <c r="AE304">
        <v>1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0.19</v>
      </c>
      <c r="AU304" t="s">
        <v>3</v>
      </c>
      <c r="AV304">
        <v>0</v>
      </c>
      <c r="AW304">
        <v>2</v>
      </c>
      <c r="AX304">
        <v>39489069</v>
      </c>
      <c r="AY304">
        <v>1</v>
      </c>
      <c r="AZ304">
        <v>0</v>
      </c>
      <c r="BA304">
        <v>294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Y304*Source!I188</f>
        <v>1.33</v>
      </c>
      <c r="CY304">
        <f>AA304</f>
        <v>1</v>
      </c>
      <c r="CZ304">
        <f>AE304</f>
        <v>1</v>
      </c>
      <c r="DA304">
        <f>AI304</f>
        <v>1</v>
      </c>
      <c r="DB304">
        <v>0</v>
      </c>
    </row>
    <row r="305" spans="1:106" x14ac:dyDescent="0.2">
      <c r="A305">
        <f>ROW(Source!A190)</f>
        <v>190</v>
      </c>
      <c r="B305">
        <v>39096431</v>
      </c>
      <c r="C305">
        <v>39489031</v>
      </c>
      <c r="D305">
        <v>37070202</v>
      </c>
      <c r="E305">
        <v>1</v>
      </c>
      <c r="F305">
        <v>1</v>
      </c>
      <c r="G305">
        <v>1</v>
      </c>
      <c r="H305">
        <v>1</v>
      </c>
      <c r="I305" t="s">
        <v>677</v>
      </c>
      <c r="J305" t="s">
        <v>3</v>
      </c>
      <c r="K305" t="s">
        <v>678</v>
      </c>
      <c r="L305">
        <v>1191</v>
      </c>
      <c r="N305">
        <v>1013</v>
      </c>
      <c r="O305" t="s">
        <v>660</v>
      </c>
      <c r="P305" t="s">
        <v>660</v>
      </c>
      <c r="Q305">
        <v>1</v>
      </c>
      <c r="W305">
        <v>0</v>
      </c>
      <c r="X305">
        <v>1983201532</v>
      </c>
      <c r="Y305">
        <v>1.56</v>
      </c>
      <c r="AA305">
        <v>0</v>
      </c>
      <c r="AB305">
        <v>0</v>
      </c>
      <c r="AC305">
        <v>0</v>
      </c>
      <c r="AD305">
        <v>63.81</v>
      </c>
      <c r="AE305">
        <v>0</v>
      </c>
      <c r="AF305">
        <v>0</v>
      </c>
      <c r="AG305">
        <v>0</v>
      </c>
      <c r="AH305">
        <v>9.51</v>
      </c>
      <c r="AI305">
        <v>1</v>
      </c>
      <c r="AJ305">
        <v>1</v>
      </c>
      <c r="AK305">
        <v>1</v>
      </c>
      <c r="AL305">
        <v>6.71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1.56</v>
      </c>
      <c r="AU305" t="s">
        <v>3</v>
      </c>
      <c r="AV305">
        <v>1</v>
      </c>
      <c r="AW305">
        <v>2</v>
      </c>
      <c r="AX305">
        <v>39489032</v>
      </c>
      <c r="AY305">
        <v>1</v>
      </c>
      <c r="AZ305">
        <v>0</v>
      </c>
      <c r="BA305">
        <v>295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Y305*Source!I190</f>
        <v>73.320000000000007</v>
      </c>
      <c r="CY305">
        <f>AD305</f>
        <v>63.81</v>
      </c>
      <c r="CZ305">
        <f>AH305</f>
        <v>9.51</v>
      </c>
      <c r="DA305">
        <f>AL305</f>
        <v>6.71</v>
      </c>
      <c r="DB305">
        <v>0</v>
      </c>
    </row>
    <row r="306" spans="1:106" x14ac:dyDescent="0.2">
      <c r="A306">
        <f>ROW(Source!A190)</f>
        <v>190</v>
      </c>
      <c r="B306">
        <v>39096431</v>
      </c>
      <c r="C306">
        <v>39489031</v>
      </c>
      <c r="D306">
        <v>36883858</v>
      </c>
      <c r="E306">
        <v>1</v>
      </c>
      <c r="F306">
        <v>1</v>
      </c>
      <c r="G306">
        <v>1</v>
      </c>
      <c r="H306">
        <v>2</v>
      </c>
      <c r="I306" t="s">
        <v>704</v>
      </c>
      <c r="J306" t="s">
        <v>705</v>
      </c>
      <c r="K306" t="s">
        <v>706</v>
      </c>
      <c r="L306">
        <v>1368</v>
      </c>
      <c r="N306">
        <v>1011</v>
      </c>
      <c r="O306" t="s">
        <v>666</v>
      </c>
      <c r="P306" t="s">
        <v>666</v>
      </c>
      <c r="Q306">
        <v>1</v>
      </c>
      <c r="W306">
        <v>0</v>
      </c>
      <c r="X306">
        <v>-353815937</v>
      </c>
      <c r="Y306">
        <v>0.13</v>
      </c>
      <c r="AA306">
        <v>0</v>
      </c>
      <c r="AB306">
        <v>54.35</v>
      </c>
      <c r="AC306">
        <v>0</v>
      </c>
      <c r="AD306">
        <v>0</v>
      </c>
      <c r="AE306">
        <v>0</v>
      </c>
      <c r="AF306">
        <v>8.1</v>
      </c>
      <c r="AG306">
        <v>0</v>
      </c>
      <c r="AH306">
        <v>0</v>
      </c>
      <c r="AI306">
        <v>1</v>
      </c>
      <c r="AJ306">
        <v>6.71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0.13</v>
      </c>
      <c r="AU306" t="s">
        <v>3</v>
      </c>
      <c r="AV306">
        <v>0</v>
      </c>
      <c r="AW306">
        <v>2</v>
      </c>
      <c r="AX306">
        <v>39489033</v>
      </c>
      <c r="AY306">
        <v>1</v>
      </c>
      <c r="AZ306">
        <v>0</v>
      </c>
      <c r="BA306">
        <v>296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Y306*Source!I190</f>
        <v>6.11</v>
      </c>
      <c r="CY306">
        <f>AB306</f>
        <v>54.35</v>
      </c>
      <c r="CZ306">
        <f>AF306</f>
        <v>8.1</v>
      </c>
      <c r="DA306">
        <f>AJ306</f>
        <v>6.71</v>
      </c>
      <c r="DB306">
        <v>0</v>
      </c>
    </row>
    <row r="307" spans="1:106" x14ac:dyDescent="0.2">
      <c r="A307">
        <f>ROW(Source!A190)</f>
        <v>190</v>
      </c>
      <c r="B307">
        <v>39096431</v>
      </c>
      <c r="C307">
        <v>39489031</v>
      </c>
      <c r="D307">
        <v>36800043</v>
      </c>
      <c r="E307">
        <v>1</v>
      </c>
      <c r="F307">
        <v>1</v>
      </c>
      <c r="G307">
        <v>1</v>
      </c>
      <c r="H307">
        <v>3</v>
      </c>
      <c r="I307" t="s">
        <v>846</v>
      </c>
      <c r="J307" t="s">
        <v>847</v>
      </c>
      <c r="K307" t="s">
        <v>848</v>
      </c>
      <c r="L307">
        <v>1346</v>
      </c>
      <c r="N307">
        <v>1009</v>
      </c>
      <c r="O307" t="s">
        <v>138</v>
      </c>
      <c r="P307" t="s">
        <v>138</v>
      </c>
      <c r="Q307">
        <v>1</v>
      </c>
      <c r="W307">
        <v>0</v>
      </c>
      <c r="X307">
        <v>618806536</v>
      </c>
      <c r="Y307">
        <v>6.0000000000000001E-3</v>
      </c>
      <c r="AA307">
        <v>301.75</v>
      </c>
      <c r="AB307">
        <v>0</v>
      </c>
      <c r="AC307">
        <v>0</v>
      </c>
      <c r="AD307">
        <v>0</v>
      </c>
      <c r="AE307">
        <v>44.97</v>
      </c>
      <c r="AF307">
        <v>0</v>
      </c>
      <c r="AG307">
        <v>0</v>
      </c>
      <c r="AH307">
        <v>0</v>
      </c>
      <c r="AI307">
        <v>6.71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6.0000000000000001E-3</v>
      </c>
      <c r="AU307" t="s">
        <v>3</v>
      </c>
      <c r="AV307">
        <v>0</v>
      </c>
      <c r="AW307">
        <v>2</v>
      </c>
      <c r="AX307">
        <v>39489034</v>
      </c>
      <c r="AY307">
        <v>1</v>
      </c>
      <c r="AZ307">
        <v>0</v>
      </c>
      <c r="BA307">
        <v>297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Y307*Source!I190</f>
        <v>0.28200000000000003</v>
      </c>
      <c r="CY307">
        <f t="shared" ref="CY307:CY323" si="21">AA307</f>
        <v>301.75</v>
      </c>
      <c r="CZ307">
        <f t="shared" ref="CZ307:CZ323" si="22">AE307</f>
        <v>44.97</v>
      </c>
      <c r="DA307">
        <f t="shared" ref="DA307:DA323" si="23">AI307</f>
        <v>6.71</v>
      </c>
      <c r="DB307">
        <v>0</v>
      </c>
    </row>
    <row r="308" spans="1:106" x14ac:dyDescent="0.2">
      <c r="A308">
        <f>ROW(Source!A190)</f>
        <v>190</v>
      </c>
      <c r="B308">
        <v>39096431</v>
      </c>
      <c r="C308">
        <v>39489031</v>
      </c>
      <c r="D308">
        <v>36801775</v>
      </c>
      <c r="E308">
        <v>1</v>
      </c>
      <c r="F308">
        <v>1</v>
      </c>
      <c r="G308">
        <v>1</v>
      </c>
      <c r="H308">
        <v>3</v>
      </c>
      <c r="I308" t="s">
        <v>849</v>
      </c>
      <c r="J308" t="s">
        <v>850</v>
      </c>
      <c r="K308" t="s">
        <v>851</v>
      </c>
      <c r="L308">
        <v>1346</v>
      </c>
      <c r="N308">
        <v>1009</v>
      </c>
      <c r="O308" t="s">
        <v>138</v>
      </c>
      <c r="P308" t="s">
        <v>138</v>
      </c>
      <c r="Q308">
        <v>1</v>
      </c>
      <c r="W308">
        <v>0</v>
      </c>
      <c r="X308">
        <v>56922527</v>
      </c>
      <c r="Y308">
        <v>1E-3</v>
      </c>
      <c r="AA308">
        <v>77.17</v>
      </c>
      <c r="AB308">
        <v>0</v>
      </c>
      <c r="AC308">
        <v>0</v>
      </c>
      <c r="AD308">
        <v>0</v>
      </c>
      <c r="AE308">
        <v>11.5</v>
      </c>
      <c r="AF308">
        <v>0</v>
      </c>
      <c r="AG308">
        <v>0</v>
      </c>
      <c r="AH308">
        <v>0</v>
      </c>
      <c r="AI308">
        <v>6.71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1E-3</v>
      </c>
      <c r="AU308" t="s">
        <v>3</v>
      </c>
      <c r="AV308">
        <v>0</v>
      </c>
      <c r="AW308">
        <v>2</v>
      </c>
      <c r="AX308">
        <v>39489035</v>
      </c>
      <c r="AY308">
        <v>1</v>
      </c>
      <c r="AZ308">
        <v>0</v>
      </c>
      <c r="BA308">
        <v>298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Y308*Source!I190</f>
        <v>4.7E-2</v>
      </c>
      <c r="CY308">
        <f t="shared" si="21"/>
        <v>77.17</v>
      </c>
      <c r="CZ308">
        <f t="shared" si="22"/>
        <v>11.5</v>
      </c>
      <c r="DA308">
        <f t="shared" si="23"/>
        <v>6.71</v>
      </c>
      <c r="DB308">
        <v>0</v>
      </c>
    </row>
    <row r="309" spans="1:106" x14ac:dyDescent="0.2">
      <c r="A309">
        <f>ROW(Source!A190)</f>
        <v>190</v>
      </c>
      <c r="B309">
        <v>39096431</v>
      </c>
      <c r="C309">
        <v>39489031</v>
      </c>
      <c r="D309">
        <v>36802094</v>
      </c>
      <c r="E309">
        <v>1</v>
      </c>
      <c r="F309">
        <v>1</v>
      </c>
      <c r="G309">
        <v>1</v>
      </c>
      <c r="H309">
        <v>3</v>
      </c>
      <c r="I309" t="s">
        <v>852</v>
      </c>
      <c r="J309" t="s">
        <v>853</v>
      </c>
      <c r="K309" t="s">
        <v>854</v>
      </c>
      <c r="L309">
        <v>1346</v>
      </c>
      <c r="N309">
        <v>1009</v>
      </c>
      <c r="O309" t="s">
        <v>138</v>
      </c>
      <c r="P309" t="s">
        <v>138</v>
      </c>
      <c r="Q309">
        <v>1</v>
      </c>
      <c r="W309">
        <v>0</v>
      </c>
      <c r="X309">
        <v>-1088866022</v>
      </c>
      <c r="Y309">
        <v>1.2E-2</v>
      </c>
      <c r="AA309">
        <v>203.98</v>
      </c>
      <c r="AB309">
        <v>0</v>
      </c>
      <c r="AC309">
        <v>0</v>
      </c>
      <c r="AD309">
        <v>0</v>
      </c>
      <c r="AE309">
        <v>30.4</v>
      </c>
      <c r="AF309">
        <v>0</v>
      </c>
      <c r="AG309">
        <v>0</v>
      </c>
      <c r="AH309">
        <v>0</v>
      </c>
      <c r="AI309">
        <v>6.71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1.2E-2</v>
      </c>
      <c r="AU309" t="s">
        <v>3</v>
      </c>
      <c r="AV309">
        <v>0</v>
      </c>
      <c r="AW309">
        <v>2</v>
      </c>
      <c r="AX309">
        <v>39489036</v>
      </c>
      <c r="AY309">
        <v>1</v>
      </c>
      <c r="AZ309">
        <v>0</v>
      </c>
      <c r="BA309">
        <v>299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Y309*Source!I190</f>
        <v>0.56400000000000006</v>
      </c>
      <c r="CY309">
        <f t="shared" si="21"/>
        <v>203.98</v>
      </c>
      <c r="CZ309">
        <f t="shared" si="22"/>
        <v>30.4</v>
      </c>
      <c r="DA309">
        <f t="shared" si="23"/>
        <v>6.71</v>
      </c>
      <c r="DB309">
        <v>0</v>
      </c>
    </row>
    <row r="310" spans="1:106" x14ac:dyDescent="0.2">
      <c r="A310">
        <f>ROW(Source!A190)</f>
        <v>190</v>
      </c>
      <c r="B310">
        <v>39096431</v>
      </c>
      <c r="C310">
        <v>39489031</v>
      </c>
      <c r="D310">
        <v>36803258</v>
      </c>
      <c r="E310">
        <v>1</v>
      </c>
      <c r="F310">
        <v>1</v>
      </c>
      <c r="G310">
        <v>1</v>
      </c>
      <c r="H310">
        <v>3</v>
      </c>
      <c r="I310" t="s">
        <v>855</v>
      </c>
      <c r="J310" t="s">
        <v>856</v>
      </c>
      <c r="K310" t="s">
        <v>857</v>
      </c>
      <c r="L310">
        <v>1346</v>
      </c>
      <c r="N310">
        <v>1009</v>
      </c>
      <c r="O310" t="s">
        <v>138</v>
      </c>
      <c r="P310" t="s">
        <v>138</v>
      </c>
      <c r="Q310">
        <v>1</v>
      </c>
      <c r="W310">
        <v>0</v>
      </c>
      <c r="X310">
        <v>586013393</v>
      </c>
      <c r="Y310">
        <v>7.0000000000000007E-2</v>
      </c>
      <c r="AA310">
        <v>70.92</v>
      </c>
      <c r="AB310">
        <v>0</v>
      </c>
      <c r="AC310">
        <v>0</v>
      </c>
      <c r="AD310">
        <v>0</v>
      </c>
      <c r="AE310">
        <v>10.57</v>
      </c>
      <c r="AF310">
        <v>0</v>
      </c>
      <c r="AG310">
        <v>0</v>
      </c>
      <c r="AH310">
        <v>0</v>
      </c>
      <c r="AI310">
        <v>6.71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7.0000000000000007E-2</v>
      </c>
      <c r="AU310" t="s">
        <v>3</v>
      </c>
      <c r="AV310">
        <v>0</v>
      </c>
      <c r="AW310">
        <v>2</v>
      </c>
      <c r="AX310">
        <v>39489037</v>
      </c>
      <c r="AY310">
        <v>1</v>
      </c>
      <c r="AZ310">
        <v>0</v>
      </c>
      <c r="BA310">
        <v>300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Y310*Source!I190</f>
        <v>3.2900000000000005</v>
      </c>
      <c r="CY310">
        <f t="shared" si="21"/>
        <v>70.92</v>
      </c>
      <c r="CZ310">
        <f t="shared" si="22"/>
        <v>10.57</v>
      </c>
      <c r="DA310">
        <f t="shared" si="23"/>
        <v>6.71</v>
      </c>
      <c r="DB310">
        <v>0</v>
      </c>
    </row>
    <row r="311" spans="1:106" x14ac:dyDescent="0.2">
      <c r="A311">
        <f>ROW(Source!A190)</f>
        <v>190</v>
      </c>
      <c r="B311">
        <v>39096431</v>
      </c>
      <c r="C311">
        <v>39489031</v>
      </c>
      <c r="D311">
        <v>36804448</v>
      </c>
      <c r="E311">
        <v>1</v>
      </c>
      <c r="F311">
        <v>1</v>
      </c>
      <c r="G311">
        <v>1</v>
      </c>
      <c r="H311">
        <v>3</v>
      </c>
      <c r="I311" t="s">
        <v>858</v>
      </c>
      <c r="J311" t="s">
        <v>859</v>
      </c>
      <c r="K311" t="s">
        <v>860</v>
      </c>
      <c r="L311">
        <v>1346</v>
      </c>
      <c r="N311">
        <v>1009</v>
      </c>
      <c r="O311" t="s">
        <v>138</v>
      </c>
      <c r="P311" t="s">
        <v>138</v>
      </c>
      <c r="Q311">
        <v>1</v>
      </c>
      <c r="W311">
        <v>0</v>
      </c>
      <c r="X311">
        <v>103900845</v>
      </c>
      <c r="Y311">
        <v>4.9000000000000002E-2</v>
      </c>
      <c r="AA311">
        <v>60.66</v>
      </c>
      <c r="AB311">
        <v>0</v>
      </c>
      <c r="AC311">
        <v>0</v>
      </c>
      <c r="AD311">
        <v>0</v>
      </c>
      <c r="AE311">
        <v>9.0399999999999991</v>
      </c>
      <c r="AF311">
        <v>0</v>
      </c>
      <c r="AG311">
        <v>0</v>
      </c>
      <c r="AH311">
        <v>0</v>
      </c>
      <c r="AI311">
        <v>6.71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4.9000000000000002E-2</v>
      </c>
      <c r="AU311" t="s">
        <v>3</v>
      </c>
      <c r="AV311">
        <v>0</v>
      </c>
      <c r="AW311">
        <v>2</v>
      </c>
      <c r="AX311">
        <v>39489038</v>
      </c>
      <c r="AY311">
        <v>1</v>
      </c>
      <c r="AZ311">
        <v>0</v>
      </c>
      <c r="BA311">
        <v>301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Y311*Source!I190</f>
        <v>2.3029999999999999</v>
      </c>
      <c r="CY311">
        <f t="shared" si="21"/>
        <v>60.66</v>
      </c>
      <c r="CZ311">
        <f t="shared" si="22"/>
        <v>9.0399999999999991</v>
      </c>
      <c r="DA311">
        <f t="shared" si="23"/>
        <v>6.71</v>
      </c>
      <c r="DB311">
        <v>0</v>
      </c>
    </row>
    <row r="312" spans="1:106" x14ac:dyDescent="0.2">
      <c r="A312">
        <f>ROW(Source!A190)</f>
        <v>190</v>
      </c>
      <c r="B312">
        <v>39096431</v>
      </c>
      <c r="C312">
        <v>39489031</v>
      </c>
      <c r="D312">
        <v>36804580</v>
      </c>
      <c r="E312">
        <v>1</v>
      </c>
      <c r="F312">
        <v>1</v>
      </c>
      <c r="G312">
        <v>1</v>
      </c>
      <c r="H312">
        <v>3</v>
      </c>
      <c r="I312" t="s">
        <v>861</v>
      </c>
      <c r="J312" t="s">
        <v>862</v>
      </c>
      <c r="K312" t="s">
        <v>863</v>
      </c>
      <c r="L312">
        <v>1355</v>
      </c>
      <c r="N312">
        <v>1010</v>
      </c>
      <c r="O312" t="s">
        <v>161</v>
      </c>
      <c r="P312" t="s">
        <v>161</v>
      </c>
      <c r="Q312">
        <v>100</v>
      </c>
      <c r="W312">
        <v>0</v>
      </c>
      <c r="X312">
        <v>1794244060</v>
      </c>
      <c r="Y312">
        <v>1.4E-2</v>
      </c>
      <c r="AA312">
        <v>577.05999999999995</v>
      </c>
      <c r="AB312">
        <v>0</v>
      </c>
      <c r="AC312">
        <v>0</v>
      </c>
      <c r="AD312">
        <v>0</v>
      </c>
      <c r="AE312">
        <v>86</v>
      </c>
      <c r="AF312">
        <v>0</v>
      </c>
      <c r="AG312">
        <v>0</v>
      </c>
      <c r="AH312">
        <v>0</v>
      </c>
      <c r="AI312">
        <v>6.71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1.4E-2</v>
      </c>
      <c r="AU312" t="s">
        <v>3</v>
      </c>
      <c r="AV312">
        <v>0</v>
      </c>
      <c r="AW312">
        <v>2</v>
      </c>
      <c r="AX312">
        <v>39489039</v>
      </c>
      <c r="AY312">
        <v>1</v>
      </c>
      <c r="AZ312">
        <v>0</v>
      </c>
      <c r="BA312">
        <v>302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Y312*Source!I190</f>
        <v>0.65800000000000003</v>
      </c>
      <c r="CY312">
        <f t="shared" si="21"/>
        <v>577.05999999999995</v>
      </c>
      <c r="CZ312">
        <f t="shared" si="22"/>
        <v>86</v>
      </c>
      <c r="DA312">
        <f t="shared" si="23"/>
        <v>6.71</v>
      </c>
      <c r="DB312">
        <v>0</v>
      </c>
    </row>
    <row r="313" spans="1:106" x14ac:dyDescent="0.2">
      <c r="A313">
        <f>ROW(Source!A190)</f>
        <v>190</v>
      </c>
      <c r="B313">
        <v>39096431</v>
      </c>
      <c r="C313">
        <v>39489031</v>
      </c>
      <c r="D313">
        <v>36805500</v>
      </c>
      <c r="E313">
        <v>1</v>
      </c>
      <c r="F313">
        <v>1</v>
      </c>
      <c r="G313">
        <v>1</v>
      </c>
      <c r="H313">
        <v>3</v>
      </c>
      <c r="I313" t="s">
        <v>864</v>
      </c>
      <c r="J313" t="s">
        <v>865</v>
      </c>
      <c r="K313" t="s">
        <v>866</v>
      </c>
      <c r="L313">
        <v>1346</v>
      </c>
      <c r="N313">
        <v>1009</v>
      </c>
      <c r="O313" t="s">
        <v>138</v>
      </c>
      <c r="P313" t="s">
        <v>138</v>
      </c>
      <c r="Q313">
        <v>1</v>
      </c>
      <c r="W313">
        <v>0</v>
      </c>
      <c r="X313">
        <v>-856710481</v>
      </c>
      <c r="Y313">
        <v>1E-3</v>
      </c>
      <c r="AA313">
        <v>892.77</v>
      </c>
      <c r="AB313">
        <v>0</v>
      </c>
      <c r="AC313">
        <v>0</v>
      </c>
      <c r="AD313">
        <v>0</v>
      </c>
      <c r="AE313">
        <v>133.05000000000001</v>
      </c>
      <c r="AF313">
        <v>0</v>
      </c>
      <c r="AG313">
        <v>0</v>
      </c>
      <c r="AH313">
        <v>0</v>
      </c>
      <c r="AI313">
        <v>6.71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1E-3</v>
      </c>
      <c r="AU313" t="s">
        <v>3</v>
      </c>
      <c r="AV313">
        <v>0</v>
      </c>
      <c r="AW313">
        <v>2</v>
      </c>
      <c r="AX313">
        <v>39489040</v>
      </c>
      <c r="AY313">
        <v>1</v>
      </c>
      <c r="AZ313">
        <v>0</v>
      </c>
      <c r="BA313">
        <v>303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Y313*Source!I190</f>
        <v>4.7E-2</v>
      </c>
      <c r="CY313">
        <f t="shared" si="21"/>
        <v>892.77</v>
      </c>
      <c r="CZ313">
        <f t="shared" si="22"/>
        <v>133.05000000000001</v>
      </c>
      <c r="DA313">
        <f t="shared" si="23"/>
        <v>6.71</v>
      </c>
      <c r="DB313">
        <v>0</v>
      </c>
    </row>
    <row r="314" spans="1:106" x14ac:dyDescent="0.2">
      <c r="A314">
        <f>ROW(Source!A190)</f>
        <v>190</v>
      </c>
      <c r="B314">
        <v>39096431</v>
      </c>
      <c r="C314">
        <v>39489031</v>
      </c>
      <c r="D314">
        <v>36823140</v>
      </c>
      <c r="E314">
        <v>1</v>
      </c>
      <c r="F314">
        <v>1</v>
      </c>
      <c r="G314">
        <v>1</v>
      </c>
      <c r="H314">
        <v>3</v>
      </c>
      <c r="I314" t="s">
        <v>867</v>
      </c>
      <c r="J314" t="s">
        <v>868</v>
      </c>
      <c r="K314" t="s">
        <v>869</v>
      </c>
      <c r="L314">
        <v>1348</v>
      </c>
      <c r="N314">
        <v>1009</v>
      </c>
      <c r="O314" t="s">
        <v>110</v>
      </c>
      <c r="P314" t="s">
        <v>110</v>
      </c>
      <c r="Q314">
        <v>1000</v>
      </c>
      <c r="W314">
        <v>0</v>
      </c>
      <c r="X314">
        <v>426000481</v>
      </c>
      <c r="Y314">
        <v>1E-3</v>
      </c>
      <c r="AA314">
        <v>77165</v>
      </c>
      <c r="AB314">
        <v>0</v>
      </c>
      <c r="AC314">
        <v>0</v>
      </c>
      <c r="AD314">
        <v>0</v>
      </c>
      <c r="AE314">
        <v>11500</v>
      </c>
      <c r="AF314">
        <v>0</v>
      </c>
      <c r="AG314">
        <v>0</v>
      </c>
      <c r="AH314">
        <v>0</v>
      </c>
      <c r="AI314">
        <v>6.71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1E-3</v>
      </c>
      <c r="AU314" t="s">
        <v>3</v>
      </c>
      <c r="AV314">
        <v>0</v>
      </c>
      <c r="AW314">
        <v>2</v>
      </c>
      <c r="AX314">
        <v>39489041</v>
      </c>
      <c r="AY314">
        <v>1</v>
      </c>
      <c r="AZ314">
        <v>0</v>
      </c>
      <c r="BA314">
        <v>304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Y314*Source!I190</f>
        <v>4.7E-2</v>
      </c>
      <c r="CY314">
        <f t="shared" si="21"/>
        <v>77165</v>
      </c>
      <c r="CZ314">
        <f t="shared" si="22"/>
        <v>11500</v>
      </c>
      <c r="DA314">
        <f t="shared" si="23"/>
        <v>6.71</v>
      </c>
      <c r="DB314">
        <v>0</v>
      </c>
    </row>
    <row r="315" spans="1:106" x14ac:dyDescent="0.2">
      <c r="A315">
        <f>ROW(Source!A190)</f>
        <v>190</v>
      </c>
      <c r="B315">
        <v>39096431</v>
      </c>
      <c r="C315">
        <v>39489031</v>
      </c>
      <c r="D315">
        <v>36838317</v>
      </c>
      <c r="E315">
        <v>1</v>
      </c>
      <c r="F315">
        <v>1</v>
      </c>
      <c r="G315">
        <v>1</v>
      </c>
      <c r="H315">
        <v>3</v>
      </c>
      <c r="I315" t="s">
        <v>870</v>
      </c>
      <c r="J315" t="s">
        <v>871</v>
      </c>
      <c r="K315" t="s">
        <v>872</v>
      </c>
      <c r="L315">
        <v>1346</v>
      </c>
      <c r="N315">
        <v>1009</v>
      </c>
      <c r="O315" t="s">
        <v>138</v>
      </c>
      <c r="P315" t="s">
        <v>138</v>
      </c>
      <c r="Q315">
        <v>1</v>
      </c>
      <c r="W315">
        <v>0</v>
      </c>
      <c r="X315">
        <v>210558753</v>
      </c>
      <c r="Y315">
        <v>3.5999999999999997E-2</v>
      </c>
      <c r="AA315">
        <v>191.91</v>
      </c>
      <c r="AB315">
        <v>0</v>
      </c>
      <c r="AC315">
        <v>0</v>
      </c>
      <c r="AD315">
        <v>0</v>
      </c>
      <c r="AE315">
        <v>28.6</v>
      </c>
      <c r="AF315">
        <v>0</v>
      </c>
      <c r="AG315">
        <v>0</v>
      </c>
      <c r="AH315">
        <v>0</v>
      </c>
      <c r="AI315">
        <v>6.71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3.5999999999999997E-2</v>
      </c>
      <c r="AU315" t="s">
        <v>3</v>
      </c>
      <c r="AV315">
        <v>0</v>
      </c>
      <c r="AW315">
        <v>2</v>
      </c>
      <c r="AX315">
        <v>39489042</v>
      </c>
      <c r="AY315">
        <v>1</v>
      </c>
      <c r="AZ315">
        <v>0</v>
      </c>
      <c r="BA315">
        <v>305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Y315*Source!I190</f>
        <v>1.6919999999999999</v>
      </c>
      <c r="CY315">
        <f t="shared" si="21"/>
        <v>191.91</v>
      </c>
      <c r="CZ315">
        <f t="shared" si="22"/>
        <v>28.6</v>
      </c>
      <c r="DA315">
        <f t="shared" si="23"/>
        <v>6.71</v>
      </c>
      <c r="DB315">
        <v>0</v>
      </c>
    </row>
    <row r="316" spans="1:106" x14ac:dyDescent="0.2">
      <c r="A316">
        <f>ROW(Source!A190)</f>
        <v>190</v>
      </c>
      <c r="B316">
        <v>39096431</v>
      </c>
      <c r="C316">
        <v>39489031</v>
      </c>
      <c r="D316">
        <v>36838470</v>
      </c>
      <c r="E316">
        <v>1</v>
      </c>
      <c r="F316">
        <v>1</v>
      </c>
      <c r="G316">
        <v>1</v>
      </c>
      <c r="H316">
        <v>3</v>
      </c>
      <c r="I316" t="s">
        <v>873</v>
      </c>
      <c r="J316" t="s">
        <v>874</v>
      </c>
      <c r="K316" t="s">
        <v>875</v>
      </c>
      <c r="L316">
        <v>1346</v>
      </c>
      <c r="N316">
        <v>1009</v>
      </c>
      <c r="O316" t="s">
        <v>138</v>
      </c>
      <c r="P316" t="s">
        <v>138</v>
      </c>
      <c r="Q316">
        <v>1</v>
      </c>
      <c r="W316">
        <v>0</v>
      </c>
      <c r="X316">
        <v>-1274984028</v>
      </c>
      <c r="Y316">
        <v>6.0000000000000001E-3</v>
      </c>
      <c r="AA316">
        <v>239.08</v>
      </c>
      <c r="AB316">
        <v>0</v>
      </c>
      <c r="AC316">
        <v>0</v>
      </c>
      <c r="AD316">
        <v>0</v>
      </c>
      <c r="AE316">
        <v>35.630000000000003</v>
      </c>
      <c r="AF316">
        <v>0</v>
      </c>
      <c r="AG316">
        <v>0</v>
      </c>
      <c r="AH316">
        <v>0</v>
      </c>
      <c r="AI316">
        <v>6.71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6.0000000000000001E-3</v>
      </c>
      <c r="AU316" t="s">
        <v>3</v>
      </c>
      <c r="AV316">
        <v>0</v>
      </c>
      <c r="AW316">
        <v>2</v>
      </c>
      <c r="AX316">
        <v>39489043</v>
      </c>
      <c r="AY316">
        <v>1</v>
      </c>
      <c r="AZ316">
        <v>0</v>
      </c>
      <c r="BA316">
        <v>306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Y316*Source!I190</f>
        <v>0.28200000000000003</v>
      </c>
      <c r="CY316">
        <f t="shared" si="21"/>
        <v>239.08</v>
      </c>
      <c r="CZ316">
        <f t="shared" si="22"/>
        <v>35.630000000000003</v>
      </c>
      <c r="DA316">
        <f t="shared" si="23"/>
        <v>6.71</v>
      </c>
      <c r="DB316">
        <v>0</v>
      </c>
    </row>
    <row r="317" spans="1:106" x14ac:dyDescent="0.2">
      <c r="A317">
        <f>ROW(Source!A190)</f>
        <v>190</v>
      </c>
      <c r="B317">
        <v>39096431</v>
      </c>
      <c r="C317">
        <v>39489031</v>
      </c>
      <c r="D317">
        <v>36851945</v>
      </c>
      <c r="E317">
        <v>1</v>
      </c>
      <c r="F317">
        <v>1</v>
      </c>
      <c r="G317">
        <v>1</v>
      </c>
      <c r="H317">
        <v>3</v>
      </c>
      <c r="I317" t="s">
        <v>876</v>
      </c>
      <c r="J317" t="s">
        <v>877</v>
      </c>
      <c r="K317" t="s">
        <v>878</v>
      </c>
      <c r="L317">
        <v>1358</v>
      </c>
      <c r="N317">
        <v>1010</v>
      </c>
      <c r="O317" t="s">
        <v>436</v>
      </c>
      <c r="P317" t="s">
        <v>436</v>
      </c>
      <c r="Q317">
        <v>10</v>
      </c>
      <c r="W317">
        <v>0</v>
      </c>
      <c r="X317">
        <v>1386890308</v>
      </c>
      <c r="Y317">
        <v>0.1</v>
      </c>
      <c r="AA317">
        <v>261.69</v>
      </c>
      <c r="AB317">
        <v>0</v>
      </c>
      <c r="AC317">
        <v>0</v>
      </c>
      <c r="AD317">
        <v>0</v>
      </c>
      <c r="AE317">
        <v>39</v>
      </c>
      <c r="AF317">
        <v>0</v>
      </c>
      <c r="AG317">
        <v>0</v>
      </c>
      <c r="AH317">
        <v>0</v>
      </c>
      <c r="AI317">
        <v>6.71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0.1</v>
      </c>
      <c r="AU317" t="s">
        <v>3</v>
      </c>
      <c r="AV317">
        <v>0</v>
      </c>
      <c r="AW317">
        <v>2</v>
      </c>
      <c r="AX317">
        <v>39489044</v>
      </c>
      <c r="AY317">
        <v>1</v>
      </c>
      <c r="AZ317">
        <v>0</v>
      </c>
      <c r="BA317">
        <v>307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Y317*Source!I190</f>
        <v>4.7</v>
      </c>
      <c r="CY317">
        <f t="shared" si="21"/>
        <v>261.69</v>
      </c>
      <c r="CZ317">
        <f t="shared" si="22"/>
        <v>39</v>
      </c>
      <c r="DA317">
        <f t="shared" si="23"/>
        <v>6.71</v>
      </c>
      <c r="DB317">
        <v>0</v>
      </c>
    </row>
    <row r="318" spans="1:106" x14ac:dyDescent="0.2">
      <c r="A318">
        <f>ROW(Source!A190)</f>
        <v>190</v>
      </c>
      <c r="B318">
        <v>39096431</v>
      </c>
      <c r="C318">
        <v>39489031</v>
      </c>
      <c r="D318">
        <v>36873428</v>
      </c>
      <c r="E318">
        <v>1</v>
      </c>
      <c r="F318">
        <v>1</v>
      </c>
      <c r="G318">
        <v>1</v>
      </c>
      <c r="H318">
        <v>3</v>
      </c>
      <c r="I318" t="s">
        <v>506</v>
      </c>
      <c r="J318" t="s">
        <v>508</v>
      </c>
      <c r="K318" t="s">
        <v>507</v>
      </c>
      <c r="L318">
        <v>1354</v>
      </c>
      <c r="N318">
        <v>1010</v>
      </c>
      <c r="O318" t="s">
        <v>46</v>
      </c>
      <c r="P318" t="s">
        <v>46</v>
      </c>
      <c r="Q318">
        <v>1</v>
      </c>
      <c r="W318">
        <v>0</v>
      </c>
      <c r="X318">
        <v>1012048153</v>
      </c>
      <c r="Y318">
        <v>0.14893600000000001</v>
      </c>
      <c r="AA318">
        <v>494.06</v>
      </c>
      <c r="AB318">
        <v>0</v>
      </c>
      <c r="AC318">
        <v>0</v>
      </c>
      <c r="AD318">
        <v>0</v>
      </c>
      <c r="AE318">
        <v>73.63</v>
      </c>
      <c r="AF318">
        <v>0</v>
      </c>
      <c r="AG318">
        <v>0</v>
      </c>
      <c r="AH318">
        <v>0</v>
      </c>
      <c r="AI318">
        <v>6.71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3</v>
      </c>
      <c r="AT318">
        <v>0.14893600000000001</v>
      </c>
      <c r="AU318" t="s">
        <v>3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Y318*Source!I190</f>
        <v>6.9999920000000007</v>
      </c>
      <c r="CY318">
        <f t="shared" si="21"/>
        <v>494.06</v>
      </c>
      <c r="CZ318">
        <f t="shared" si="22"/>
        <v>73.63</v>
      </c>
      <c r="DA318">
        <f t="shared" si="23"/>
        <v>6.71</v>
      </c>
      <c r="DB318">
        <v>0</v>
      </c>
    </row>
    <row r="319" spans="1:106" x14ac:dyDescent="0.2">
      <c r="A319">
        <f>ROW(Source!A190)</f>
        <v>190</v>
      </c>
      <c r="B319">
        <v>39096431</v>
      </c>
      <c r="C319">
        <v>39489031</v>
      </c>
      <c r="D319">
        <v>36873429</v>
      </c>
      <c r="E319">
        <v>1</v>
      </c>
      <c r="F319">
        <v>1</v>
      </c>
      <c r="G319">
        <v>1</v>
      </c>
      <c r="H319">
        <v>3</v>
      </c>
      <c r="I319" t="s">
        <v>502</v>
      </c>
      <c r="J319" t="s">
        <v>504</v>
      </c>
      <c r="K319" t="s">
        <v>503</v>
      </c>
      <c r="L319">
        <v>1354</v>
      </c>
      <c r="N319">
        <v>1010</v>
      </c>
      <c r="O319" t="s">
        <v>46</v>
      </c>
      <c r="P319" t="s">
        <v>46</v>
      </c>
      <c r="Q319">
        <v>1</v>
      </c>
      <c r="W319">
        <v>0</v>
      </c>
      <c r="X319">
        <v>1587256181</v>
      </c>
      <c r="Y319">
        <v>0.40425499999999998</v>
      </c>
      <c r="AA319">
        <v>446.08</v>
      </c>
      <c r="AB319">
        <v>0</v>
      </c>
      <c r="AC319">
        <v>0</v>
      </c>
      <c r="AD319">
        <v>0</v>
      </c>
      <c r="AE319">
        <v>66.48</v>
      </c>
      <c r="AF319">
        <v>0</v>
      </c>
      <c r="AG319">
        <v>0</v>
      </c>
      <c r="AH319">
        <v>0</v>
      </c>
      <c r="AI319">
        <v>6.71</v>
      </c>
      <c r="AJ319">
        <v>1</v>
      </c>
      <c r="AK319">
        <v>1</v>
      </c>
      <c r="AL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3</v>
      </c>
      <c r="AT319">
        <v>0.40425499999999998</v>
      </c>
      <c r="AU319" t="s">
        <v>3</v>
      </c>
      <c r="AV319">
        <v>0</v>
      </c>
      <c r="AW319">
        <v>1</v>
      </c>
      <c r="AX319">
        <v>-1</v>
      </c>
      <c r="AY319">
        <v>0</v>
      </c>
      <c r="AZ319">
        <v>0</v>
      </c>
      <c r="BA319" t="s">
        <v>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Y319*Source!I190</f>
        <v>18.999984999999999</v>
      </c>
      <c r="CY319">
        <f t="shared" si="21"/>
        <v>446.08</v>
      </c>
      <c r="CZ319">
        <f t="shared" si="22"/>
        <v>66.48</v>
      </c>
      <c r="DA319">
        <f t="shared" si="23"/>
        <v>6.71</v>
      </c>
      <c r="DB319">
        <v>0</v>
      </c>
    </row>
    <row r="320" spans="1:106" x14ac:dyDescent="0.2">
      <c r="A320">
        <f>ROW(Source!A190)</f>
        <v>190</v>
      </c>
      <c r="B320">
        <v>39096431</v>
      </c>
      <c r="C320">
        <v>39489031</v>
      </c>
      <c r="D320">
        <v>36873430</v>
      </c>
      <c r="E320">
        <v>1</v>
      </c>
      <c r="F320">
        <v>1</v>
      </c>
      <c r="G320">
        <v>1</v>
      </c>
      <c r="H320">
        <v>3</v>
      </c>
      <c r="I320" t="s">
        <v>518</v>
      </c>
      <c r="J320" t="s">
        <v>520</v>
      </c>
      <c r="K320" t="s">
        <v>519</v>
      </c>
      <c r="L320">
        <v>1354</v>
      </c>
      <c r="N320">
        <v>1010</v>
      </c>
      <c r="O320" t="s">
        <v>46</v>
      </c>
      <c r="P320" t="s">
        <v>46</v>
      </c>
      <c r="Q320">
        <v>1</v>
      </c>
      <c r="W320">
        <v>0</v>
      </c>
      <c r="X320">
        <v>470103916</v>
      </c>
      <c r="Y320">
        <v>0.14893600000000001</v>
      </c>
      <c r="AA320">
        <v>491.78</v>
      </c>
      <c r="AB320">
        <v>0</v>
      </c>
      <c r="AC320">
        <v>0</v>
      </c>
      <c r="AD320">
        <v>0</v>
      </c>
      <c r="AE320">
        <v>73.290000000000006</v>
      </c>
      <c r="AF320">
        <v>0</v>
      </c>
      <c r="AG320">
        <v>0</v>
      </c>
      <c r="AH320">
        <v>0</v>
      </c>
      <c r="AI320">
        <v>6.71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0.14893600000000001</v>
      </c>
      <c r="AU320" t="s">
        <v>3</v>
      </c>
      <c r="AV320">
        <v>0</v>
      </c>
      <c r="AW320">
        <v>1</v>
      </c>
      <c r="AX320">
        <v>-1</v>
      </c>
      <c r="AY320">
        <v>0</v>
      </c>
      <c r="AZ320">
        <v>0</v>
      </c>
      <c r="BA320" t="s">
        <v>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Y320*Source!I190</f>
        <v>6.9999920000000007</v>
      </c>
      <c r="CY320">
        <f t="shared" si="21"/>
        <v>491.78</v>
      </c>
      <c r="CZ320">
        <f t="shared" si="22"/>
        <v>73.290000000000006</v>
      </c>
      <c r="DA320">
        <f t="shared" si="23"/>
        <v>6.71</v>
      </c>
      <c r="DB320">
        <v>0</v>
      </c>
    </row>
    <row r="321" spans="1:106" x14ac:dyDescent="0.2">
      <c r="A321">
        <f>ROW(Source!A190)</f>
        <v>190</v>
      </c>
      <c r="B321">
        <v>39096431</v>
      </c>
      <c r="C321">
        <v>39489031</v>
      </c>
      <c r="D321">
        <v>36873444</v>
      </c>
      <c r="E321">
        <v>1</v>
      </c>
      <c r="F321">
        <v>1</v>
      </c>
      <c r="G321">
        <v>1</v>
      </c>
      <c r="H321">
        <v>3</v>
      </c>
      <c r="I321" t="s">
        <v>510</v>
      </c>
      <c r="J321" t="s">
        <v>512</v>
      </c>
      <c r="K321" t="s">
        <v>511</v>
      </c>
      <c r="L321">
        <v>1354</v>
      </c>
      <c r="N321">
        <v>1010</v>
      </c>
      <c r="O321" t="s">
        <v>46</v>
      </c>
      <c r="P321" t="s">
        <v>46</v>
      </c>
      <c r="Q321">
        <v>1</v>
      </c>
      <c r="W321">
        <v>0</v>
      </c>
      <c r="X321">
        <v>-476651515</v>
      </c>
      <c r="Y321">
        <v>0.14893600000000001</v>
      </c>
      <c r="AA321">
        <v>1552.02</v>
      </c>
      <c r="AB321">
        <v>0</v>
      </c>
      <c r="AC321">
        <v>0</v>
      </c>
      <c r="AD321">
        <v>0</v>
      </c>
      <c r="AE321">
        <v>231.3</v>
      </c>
      <c r="AF321">
        <v>0</v>
      </c>
      <c r="AG321">
        <v>0</v>
      </c>
      <c r="AH321">
        <v>0</v>
      </c>
      <c r="AI321">
        <v>6.71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3</v>
      </c>
      <c r="AT321">
        <v>0.14893600000000001</v>
      </c>
      <c r="AU321" t="s">
        <v>3</v>
      </c>
      <c r="AV321">
        <v>0</v>
      </c>
      <c r="AW321">
        <v>1</v>
      </c>
      <c r="AX321">
        <v>-1</v>
      </c>
      <c r="AY321">
        <v>0</v>
      </c>
      <c r="AZ321">
        <v>0</v>
      </c>
      <c r="BA321" t="s">
        <v>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Y321*Source!I190</f>
        <v>6.9999920000000007</v>
      </c>
      <c r="CY321">
        <f t="shared" si="21"/>
        <v>1552.02</v>
      </c>
      <c r="CZ321">
        <f t="shared" si="22"/>
        <v>231.3</v>
      </c>
      <c r="DA321">
        <f t="shared" si="23"/>
        <v>6.71</v>
      </c>
      <c r="DB321">
        <v>0</v>
      </c>
    </row>
    <row r="322" spans="1:106" x14ac:dyDescent="0.2">
      <c r="A322">
        <f>ROW(Source!A190)</f>
        <v>190</v>
      </c>
      <c r="B322">
        <v>39096431</v>
      </c>
      <c r="C322">
        <v>39489031</v>
      </c>
      <c r="D322">
        <v>36873446</v>
      </c>
      <c r="E322">
        <v>1</v>
      </c>
      <c r="F322">
        <v>1</v>
      </c>
      <c r="G322">
        <v>1</v>
      </c>
      <c r="H322">
        <v>3</v>
      </c>
      <c r="I322" t="s">
        <v>514</v>
      </c>
      <c r="J322" t="s">
        <v>516</v>
      </c>
      <c r="K322" t="s">
        <v>515</v>
      </c>
      <c r="L322">
        <v>1354</v>
      </c>
      <c r="N322">
        <v>1010</v>
      </c>
      <c r="O322" t="s">
        <v>46</v>
      </c>
      <c r="P322" t="s">
        <v>46</v>
      </c>
      <c r="Q322">
        <v>1</v>
      </c>
      <c r="W322">
        <v>0</v>
      </c>
      <c r="X322">
        <v>604629841</v>
      </c>
      <c r="Y322">
        <v>0.14893600000000001</v>
      </c>
      <c r="AA322">
        <v>2027.49</v>
      </c>
      <c r="AB322">
        <v>0</v>
      </c>
      <c r="AC322">
        <v>0</v>
      </c>
      <c r="AD322">
        <v>0</v>
      </c>
      <c r="AE322">
        <v>302.16000000000003</v>
      </c>
      <c r="AF322">
        <v>0</v>
      </c>
      <c r="AG322">
        <v>0</v>
      </c>
      <c r="AH322">
        <v>0</v>
      </c>
      <c r="AI322">
        <v>6.71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3</v>
      </c>
      <c r="AT322">
        <v>0.14893600000000001</v>
      </c>
      <c r="AU322" t="s">
        <v>3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3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Y322*Source!I190</f>
        <v>6.9999920000000007</v>
      </c>
      <c r="CY322">
        <f t="shared" si="21"/>
        <v>2027.49</v>
      </c>
      <c r="CZ322">
        <f t="shared" si="22"/>
        <v>302.16000000000003</v>
      </c>
      <c r="DA322">
        <f t="shared" si="23"/>
        <v>6.71</v>
      </c>
      <c r="DB322">
        <v>0</v>
      </c>
    </row>
    <row r="323" spans="1:106" x14ac:dyDescent="0.2">
      <c r="A323">
        <f>ROW(Source!A190)</f>
        <v>190</v>
      </c>
      <c r="B323">
        <v>39096431</v>
      </c>
      <c r="C323">
        <v>39489031</v>
      </c>
      <c r="D323">
        <v>36799065</v>
      </c>
      <c r="E323">
        <v>17</v>
      </c>
      <c r="F323">
        <v>1</v>
      </c>
      <c r="G323">
        <v>1</v>
      </c>
      <c r="H323">
        <v>3</v>
      </c>
      <c r="I323" t="s">
        <v>835</v>
      </c>
      <c r="J323" t="s">
        <v>3</v>
      </c>
      <c r="K323" t="s">
        <v>836</v>
      </c>
      <c r="L323">
        <v>1374</v>
      </c>
      <c r="N323">
        <v>1013</v>
      </c>
      <c r="O323" t="s">
        <v>837</v>
      </c>
      <c r="P323" t="s">
        <v>837</v>
      </c>
      <c r="Q323">
        <v>1</v>
      </c>
      <c r="W323">
        <v>0</v>
      </c>
      <c r="X323">
        <v>-1731369543</v>
      </c>
      <c r="Y323">
        <v>0.3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0.3</v>
      </c>
      <c r="AU323" t="s">
        <v>3</v>
      </c>
      <c r="AV323">
        <v>0</v>
      </c>
      <c r="AW323">
        <v>2</v>
      </c>
      <c r="AX323">
        <v>39489045</v>
      </c>
      <c r="AY323">
        <v>1</v>
      </c>
      <c r="AZ323">
        <v>0</v>
      </c>
      <c r="BA323">
        <v>308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Y323*Source!I190</f>
        <v>14.1</v>
      </c>
      <c r="CY323">
        <f t="shared" si="21"/>
        <v>1</v>
      </c>
      <c r="CZ323">
        <f t="shared" si="22"/>
        <v>1</v>
      </c>
      <c r="DA323">
        <f t="shared" si="23"/>
        <v>1</v>
      </c>
      <c r="DB323">
        <v>0</v>
      </c>
    </row>
    <row r="324" spans="1:106" x14ac:dyDescent="0.2">
      <c r="A324">
        <f>ROW(Source!A196)</f>
        <v>196</v>
      </c>
      <c r="B324">
        <v>39096431</v>
      </c>
      <c r="C324">
        <v>39100956</v>
      </c>
      <c r="D324">
        <v>37080781</v>
      </c>
      <c r="E324">
        <v>1</v>
      </c>
      <c r="F324">
        <v>1</v>
      </c>
      <c r="G324">
        <v>1</v>
      </c>
      <c r="H324">
        <v>1</v>
      </c>
      <c r="I324" t="s">
        <v>702</v>
      </c>
      <c r="J324" t="s">
        <v>3</v>
      </c>
      <c r="K324" t="s">
        <v>703</v>
      </c>
      <c r="L324">
        <v>1191</v>
      </c>
      <c r="N324">
        <v>1013</v>
      </c>
      <c r="O324" t="s">
        <v>660</v>
      </c>
      <c r="P324" t="s">
        <v>660</v>
      </c>
      <c r="Q324">
        <v>1</v>
      </c>
      <c r="W324">
        <v>0</v>
      </c>
      <c r="X324">
        <v>912892513</v>
      </c>
      <c r="Y324">
        <v>213.6</v>
      </c>
      <c r="AA324">
        <v>0</v>
      </c>
      <c r="AB324">
        <v>0</v>
      </c>
      <c r="AC324">
        <v>0</v>
      </c>
      <c r="AD324">
        <v>66.56</v>
      </c>
      <c r="AE324">
        <v>0</v>
      </c>
      <c r="AF324">
        <v>0</v>
      </c>
      <c r="AG324">
        <v>0</v>
      </c>
      <c r="AH324">
        <v>9.92</v>
      </c>
      <c r="AI324">
        <v>1</v>
      </c>
      <c r="AJ324">
        <v>1</v>
      </c>
      <c r="AK324">
        <v>1</v>
      </c>
      <c r="AL324">
        <v>6.71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213.6</v>
      </c>
      <c r="AU324" t="s">
        <v>3</v>
      </c>
      <c r="AV324">
        <v>1</v>
      </c>
      <c r="AW324">
        <v>2</v>
      </c>
      <c r="AX324">
        <v>39100957</v>
      </c>
      <c r="AY324">
        <v>1</v>
      </c>
      <c r="AZ324">
        <v>0</v>
      </c>
      <c r="BA324">
        <v>309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Y324*Source!I196</f>
        <v>243.50399999999996</v>
      </c>
      <c r="CY324">
        <f>AD324</f>
        <v>66.56</v>
      </c>
      <c r="CZ324">
        <f>AH324</f>
        <v>9.92</v>
      </c>
      <c r="DA324">
        <f>AL324</f>
        <v>6.71</v>
      </c>
      <c r="DB324">
        <v>0</v>
      </c>
    </row>
    <row r="325" spans="1:106" x14ac:dyDescent="0.2">
      <c r="A325">
        <f>ROW(Source!A196)</f>
        <v>196</v>
      </c>
      <c r="B325">
        <v>39096431</v>
      </c>
      <c r="C325">
        <v>39100956</v>
      </c>
      <c r="D325">
        <v>37064876</v>
      </c>
      <c r="E325">
        <v>1</v>
      </c>
      <c r="F325">
        <v>1</v>
      </c>
      <c r="G325">
        <v>1</v>
      </c>
      <c r="H325">
        <v>1</v>
      </c>
      <c r="I325" t="s">
        <v>661</v>
      </c>
      <c r="J325" t="s">
        <v>3</v>
      </c>
      <c r="K325" t="s">
        <v>662</v>
      </c>
      <c r="L325">
        <v>1191</v>
      </c>
      <c r="N325">
        <v>1013</v>
      </c>
      <c r="O325" t="s">
        <v>660</v>
      </c>
      <c r="P325" t="s">
        <v>660</v>
      </c>
      <c r="Q325">
        <v>1</v>
      </c>
      <c r="W325">
        <v>0</v>
      </c>
      <c r="X325">
        <v>-1417349443</v>
      </c>
      <c r="Y325">
        <v>1.98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6.71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1.98</v>
      </c>
      <c r="AU325" t="s">
        <v>3</v>
      </c>
      <c r="AV325">
        <v>2</v>
      </c>
      <c r="AW325">
        <v>2</v>
      </c>
      <c r="AX325">
        <v>39100958</v>
      </c>
      <c r="AY325">
        <v>1</v>
      </c>
      <c r="AZ325">
        <v>0</v>
      </c>
      <c r="BA325">
        <v>310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Y325*Source!I196</f>
        <v>2.2571999999999997</v>
      </c>
      <c r="CY325">
        <f>AD325</f>
        <v>0</v>
      </c>
      <c r="CZ325">
        <f>AH325</f>
        <v>0</v>
      </c>
      <c r="DA325">
        <f>AL325</f>
        <v>1</v>
      </c>
      <c r="DB325">
        <v>0</v>
      </c>
    </row>
    <row r="326" spans="1:106" x14ac:dyDescent="0.2">
      <c r="A326">
        <f>ROW(Source!A196)</f>
        <v>196</v>
      </c>
      <c r="B326">
        <v>39096431</v>
      </c>
      <c r="C326">
        <v>39100956</v>
      </c>
      <c r="D326">
        <v>36882159</v>
      </c>
      <c r="E326">
        <v>1</v>
      </c>
      <c r="F326">
        <v>1</v>
      </c>
      <c r="G326">
        <v>1</v>
      </c>
      <c r="H326">
        <v>2</v>
      </c>
      <c r="I326" t="s">
        <v>802</v>
      </c>
      <c r="J326" t="s">
        <v>803</v>
      </c>
      <c r="K326" t="s">
        <v>804</v>
      </c>
      <c r="L326">
        <v>1368</v>
      </c>
      <c r="N326">
        <v>1011</v>
      </c>
      <c r="O326" t="s">
        <v>666</v>
      </c>
      <c r="P326" t="s">
        <v>666</v>
      </c>
      <c r="Q326">
        <v>1</v>
      </c>
      <c r="W326">
        <v>0</v>
      </c>
      <c r="X326">
        <v>-1718674368</v>
      </c>
      <c r="Y326">
        <v>0.99</v>
      </c>
      <c r="AA326">
        <v>0</v>
      </c>
      <c r="AB326">
        <v>751.45</v>
      </c>
      <c r="AC326">
        <v>13.5</v>
      </c>
      <c r="AD326">
        <v>0</v>
      </c>
      <c r="AE326">
        <v>0</v>
      </c>
      <c r="AF326">
        <v>111.99</v>
      </c>
      <c r="AG326">
        <v>13.5</v>
      </c>
      <c r="AH326">
        <v>0</v>
      </c>
      <c r="AI326">
        <v>1</v>
      </c>
      <c r="AJ326">
        <v>6.71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0.99</v>
      </c>
      <c r="AU326" t="s">
        <v>3</v>
      </c>
      <c r="AV326">
        <v>0</v>
      </c>
      <c r="AW326">
        <v>2</v>
      </c>
      <c r="AX326">
        <v>39100959</v>
      </c>
      <c r="AY326">
        <v>1</v>
      </c>
      <c r="AZ326">
        <v>0</v>
      </c>
      <c r="BA326">
        <v>311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Y326*Source!I196</f>
        <v>1.1285999999999998</v>
      </c>
      <c r="CY326">
        <f>AB326</f>
        <v>751.45</v>
      </c>
      <c r="CZ326">
        <f>AF326</f>
        <v>111.99</v>
      </c>
      <c r="DA326">
        <f>AJ326</f>
        <v>6.71</v>
      </c>
      <c r="DB326">
        <v>0</v>
      </c>
    </row>
    <row r="327" spans="1:106" x14ac:dyDescent="0.2">
      <c r="A327">
        <f>ROW(Source!A196)</f>
        <v>196</v>
      </c>
      <c r="B327">
        <v>39096431</v>
      </c>
      <c r="C327">
        <v>39100956</v>
      </c>
      <c r="D327">
        <v>36883554</v>
      </c>
      <c r="E327">
        <v>1</v>
      </c>
      <c r="F327">
        <v>1</v>
      </c>
      <c r="G327">
        <v>1</v>
      </c>
      <c r="H327">
        <v>2</v>
      </c>
      <c r="I327" t="s">
        <v>679</v>
      </c>
      <c r="J327" t="s">
        <v>680</v>
      </c>
      <c r="K327" t="s">
        <v>681</v>
      </c>
      <c r="L327">
        <v>1368</v>
      </c>
      <c r="N327">
        <v>1011</v>
      </c>
      <c r="O327" t="s">
        <v>666</v>
      </c>
      <c r="P327" t="s">
        <v>666</v>
      </c>
      <c r="Q327">
        <v>1</v>
      </c>
      <c r="W327">
        <v>0</v>
      </c>
      <c r="X327">
        <v>1372534845</v>
      </c>
      <c r="Y327">
        <v>0.99</v>
      </c>
      <c r="AA327">
        <v>0</v>
      </c>
      <c r="AB327">
        <v>440.91</v>
      </c>
      <c r="AC327">
        <v>11.6</v>
      </c>
      <c r="AD327">
        <v>0</v>
      </c>
      <c r="AE327">
        <v>0</v>
      </c>
      <c r="AF327">
        <v>65.709999999999994</v>
      </c>
      <c r="AG327">
        <v>11.6</v>
      </c>
      <c r="AH327">
        <v>0</v>
      </c>
      <c r="AI327">
        <v>1</v>
      </c>
      <c r="AJ327">
        <v>6.71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0.99</v>
      </c>
      <c r="AU327" t="s">
        <v>3</v>
      </c>
      <c r="AV327">
        <v>0</v>
      </c>
      <c r="AW327">
        <v>2</v>
      </c>
      <c r="AX327">
        <v>39100960</v>
      </c>
      <c r="AY327">
        <v>1</v>
      </c>
      <c r="AZ327">
        <v>0</v>
      </c>
      <c r="BA327">
        <v>312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Y327*Source!I196</f>
        <v>1.1285999999999998</v>
      </c>
      <c r="CY327">
        <f>AB327</f>
        <v>440.91</v>
      </c>
      <c r="CZ327">
        <f>AF327</f>
        <v>65.709999999999994</v>
      </c>
      <c r="DA327">
        <f>AJ327</f>
        <v>6.71</v>
      </c>
      <c r="DB327">
        <v>0</v>
      </c>
    </row>
    <row r="328" spans="1:106" x14ac:dyDescent="0.2">
      <c r="A328">
        <f>ROW(Source!A196)</f>
        <v>196</v>
      </c>
      <c r="B328">
        <v>39096431</v>
      </c>
      <c r="C328">
        <v>39100956</v>
      </c>
      <c r="D328">
        <v>36883858</v>
      </c>
      <c r="E328">
        <v>1</v>
      </c>
      <c r="F328">
        <v>1</v>
      </c>
      <c r="G328">
        <v>1</v>
      </c>
      <c r="H328">
        <v>2</v>
      </c>
      <c r="I328" t="s">
        <v>704</v>
      </c>
      <c r="J328" t="s">
        <v>705</v>
      </c>
      <c r="K328" t="s">
        <v>706</v>
      </c>
      <c r="L328">
        <v>1368</v>
      </c>
      <c r="N328">
        <v>1011</v>
      </c>
      <c r="O328" t="s">
        <v>666</v>
      </c>
      <c r="P328" t="s">
        <v>666</v>
      </c>
      <c r="Q328">
        <v>1</v>
      </c>
      <c r="W328">
        <v>0</v>
      </c>
      <c r="X328">
        <v>-353815937</v>
      </c>
      <c r="Y328">
        <v>1.1399999999999999</v>
      </c>
      <c r="AA328">
        <v>0</v>
      </c>
      <c r="AB328">
        <v>54.35</v>
      </c>
      <c r="AC328">
        <v>0</v>
      </c>
      <c r="AD328">
        <v>0</v>
      </c>
      <c r="AE328">
        <v>0</v>
      </c>
      <c r="AF328">
        <v>8.1</v>
      </c>
      <c r="AG328">
        <v>0</v>
      </c>
      <c r="AH328">
        <v>0</v>
      </c>
      <c r="AI328">
        <v>1</v>
      </c>
      <c r="AJ328">
        <v>6.71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1.1399999999999999</v>
      </c>
      <c r="AU328" t="s">
        <v>3</v>
      </c>
      <c r="AV328">
        <v>0</v>
      </c>
      <c r="AW328">
        <v>2</v>
      </c>
      <c r="AX328">
        <v>39100961</v>
      </c>
      <c r="AY328">
        <v>1</v>
      </c>
      <c r="AZ328">
        <v>0</v>
      </c>
      <c r="BA328">
        <v>313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Y328*Source!I196</f>
        <v>1.2995999999999999</v>
      </c>
      <c r="CY328">
        <f>AB328</f>
        <v>54.35</v>
      </c>
      <c r="CZ328">
        <f>AF328</f>
        <v>8.1</v>
      </c>
      <c r="DA328">
        <f>AJ328</f>
        <v>6.71</v>
      </c>
      <c r="DB328">
        <v>0</v>
      </c>
    </row>
    <row r="329" spans="1:106" x14ac:dyDescent="0.2">
      <c r="A329">
        <f>ROW(Source!A196)</f>
        <v>196</v>
      </c>
      <c r="B329">
        <v>39096431</v>
      </c>
      <c r="C329">
        <v>39100956</v>
      </c>
      <c r="D329">
        <v>36802094</v>
      </c>
      <c r="E329">
        <v>1</v>
      </c>
      <c r="F329">
        <v>1</v>
      </c>
      <c r="G329">
        <v>1</v>
      </c>
      <c r="H329">
        <v>3</v>
      </c>
      <c r="I329" t="s">
        <v>852</v>
      </c>
      <c r="J329" t="s">
        <v>853</v>
      </c>
      <c r="K329" t="s">
        <v>854</v>
      </c>
      <c r="L329">
        <v>1346</v>
      </c>
      <c r="N329">
        <v>1009</v>
      </c>
      <c r="O329" t="s">
        <v>138</v>
      </c>
      <c r="P329" t="s">
        <v>138</v>
      </c>
      <c r="Q329">
        <v>1</v>
      </c>
      <c r="W329">
        <v>0</v>
      </c>
      <c r="X329">
        <v>-1088866022</v>
      </c>
      <c r="Y329">
        <v>0.42</v>
      </c>
      <c r="AA329">
        <v>203.98</v>
      </c>
      <c r="AB329">
        <v>0</v>
      </c>
      <c r="AC329">
        <v>0</v>
      </c>
      <c r="AD329">
        <v>0</v>
      </c>
      <c r="AE329">
        <v>30.4</v>
      </c>
      <c r="AF329">
        <v>0</v>
      </c>
      <c r="AG329">
        <v>0</v>
      </c>
      <c r="AH329">
        <v>0</v>
      </c>
      <c r="AI329">
        <v>6.71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0.42</v>
      </c>
      <c r="AU329" t="s">
        <v>3</v>
      </c>
      <c r="AV329">
        <v>0</v>
      </c>
      <c r="AW329">
        <v>2</v>
      </c>
      <c r="AX329">
        <v>39100962</v>
      </c>
      <c r="AY329">
        <v>1</v>
      </c>
      <c r="AZ329">
        <v>0</v>
      </c>
      <c r="BA329">
        <v>314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Y329*Source!I196</f>
        <v>0.47879999999999995</v>
      </c>
      <c r="CY329">
        <f t="shared" ref="CY329:CY336" si="24">AA329</f>
        <v>203.98</v>
      </c>
      <c r="CZ329">
        <f t="shared" ref="CZ329:CZ336" si="25">AE329</f>
        <v>30.4</v>
      </c>
      <c r="DA329">
        <f t="shared" ref="DA329:DA336" si="26">AI329</f>
        <v>6.71</v>
      </c>
      <c r="DB329">
        <v>0</v>
      </c>
    </row>
    <row r="330" spans="1:106" x14ac:dyDescent="0.2">
      <c r="A330">
        <f>ROW(Source!A196)</f>
        <v>196</v>
      </c>
      <c r="B330">
        <v>39096431</v>
      </c>
      <c r="C330">
        <v>39100956</v>
      </c>
      <c r="D330">
        <v>36802106</v>
      </c>
      <c r="E330">
        <v>1</v>
      </c>
      <c r="F330">
        <v>1</v>
      </c>
      <c r="G330">
        <v>1</v>
      </c>
      <c r="H330">
        <v>3</v>
      </c>
      <c r="I330" t="s">
        <v>902</v>
      </c>
      <c r="J330" t="s">
        <v>903</v>
      </c>
      <c r="K330" t="s">
        <v>904</v>
      </c>
      <c r="L330">
        <v>1308</v>
      </c>
      <c r="N330">
        <v>1003</v>
      </c>
      <c r="O330" t="s">
        <v>27</v>
      </c>
      <c r="P330" t="s">
        <v>27</v>
      </c>
      <c r="Q330">
        <v>100</v>
      </c>
      <c r="W330">
        <v>0</v>
      </c>
      <c r="X330">
        <v>568244124</v>
      </c>
      <c r="Y330">
        <v>0.1</v>
      </c>
      <c r="AA330">
        <v>805.2</v>
      </c>
      <c r="AB330">
        <v>0</v>
      </c>
      <c r="AC330">
        <v>0</v>
      </c>
      <c r="AD330">
        <v>0</v>
      </c>
      <c r="AE330">
        <v>120</v>
      </c>
      <c r="AF330">
        <v>0</v>
      </c>
      <c r="AG330">
        <v>0</v>
      </c>
      <c r="AH330">
        <v>0</v>
      </c>
      <c r="AI330">
        <v>6.71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0.1</v>
      </c>
      <c r="AU330" t="s">
        <v>3</v>
      </c>
      <c r="AV330">
        <v>0</v>
      </c>
      <c r="AW330">
        <v>2</v>
      </c>
      <c r="AX330">
        <v>39100963</v>
      </c>
      <c r="AY330">
        <v>1</v>
      </c>
      <c r="AZ330">
        <v>0</v>
      </c>
      <c r="BA330">
        <v>315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Y330*Source!I196</f>
        <v>0.11399999999999999</v>
      </c>
      <c r="CY330">
        <f t="shared" si="24"/>
        <v>805.2</v>
      </c>
      <c r="CZ330">
        <f t="shared" si="25"/>
        <v>120</v>
      </c>
      <c r="DA330">
        <f t="shared" si="26"/>
        <v>6.71</v>
      </c>
      <c r="DB330">
        <v>0</v>
      </c>
    </row>
    <row r="331" spans="1:106" x14ac:dyDescent="0.2">
      <c r="A331">
        <f>ROW(Source!A196)</f>
        <v>196</v>
      </c>
      <c r="B331">
        <v>39096431</v>
      </c>
      <c r="C331">
        <v>39100956</v>
      </c>
      <c r="D331">
        <v>36803258</v>
      </c>
      <c r="E331">
        <v>1</v>
      </c>
      <c r="F331">
        <v>1</v>
      </c>
      <c r="G331">
        <v>1</v>
      </c>
      <c r="H331">
        <v>3</v>
      </c>
      <c r="I331" t="s">
        <v>855</v>
      </c>
      <c r="J331" t="s">
        <v>856</v>
      </c>
      <c r="K331" t="s">
        <v>857</v>
      </c>
      <c r="L331">
        <v>1346</v>
      </c>
      <c r="N331">
        <v>1009</v>
      </c>
      <c r="O331" t="s">
        <v>138</v>
      </c>
      <c r="P331" t="s">
        <v>138</v>
      </c>
      <c r="Q331">
        <v>1</v>
      </c>
      <c r="W331">
        <v>0</v>
      </c>
      <c r="X331">
        <v>586013393</v>
      </c>
      <c r="Y331">
        <v>2.1</v>
      </c>
      <c r="AA331">
        <v>70.92</v>
      </c>
      <c r="AB331">
        <v>0</v>
      </c>
      <c r="AC331">
        <v>0</v>
      </c>
      <c r="AD331">
        <v>0</v>
      </c>
      <c r="AE331">
        <v>10.57</v>
      </c>
      <c r="AF331">
        <v>0</v>
      </c>
      <c r="AG331">
        <v>0</v>
      </c>
      <c r="AH331">
        <v>0</v>
      </c>
      <c r="AI331">
        <v>6.71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2.1</v>
      </c>
      <c r="AU331" t="s">
        <v>3</v>
      </c>
      <c r="AV331">
        <v>0</v>
      </c>
      <c r="AW331">
        <v>2</v>
      </c>
      <c r="AX331">
        <v>39100964</v>
      </c>
      <c r="AY331">
        <v>1</v>
      </c>
      <c r="AZ331">
        <v>0</v>
      </c>
      <c r="BA331">
        <v>316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Y331*Source!I196</f>
        <v>2.3939999999999997</v>
      </c>
      <c r="CY331">
        <f t="shared" si="24"/>
        <v>70.92</v>
      </c>
      <c r="CZ331">
        <f t="shared" si="25"/>
        <v>10.57</v>
      </c>
      <c r="DA331">
        <f t="shared" si="26"/>
        <v>6.71</v>
      </c>
      <c r="DB331">
        <v>0</v>
      </c>
    </row>
    <row r="332" spans="1:106" x14ac:dyDescent="0.2">
      <c r="A332">
        <f>ROW(Source!A196)</f>
        <v>196</v>
      </c>
      <c r="B332">
        <v>39096431</v>
      </c>
      <c r="C332">
        <v>39100956</v>
      </c>
      <c r="D332">
        <v>36804448</v>
      </c>
      <c r="E332">
        <v>1</v>
      </c>
      <c r="F332">
        <v>1</v>
      </c>
      <c r="G332">
        <v>1</v>
      </c>
      <c r="H332">
        <v>3</v>
      </c>
      <c r="I332" t="s">
        <v>858</v>
      </c>
      <c r="J332" t="s">
        <v>859</v>
      </c>
      <c r="K332" t="s">
        <v>860</v>
      </c>
      <c r="L332">
        <v>1346</v>
      </c>
      <c r="N332">
        <v>1009</v>
      </c>
      <c r="O332" t="s">
        <v>138</v>
      </c>
      <c r="P332" t="s">
        <v>138</v>
      </c>
      <c r="Q332">
        <v>1</v>
      </c>
      <c r="W332">
        <v>0</v>
      </c>
      <c r="X332">
        <v>103900845</v>
      </c>
      <c r="Y332">
        <v>10.4</v>
      </c>
      <c r="AA332">
        <v>60.66</v>
      </c>
      <c r="AB332">
        <v>0</v>
      </c>
      <c r="AC332">
        <v>0</v>
      </c>
      <c r="AD332">
        <v>0</v>
      </c>
      <c r="AE332">
        <v>9.0399999999999991</v>
      </c>
      <c r="AF332">
        <v>0</v>
      </c>
      <c r="AG332">
        <v>0</v>
      </c>
      <c r="AH332">
        <v>0</v>
      </c>
      <c r="AI332">
        <v>6.71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10.4</v>
      </c>
      <c r="AU332" t="s">
        <v>3</v>
      </c>
      <c r="AV332">
        <v>0</v>
      </c>
      <c r="AW332">
        <v>2</v>
      </c>
      <c r="AX332">
        <v>39100965</v>
      </c>
      <c r="AY332">
        <v>1</v>
      </c>
      <c r="AZ332">
        <v>0</v>
      </c>
      <c r="BA332">
        <v>317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Y332*Source!I196</f>
        <v>11.856</v>
      </c>
      <c r="CY332">
        <f t="shared" si="24"/>
        <v>60.66</v>
      </c>
      <c r="CZ332">
        <f t="shared" si="25"/>
        <v>9.0399999999999991</v>
      </c>
      <c r="DA332">
        <f t="shared" si="26"/>
        <v>6.71</v>
      </c>
      <c r="DB332">
        <v>0</v>
      </c>
    </row>
    <row r="333" spans="1:106" x14ac:dyDescent="0.2">
      <c r="A333">
        <f>ROW(Source!A196)</f>
        <v>196</v>
      </c>
      <c r="B333">
        <v>39096431</v>
      </c>
      <c r="C333">
        <v>39100956</v>
      </c>
      <c r="D333">
        <v>36825981</v>
      </c>
      <c r="E333">
        <v>1</v>
      </c>
      <c r="F333">
        <v>1</v>
      </c>
      <c r="G333">
        <v>1</v>
      </c>
      <c r="H333">
        <v>3</v>
      </c>
      <c r="I333" t="s">
        <v>919</v>
      </c>
      <c r="J333" t="s">
        <v>920</v>
      </c>
      <c r="K333" t="s">
        <v>921</v>
      </c>
      <c r="L333">
        <v>1348</v>
      </c>
      <c r="N333">
        <v>1009</v>
      </c>
      <c r="O333" t="s">
        <v>110</v>
      </c>
      <c r="P333" t="s">
        <v>110</v>
      </c>
      <c r="Q333">
        <v>1000</v>
      </c>
      <c r="W333">
        <v>0</v>
      </c>
      <c r="X333">
        <v>-1598896989</v>
      </c>
      <c r="Y333">
        <v>0.15</v>
      </c>
      <c r="AA333">
        <v>33550</v>
      </c>
      <c r="AB333">
        <v>0</v>
      </c>
      <c r="AC333">
        <v>0</v>
      </c>
      <c r="AD333">
        <v>0</v>
      </c>
      <c r="AE333">
        <v>5000</v>
      </c>
      <c r="AF333">
        <v>0</v>
      </c>
      <c r="AG333">
        <v>0</v>
      </c>
      <c r="AH333">
        <v>0</v>
      </c>
      <c r="AI333">
        <v>6.71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0.15</v>
      </c>
      <c r="AU333" t="s">
        <v>3</v>
      </c>
      <c r="AV333">
        <v>0</v>
      </c>
      <c r="AW333">
        <v>2</v>
      </c>
      <c r="AX333">
        <v>39100966</v>
      </c>
      <c r="AY333">
        <v>1</v>
      </c>
      <c r="AZ333">
        <v>0</v>
      </c>
      <c r="BA333">
        <v>318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Y333*Source!I196</f>
        <v>0.17099999999999999</v>
      </c>
      <c r="CY333">
        <f t="shared" si="24"/>
        <v>33550</v>
      </c>
      <c r="CZ333">
        <f t="shared" si="25"/>
        <v>5000</v>
      </c>
      <c r="DA333">
        <f t="shared" si="26"/>
        <v>6.71</v>
      </c>
      <c r="DB333">
        <v>0</v>
      </c>
    </row>
    <row r="334" spans="1:106" x14ac:dyDescent="0.2">
      <c r="A334">
        <f>ROW(Source!A196)</f>
        <v>196</v>
      </c>
      <c r="B334">
        <v>39096431</v>
      </c>
      <c r="C334">
        <v>39100956</v>
      </c>
      <c r="D334">
        <v>36838317</v>
      </c>
      <c r="E334">
        <v>1</v>
      </c>
      <c r="F334">
        <v>1</v>
      </c>
      <c r="G334">
        <v>1</v>
      </c>
      <c r="H334">
        <v>3</v>
      </c>
      <c r="I334" t="s">
        <v>870</v>
      </c>
      <c r="J334" t="s">
        <v>871</v>
      </c>
      <c r="K334" t="s">
        <v>872</v>
      </c>
      <c r="L334">
        <v>1346</v>
      </c>
      <c r="N334">
        <v>1009</v>
      </c>
      <c r="O334" t="s">
        <v>138</v>
      </c>
      <c r="P334" t="s">
        <v>138</v>
      </c>
      <c r="Q334">
        <v>1</v>
      </c>
      <c r="W334">
        <v>0</v>
      </c>
      <c r="X334">
        <v>210558753</v>
      </c>
      <c r="Y334">
        <v>3</v>
      </c>
      <c r="AA334">
        <v>191.91</v>
      </c>
      <c r="AB334">
        <v>0</v>
      </c>
      <c r="AC334">
        <v>0</v>
      </c>
      <c r="AD334">
        <v>0</v>
      </c>
      <c r="AE334">
        <v>28.6</v>
      </c>
      <c r="AF334">
        <v>0</v>
      </c>
      <c r="AG334">
        <v>0</v>
      </c>
      <c r="AH334">
        <v>0</v>
      </c>
      <c r="AI334">
        <v>6.71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3</v>
      </c>
      <c r="AU334" t="s">
        <v>3</v>
      </c>
      <c r="AV334">
        <v>0</v>
      </c>
      <c r="AW334">
        <v>2</v>
      </c>
      <c r="AX334">
        <v>39100967</v>
      </c>
      <c r="AY334">
        <v>1</v>
      </c>
      <c r="AZ334">
        <v>0</v>
      </c>
      <c r="BA334">
        <v>319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Y334*Source!I196</f>
        <v>3.42</v>
      </c>
      <c r="CY334">
        <f t="shared" si="24"/>
        <v>191.91</v>
      </c>
      <c r="CZ334">
        <f t="shared" si="25"/>
        <v>28.6</v>
      </c>
      <c r="DA334">
        <f t="shared" si="26"/>
        <v>6.71</v>
      </c>
      <c r="DB334">
        <v>0</v>
      </c>
    </row>
    <row r="335" spans="1:106" x14ac:dyDescent="0.2">
      <c r="A335">
        <f>ROW(Source!A196)</f>
        <v>196</v>
      </c>
      <c r="B335">
        <v>39096431</v>
      </c>
      <c r="C335">
        <v>39100956</v>
      </c>
      <c r="D335">
        <v>36854884</v>
      </c>
      <c r="E335">
        <v>1</v>
      </c>
      <c r="F335">
        <v>1</v>
      </c>
      <c r="G335">
        <v>1</v>
      </c>
      <c r="H335">
        <v>3</v>
      </c>
      <c r="I335" t="s">
        <v>526</v>
      </c>
      <c r="J335" t="s">
        <v>528</v>
      </c>
      <c r="K335" t="s">
        <v>527</v>
      </c>
      <c r="L335">
        <v>1354</v>
      </c>
      <c r="N335">
        <v>1010</v>
      </c>
      <c r="O335" t="s">
        <v>46</v>
      </c>
      <c r="P335" t="s">
        <v>46</v>
      </c>
      <c r="Q335">
        <v>1</v>
      </c>
      <c r="W335">
        <v>0</v>
      </c>
      <c r="X335">
        <v>1763272094</v>
      </c>
      <c r="Y335">
        <v>100</v>
      </c>
      <c r="AA335">
        <v>5677.67</v>
      </c>
      <c r="AB335">
        <v>0</v>
      </c>
      <c r="AC335">
        <v>0</v>
      </c>
      <c r="AD335">
        <v>0</v>
      </c>
      <c r="AE335">
        <v>846.15</v>
      </c>
      <c r="AF335">
        <v>0</v>
      </c>
      <c r="AG335">
        <v>0</v>
      </c>
      <c r="AH335">
        <v>0</v>
      </c>
      <c r="AI335">
        <v>6.71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100</v>
      </c>
      <c r="AU335" t="s">
        <v>3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Y335*Source!I196</f>
        <v>113.99999999999999</v>
      </c>
      <c r="CY335">
        <f t="shared" si="24"/>
        <v>5677.67</v>
      </c>
      <c r="CZ335">
        <f t="shared" si="25"/>
        <v>846.15</v>
      </c>
      <c r="DA335">
        <f t="shared" si="26"/>
        <v>6.71</v>
      </c>
      <c r="DB335">
        <v>0</v>
      </c>
    </row>
    <row r="336" spans="1:106" x14ac:dyDescent="0.2">
      <c r="A336">
        <f>ROW(Source!A196)</f>
        <v>196</v>
      </c>
      <c r="B336">
        <v>39096431</v>
      </c>
      <c r="C336">
        <v>39100956</v>
      </c>
      <c r="D336">
        <v>36799065</v>
      </c>
      <c r="E336">
        <v>17</v>
      </c>
      <c r="F336">
        <v>1</v>
      </c>
      <c r="G336">
        <v>1</v>
      </c>
      <c r="H336">
        <v>3</v>
      </c>
      <c r="I336" t="s">
        <v>835</v>
      </c>
      <c r="J336" t="s">
        <v>3</v>
      </c>
      <c r="K336" t="s">
        <v>836</v>
      </c>
      <c r="L336">
        <v>1374</v>
      </c>
      <c r="N336">
        <v>1013</v>
      </c>
      <c r="O336" t="s">
        <v>837</v>
      </c>
      <c r="P336" t="s">
        <v>837</v>
      </c>
      <c r="Q336">
        <v>1</v>
      </c>
      <c r="W336">
        <v>0</v>
      </c>
      <c r="X336">
        <v>-1731369543</v>
      </c>
      <c r="Y336">
        <v>42.38</v>
      </c>
      <c r="AA336">
        <v>1</v>
      </c>
      <c r="AB336">
        <v>0</v>
      </c>
      <c r="AC336">
        <v>0</v>
      </c>
      <c r="AD336">
        <v>0</v>
      </c>
      <c r="AE336">
        <v>1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42.38</v>
      </c>
      <c r="AU336" t="s">
        <v>3</v>
      </c>
      <c r="AV336">
        <v>0</v>
      </c>
      <c r="AW336">
        <v>2</v>
      </c>
      <c r="AX336">
        <v>39100968</v>
      </c>
      <c r="AY336">
        <v>1</v>
      </c>
      <c r="AZ336">
        <v>0</v>
      </c>
      <c r="BA336">
        <v>320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Y336*Source!I196</f>
        <v>48.313200000000002</v>
      </c>
      <c r="CY336">
        <f t="shared" si="24"/>
        <v>1</v>
      </c>
      <c r="CZ336">
        <f t="shared" si="25"/>
        <v>1</v>
      </c>
      <c r="DA336">
        <f t="shared" si="26"/>
        <v>1</v>
      </c>
      <c r="DB336">
        <v>0</v>
      </c>
    </row>
    <row r="337" spans="1:106" x14ac:dyDescent="0.2">
      <c r="A337">
        <f>ROW(Source!A198)</f>
        <v>198</v>
      </c>
      <c r="B337">
        <v>39096431</v>
      </c>
      <c r="C337">
        <v>39096996</v>
      </c>
      <c r="D337">
        <v>37519679</v>
      </c>
      <c r="E337">
        <v>1</v>
      </c>
      <c r="F337">
        <v>1</v>
      </c>
      <c r="G337">
        <v>1</v>
      </c>
      <c r="H337">
        <v>1</v>
      </c>
      <c r="I337" t="s">
        <v>922</v>
      </c>
      <c r="J337" t="s">
        <v>3</v>
      </c>
      <c r="K337" t="s">
        <v>923</v>
      </c>
      <c r="L337">
        <v>1191</v>
      </c>
      <c r="N337">
        <v>1013</v>
      </c>
      <c r="O337" t="s">
        <v>660</v>
      </c>
      <c r="P337" t="s">
        <v>660</v>
      </c>
      <c r="Q337">
        <v>1</v>
      </c>
      <c r="W337">
        <v>0</v>
      </c>
      <c r="X337">
        <v>-1166887252</v>
      </c>
      <c r="Y337">
        <v>0.128</v>
      </c>
      <c r="AA337">
        <v>0</v>
      </c>
      <c r="AB337">
        <v>0</v>
      </c>
      <c r="AC337">
        <v>0</v>
      </c>
      <c r="AD337">
        <v>86.69</v>
      </c>
      <c r="AE337">
        <v>0</v>
      </c>
      <c r="AF337">
        <v>0</v>
      </c>
      <c r="AG337">
        <v>0</v>
      </c>
      <c r="AH337">
        <v>12.92</v>
      </c>
      <c r="AI337">
        <v>1</v>
      </c>
      <c r="AJ337">
        <v>1</v>
      </c>
      <c r="AK337">
        <v>1</v>
      </c>
      <c r="AL337">
        <v>6.71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0.16</v>
      </c>
      <c r="AU337" t="s">
        <v>58</v>
      </c>
      <c r="AV337">
        <v>1</v>
      </c>
      <c r="AW337">
        <v>2</v>
      </c>
      <c r="AX337">
        <v>39096999</v>
      </c>
      <c r="AY337">
        <v>1</v>
      </c>
      <c r="AZ337">
        <v>0</v>
      </c>
      <c r="BA337">
        <v>321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Y337*Source!I198</f>
        <v>6.016</v>
      </c>
      <c r="CY337">
        <f t="shared" ref="CY337:CY345" si="27">AD337</f>
        <v>86.69</v>
      </c>
      <c r="CZ337">
        <f t="shared" ref="CZ337:CZ345" si="28">AH337</f>
        <v>12.92</v>
      </c>
      <c r="DA337">
        <f t="shared" ref="DA337:DA345" si="29">AL337</f>
        <v>6.71</v>
      </c>
      <c r="DB337">
        <v>0</v>
      </c>
    </row>
    <row r="338" spans="1:106" x14ac:dyDescent="0.2">
      <c r="A338">
        <f>ROW(Source!A198)</f>
        <v>198</v>
      </c>
      <c r="B338">
        <v>39096431</v>
      </c>
      <c r="C338">
        <v>39096996</v>
      </c>
      <c r="D338">
        <v>37518716</v>
      </c>
      <c r="E338">
        <v>1</v>
      </c>
      <c r="F338">
        <v>1</v>
      </c>
      <c r="G338">
        <v>1</v>
      </c>
      <c r="H338">
        <v>1</v>
      </c>
      <c r="I338" t="s">
        <v>924</v>
      </c>
      <c r="J338" t="s">
        <v>3</v>
      </c>
      <c r="K338" t="s">
        <v>925</v>
      </c>
      <c r="L338">
        <v>1191</v>
      </c>
      <c r="N338">
        <v>1013</v>
      </c>
      <c r="O338" t="s">
        <v>660</v>
      </c>
      <c r="P338" t="s">
        <v>660</v>
      </c>
      <c r="Q338">
        <v>1</v>
      </c>
      <c r="W338">
        <v>0</v>
      </c>
      <c r="X338">
        <v>1776637054</v>
      </c>
      <c r="Y338">
        <v>0.128</v>
      </c>
      <c r="AA338">
        <v>0</v>
      </c>
      <c r="AB338">
        <v>0</v>
      </c>
      <c r="AC338">
        <v>0</v>
      </c>
      <c r="AD338">
        <v>85.15</v>
      </c>
      <c r="AE338">
        <v>0</v>
      </c>
      <c r="AF338">
        <v>0</v>
      </c>
      <c r="AG338">
        <v>0</v>
      </c>
      <c r="AH338">
        <v>12.69</v>
      </c>
      <c r="AI338">
        <v>1</v>
      </c>
      <c r="AJ338">
        <v>1</v>
      </c>
      <c r="AK338">
        <v>1</v>
      </c>
      <c r="AL338">
        <v>6.71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0.16</v>
      </c>
      <c r="AU338" t="s">
        <v>58</v>
      </c>
      <c r="AV338">
        <v>1</v>
      </c>
      <c r="AW338">
        <v>2</v>
      </c>
      <c r="AX338">
        <v>39097000</v>
      </c>
      <c r="AY338">
        <v>1</v>
      </c>
      <c r="AZ338">
        <v>0</v>
      </c>
      <c r="BA338">
        <v>322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Y338*Source!I198</f>
        <v>6.016</v>
      </c>
      <c r="CY338">
        <f t="shared" si="27"/>
        <v>85.15</v>
      </c>
      <c r="CZ338">
        <f t="shared" si="28"/>
        <v>12.69</v>
      </c>
      <c r="DA338">
        <f t="shared" si="29"/>
        <v>6.71</v>
      </c>
      <c r="DB338">
        <v>0</v>
      </c>
    </row>
    <row r="339" spans="1:106" x14ac:dyDescent="0.2">
      <c r="A339">
        <f>ROW(Source!A199)</f>
        <v>199</v>
      </c>
      <c r="B339">
        <v>39096431</v>
      </c>
      <c r="C339">
        <v>39097001</v>
      </c>
      <c r="D339">
        <v>37519679</v>
      </c>
      <c r="E339">
        <v>1</v>
      </c>
      <c r="F339">
        <v>1</v>
      </c>
      <c r="G339">
        <v>1</v>
      </c>
      <c r="H339">
        <v>1</v>
      </c>
      <c r="I339" t="s">
        <v>922</v>
      </c>
      <c r="J339" t="s">
        <v>3</v>
      </c>
      <c r="K339" t="s">
        <v>923</v>
      </c>
      <c r="L339">
        <v>1191</v>
      </c>
      <c r="N339">
        <v>1013</v>
      </c>
      <c r="O339" t="s">
        <v>660</v>
      </c>
      <c r="P339" t="s">
        <v>660</v>
      </c>
      <c r="Q339">
        <v>1</v>
      </c>
      <c r="W339">
        <v>0</v>
      </c>
      <c r="X339">
        <v>-1166887252</v>
      </c>
      <c r="Y339">
        <v>5.1840000000000011</v>
      </c>
      <c r="AA339">
        <v>0</v>
      </c>
      <c r="AB339">
        <v>0</v>
      </c>
      <c r="AC339">
        <v>0</v>
      </c>
      <c r="AD339">
        <v>86.69</v>
      </c>
      <c r="AE339">
        <v>0</v>
      </c>
      <c r="AF339">
        <v>0</v>
      </c>
      <c r="AG339">
        <v>0</v>
      </c>
      <c r="AH339">
        <v>12.92</v>
      </c>
      <c r="AI339">
        <v>1</v>
      </c>
      <c r="AJ339">
        <v>1</v>
      </c>
      <c r="AK339">
        <v>1</v>
      </c>
      <c r="AL339">
        <v>6.71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6.48</v>
      </c>
      <c r="AU339" t="s">
        <v>58</v>
      </c>
      <c r="AV339">
        <v>1</v>
      </c>
      <c r="AW339">
        <v>2</v>
      </c>
      <c r="AX339">
        <v>39097004</v>
      </c>
      <c r="AY339">
        <v>1</v>
      </c>
      <c r="AZ339">
        <v>0</v>
      </c>
      <c r="BA339">
        <v>323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Y339*Source!I199</f>
        <v>0.36288000000000009</v>
      </c>
      <c r="CY339">
        <f t="shared" si="27"/>
        <v>86.69</v>
      </c>
      <c r="CZ339">
        <f t="shared" si="28"/>
        <v>12.92</v>
      </c>
      <c r="DA339">
        <f t="shared" si="29"/>
        <v>6.71</v>
      </c>
      <c r="DB339">
        <v>0</v>
      </c>
    </row>
    <row r="340" spans="1:106" x14ac:dyDescent="0.2">
      <c r="A340">
        <f>ROW(Source!A199)</f>
        <v>199</v>
      </c>
      <c r="B340">
        <v>39096431</v>
      </c>
      <c r="C340">
        <v>39097001</v>
      </c>
      <c r="D340">
        <v>37518716</v>
      </c>
      <c r="E340">
        <v>1</v>
      </c>
      <c r="F340">
        <v>1</v>
      </c>
      <c r="G340">
        <v>1</v>
      </c>
      <c r="H340">
        <v>1</v>
      </c>
      <c r="I340" t="s">
        <v>924</v>
      </c>
      <c r="J340" t="s">
        <v>3</v>
      </c>
      <c r="K340" t="s">
        <v>925</v>
      </c>
      <c r="L340">
        <v>1191</v>
      </c>
      <c r="N340">
        <v>1013</v>
      </c>
      <c r="O340" t="s">
        <v>660</v>
      </c>
      <c r="P340" t="s">
        <v>660</v>
      </c>
      <c r="Q340">
        <v>1</v>
      </c>
      <c r="W340">
        <v>0</v>
      </c>
      <c r="X340">
        <v>1776637054</v>
      </c>
      <c r="Y340">
        <v>5.1840000000000011</v>
      </c>
      <c r="AA340">
        <v>0</v>
      </c>
      <c r="AB340">
        <v>0</v>
      </c>
      <c r="AC340">
        <v>0</v>
      </c>
      <c r="AD340">
        <v>85.15</v>
      </c>
      <c r="AE340">
        <v>0</v>
      </c>
      <c r="AF340">
        <v>0</v>
      </c>
      <c r="AG340">
        <v>0</v>
      </c>
      <c r="AH340">
        <v>12.69</v>
      </c>
      <c r="AI340">
        <v>1</v>
      </c>
      <c r="AJ340">
        <v>1</v>
      </c>
      <c r="AK340">
        <v>1</v>
      </c>
      <c r="AL340">
        <v>6.71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6.48</v>
      </c>
      <c r="AU340" t="s">
        <v>58</v>
      </c>
      <c r="AV340">
        <v>1</v>
      </c>
      <c r="AW340">
        <v>2</v>
      </c>
      <c r="AX340">
        <v>39097005</v>
      </c>
      <c r="AY340">
        <v>1</v>
      </c>
      <c r="AZ340">
        <v>0</v>
      </c>
      <c r="BA340">
        <v>324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Y340*Source!I199</f>
        <v>0.36288000000000009</v>
      </c>
      <c r="CY340">
        <f t="shared" si="27"/>
        <v>85.15</v>
      </c>
      <c r="CZ340">
        <f t="shared" si="28"/>
        <v>12.69</v>
      </c>
      <c r="DA340">
        <f t="shared" si="29"/>
        <v>6.71</v>
      </c>
      <c r="DB340">
        <v>0</v>
      </c>
    </row>
    <row r="341" spans="1:106" x14ac:dyDescent="0.2">
      <c r="A341">
        <f>ROW(Source!A200)</f>
        <v>200</v>
      </c>
      <c r="B341">
        <v>39096431</v>
      </c>
      <c r="C341">
        <v>39097006</v>
      </c>
      <c r="D341">
        <v>37519679</v>
      </c>
      <c r="E341">
        <v>1</v>
      </c>
      <c r="F341">
        <v>1</v>
      </c>
      <c r="G341">
        <v>1</v>
      </c>
      <c r="H341">
        <v>1</v>
      </c>
      <c r="I341" t="s">
        <v>922</v>
      </c>
      <c r="J341" t="s">
        <v>3</v>
      </c>
      <c r="K341" t="s">
        <v>923</v>
      </c>
      <c r="L341">
        <v>1191</v>
      </c>
      <c r="N341">
        <v>1013</v>
      </c>
      <c r="O341" t="s">
        <v>660</v>
      </c>
      <c r="P341" t="s">
        <v>660</v>
      </c>
      <c r="Q341">
        <v>1</v>
      </c>
      <c r="W341">
        <v>0</v>
      </c>
      <c r="X341">
        <v>-1166887252</v>
      </c>
      <c r="Y341">
        <v>0.48799999999999999</v>
      </c>
      <c r="AA341">
        <v>0</v>
      </c>
      <c r="AB341">
        <v>0</v>
      </c>
      <c r="AC341">
        <v>0</v>
      </c>
      <c r="AD341">
        <v>86.69</v>
      </c>
      <c r="AE341">
        <v>0</v>
      </c>
      <c r="AF341">
        <v>0</v>
      </c>
      <c r="AG341">
        <v>0</v>
      </c>
      <c r="AH341">
        <v>12.92</v>
      </c>
      <c r="AI341">
        <v>1</v>
      </c>
      <c r="AJ341">
        <v>1</v>
      </c>
      <c r="AK341">
        <v>1</v>
      </c>
      <c r="AL341">
        <v>6.71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0.61</v>
      </c>
      <c r="AU341" t="s">
        <v>58</v>
      </c>
      <c r="AV341">
        <v>1</v>
      </c>
      <c r="AW341">
        <v>2</v>
      </c>
      <c r="AX341">
        <v>39097009</v>
      </c>
      <c r="AY341">
        <v>1</v>
      </c>
      <c r="AZ341">
        <v>0</v>
      </c>
      <c r="BA341">
        <v>325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Y341*Source!I200</f>
        <v>21.96</v>
      </c>
      <c r="CY341">
        <f t="shared" si="27"/>
        <v>86.69</v>
      </c>
      <c r="CZ341">
        <f t="shared" si="28"/>
        <v>12.92</v>
      </c>
      <c r="DA341">
        <f t="shared" si="29"/>
        <v>6.71</v>
      </c>
      <c r="DB341">
        <v>0</v>
      </c>
    </row>
    <row r="342" spans="1:106" x14ac:dyDescent="0.2">
      <c r="A342">
        <f>ROW(Source!A200)</f>
        <v>200</v>
      </c>
      <c r="B342">
        <v>39096431</v>
      </c>
      <c r="C342">
        <v>39097006</v>
      </c>
      <c r="D342">
        <v>37518716</v>
      </c>
      <c r="E342">
        <v>1</v>
      </c>
      <c r="F342">
        <v>1</v>
      </c>
      <c r="G342">
        <v>1</v>
      </c>
      <c r="H342">
        <v>1</v>
      </c>
      <c r="I342" t="s">
        <v>924</v>
      </c>
      <c r="J342" t="s">
        <v>3</v>
      </c>
      <c r="K342" t="s">
        <v>925</v>
      </c>
      <c r="L342">
        <v>1191</v>
      </c>
      <c r="N342">
        <v>1013</v>
      </c>
      <c r="O342" t="s">
        <v>660</v>
      </c>
      <c r="P342" t="s">
        <v>660</v>
      </c>
      <c r="Q342">
        <v>1</v>
      </c>
      <c r="W342">
        <v>0</v>
      </c>
      <c r="X342">
        <v>1776637054</v>
      </c>
      <c r="Y342">
        <v>0.48799999999999999</v>
      </c>
      <c r="AA342">
        <v>0</v>
      </c>
      <c r="AB342">
        <v>0</v>
      </c>
      <c r="AC342">
        <v>0</v>
      </c>
      <c r="AD342">
        <v>85.15</v>
      </c>
      <c r="AE342">
        <v>0</v>
      </c>
      <c r="AF342">
        <v>0</v>
      </c>
      <c r="AG342">
        <v>0</v>
      </c>
      <c r="AH342">
        <v>12.69</v>
      </c>
      <c r="AI342">
        <v>1</v>
      </c>
      <c r="AJ342">
        <v>1</v>
      </c>
      <c r="AK342">
        <v>1</v>
      </c>
      <c r="AL342">
        <v>6.71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0.61</v>
      </c>
      <c r="AU342" t="s">
        <v>58</v>
      </c>
      <c r="AV342">
        <v>1</v>
      </c>
      <c r="AW342">
        <v>2</v>
      </c>
      <c r="AX342">
        <v>39097010</v>
      </c>
      <c r="AY342">
        <v>1</v>
      </c>
      <c r="AZ342">
        <v>0</v>
      </c>
      <c r="BA342">
        <v>326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Y342*Source!I200</f>
        <v>21.96</v>
      </c>
      <c r="CY342">
        <f t="shared" si="27"/>
        <v>85.15</v>
      </c>
      <c r="CZ342">
        <f t="shared" si="28"/>
        <v>12.69</v>
      </c>
      <c r="DA342">
        <f t="shared" si="29"/>
        <v>6.71</v>
      </c>
      <c r="DB342">
        <v>0</v>
      </c>
    </row>
    <row r="343" spans="1:106" x14ac:dyDescent="0.2">
      <c r="A343">
        <f>ROW(Source!A201)</f>
        <v>201</v>
      </c>
      <c r="B343">
        <v>39096431</v>
      </c>
      <c r="C343">
        <v>39097011</v>
      </c>
      <c r="D343">
        <v>37518712</v>
      </c>
      <c r="E343">
        <v>1</v>
      </c>
      <c r="F343">
        <v>1</v>
      </c>
      <c r="G343">
        <v>1</v>
      </c>
      <c r="H343">
        <v>1</v>
      </c>
      <c r="I343" t="s">
        <v>926</v>
      </c>
      <c r="J343" t="s">
        <v>3</v>
      </c>
      <c r="K343" t="s">
        <v>927</v>
      </c>
      <c r="L343">
        <v>1191</v>
      </c>
      <c r="N343">
        <v>1013</v>
      </c>
      <c r="O343" t="s">
        <v>660</v>
      </c>
      <c r="P343" t="s">
        <v>660</v>
      </c>
      <c r="Q343">
        <v>1</v>
      </c>
      <c r="W343">
        <v>0</v>
      </c>
      <c r="X343">
        <v>-1309109184</v>
      </c>
      <c r="Y343">
        <v>0.90399999999999991</v>
      </c>
      <c r="AA343">
        <v>0</v>
      </c>
      <c r="AB343">
        <v>0</v>
      </c>
      <c r="AC343">
        <v>0</v>
      </c>
      <c r="AD343">
        <v>61.53</v>
      </c>
      <c r="AE343">
        <v>0</v>
      </c>
      <c r="AF343">
        <v>0</v>
      </c>
      <c r="AG343">
        <v>0</v>
      </c>
      <c r="AH343">
        <v>9.17</v>
      </c>
      <c r="AI343">
        <v>1</v>
      </c>
      <c r="AJ343">
        <v>1</v>
      </c>
      <c r="AK343">
        <v>1</v>
      </c>
      <c r="AL343">
        <v>6.71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3</v>
      </c>
      <c r="AT343">
        <v>1.1299999999999999</v>
      </c>
      <c r="AU343" t="s">
        <v>58</v>
      </c>
      <c r="AV343">
        <v>1</v>
      </c>
      <c r="AW343">
        <v>2</v>
      </c>
      <c r="AX343">
        <v>39097014</v>
      </c>
      <c r="AY343">
        <v>1</v>
      </c>
      <c r="AZ343">
        <v>0</v>
      </c>
      <c r="BA343">
        <v>327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Y343*Source!I201</f>
        <v>42.488</v>
      </c>
      <c r="CY343">
        <f t="shared" si="27"/>
        <v>61.53</v>
      </c>
      <c r="CZ343">
        <f t="shared" si="28"/>
        <v>9.17</v>
      </c>
      <c r="DA343">
        <f t="shared" si="29"/>
        <v>6.71</v>
      </c>
      <c r="DB343">
        <v>0</v>
      </c>
    </row>
    <row r="344" spans="1:106" x14ac:dyDescent="0.2">
      <c r="A344">
        <f>ROW(Source!A201)</f>
        <v>201</v>
      </c>
      <c r="B344">
        <v>39096431</v>
      </c>
      <c r="C344">
        <v>39097011</v>
      </c>
      <c r="D344">
        <v>37518766</v>
      </c>
      <c r="E344">
        <v>1</v>
      </c>
      <c r="F344">
        <v>1</v>
      </c>
      <c r="G344">
        <v>1</v>
      </c>
      <c r="H344">
        <v>1</v>
      </c>
      <c r="I344" t="s">
        <v>928</v>
      </c>
      <c r="J344" t="s">
        <v>3</v>
      </c>
      <c r="K344" t="s">
        <v>929</v>
      </c>
      <c r="L344">
        <v>1191</v>
      </c>
      <c r="N344">
        <v>1013</v>
      </c>
      <c r="O344" t="s">
        <v>660</v>
      </c>
      <c r="P344" t="s">
        <v>660</v>
      </c>
      <c r="Q344">
        <v>1</v>
      </c>
      <c r="W344">
        <v>0</v>
      </c>
      <c r="X344">
        <v>1818203118</v>
      </c>
      <c r="Y344">
        <v>1.36</v>
      </c>
      <c r="AA344">
        <v>0</v>
      </c>
      <c r="AB344">
        <v>0</v>
      </c>
      <c r="AC344">
        <v>0</v>
      </c>
      <c r="AD344">
        <v>94.54</v>
      </c>
      <c r="AE344">
        <v>0</v>
      </c>
      <c r="AF344">
        <v>0</v>
      </c>
      <c r="AG344">
        <v>0</v>
      </c>
      <c r="AH344">
        <v>14.09</v>
      </c>
      <c r="AI344">
        <v>1</v>
      </c>
      <c r="AJ344">
        <v>1</v>
      </c>
      <c r="AK344">
        <v>1</v>
      </c>
      <c r="AL344">
        <v>6.71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1.7</v>
      </c>
      <c r="AU344" t="s">
        <v>58</v>
      </c>
      <c r="AV344">
        <v>1</v>
      </c>
      <c r="AW344">
        <v>2</v>
      </c>
      <c r="AX344">
        <v>39097015</v>
      </c>
      <c r="AY344">
        <v>1</v>
      </c>
      <c r="AZ344">
        <v>0</v>
      </c>
      <c r="BA344">
        <v>328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Y344*Source!I201</f>
        <v>63.92</v>
      </c>
      <c r="CY344">
        <f t="shared" si="27"/>
        <v>94.54</v>
      </c>
      <c r="CZ344">
        <f t="shared" si="28"/>
        <v>14.09</v>
      </c>
      <c r="DA344">
        <f t="shared" si="29"/>
        <v>6.71</v>
      </c>
      <c r="DB344">
        <v>0</v>
      </c>
    </row>
    <row r="345" spans="1:106" x14ac:dyDescent="0.2">
      <c r="A345">
        <f>ROW(Source!A239)</f>
        <v>239</v>
      </c>
      <c r="B345">
        <v>39096431</v>
      </c>
      <c r="C345">
        <v>39487450</v>
      </c>
      <c r="D345">
        <v>37071037</v>
      </c>
      <c r="E345">
        <v>1</v>
      </c>
      <c r="F345">
        <v>1</v>
      </c>
      <c r="G345">
        <v>1</v>
      </c>
      <c r="H345">
        <v>1</v>
      </c>
      <c r="I345" t="s">
        <v>697</v>
      </c>
      <c r="J345" t="s">
        <v>3</v>
      </c>
      <c r="K345" t="s">
        <v>698</v>
      </c>
      <c r="L345">
        <v>1191</v>
      </c>
      <c r="N345">
        <v>1013</v>
      </c>
      <c r="O345" t="s">
        <v>660</v>
      </c>
      <c r="P345" t="s">
        <v>660</v>
      </c>
      <c r="Q345">
        <v>1</v>
      </c>
      <c r="W345">
        <v>0</v>
      </c>
      <c r="X345">
        <v>1069510174</v>
      </c>
      <c r="Y345">
        <v>0.252</v>
      </c>
      <c r="AA345">
        <v>0</v>
      </c>
      <c r="AB345">
        <v>0</v>
      </c>
      <c r="AC345">
        <v>0</v>
      </c>
      <c r="AD345">
        <v>64.55</v>
      </c>
      <c r="AE345">
        <v>0</v>
      </c>
      <c r="AF345">
        <v>0</v>
      </c>
      <c r="AG345">
        <v>0</v>
      </c>
      <c r="AH345">
        <v>9.6199999999999992</v>
      </c>
      <c r="AI345">
        <v>1</v>
      </c>
      <c r="AJ345">
        <v>1</v>
      </c>
      <c r="AK345">
        <v>1</v>
      </c>
      <c r="AL345">
        <v>6.71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0.84</v>
      </c>
      <c r="AU345" t="s">
        <v>390</v>
      </c>
      <c r="AV345">
        <v>1</v>
      </c>
      <c r="AW345">
        <v>2</v>
      </c>
      <c r="AX345">
        <v>39487460</v>
      </c>
      <c r="AY345">
        <v>1</v>
      </c>
      <c r="AZ345">
        <v>0</v>
      </c>
      <c r="BA345">
        <v>329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Y345*Source!I239</f>
        <v>6.5519999999999996</v>
      </c>
      <c r="CY345">
        <f t="shared" si="27"/>
        <v>64.55</v>
      </c>
      <c r="CZ345">
        <f t="shared" si="28"/>
        <v>9.6199999999999992</v>
      </c>
      <c r="DA345">
        <f t="shared" si="29"/>
        <v>6.71</v>
      </c>
      <c r="DB345">
        <v>0</v>
      </c>
    </row>
    <row r="346" spans="1:106" x14ac:dyDescent="0.2">
      <c r="A346">
        <f>ROW(Source!A239)</f>
        <v>239</v>
      </c>
      <c r="B346">
        <v>39096431</v>
      </c>
      <c r="C346">
        <v>39487450</v>
      </c>
      <c r="D346">
        <v>36800424</v>
      </c>
      <c r="E346">
        <v>1</v>
      </c>
      <c r="F346">
        <v>1</v>
      </c>
      <c r="G346">
        <v>1</v>
      </c>
      <c r="H346">
        <v>3</v>
      </c>
      <c r="I346" t="s">
        <v>930</v>
      </c>
      <c r="J346" t="s">
        <v>931</v>
      </c>
      <c r="K346" t="s">
        <v>932</v>
      </c>
      <c r="L346">
        <v>1346</v>
      </c>
      <c r="N346">
        <v>1009</v>
      </c>
      <c r="O346" t="s">
        <v>138</v>
      </c>
      <c r="P346" t="s">
        <v>138</v>
      </c>
      <c r="Q346">
        <v>1</v>
      </c>
      <c r="W346">
        <v>0</v>
      </c>
      <c r="X346">
        <v>1559187994</v>
      </c>
      <c r="Y346">
        <v>0</v>
      </c>
      <c r="AA346">
        <v>186.14</v>
      </c>
      <c r="AB346">
        <v>0</v>
      </c>
      <c r="AC346">
        <v>0</v>
      </c>
      <c r="AD346">
        <v>0</v>
      </c>
      <c r="AE346">
        <v>27.74</v>
      </c>
      <c r="AF346">
        <v>0</v>
      </c>
      <c r="AG346">
        <v>0</v>
      </c>
      <c r="AH346">
        <v>0</v>
      </c>
      <c r="AI346">
        <v>6.71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2.0000000000000001E-4</v>
      </c>
      <c r="AU346" t="s">
        <v>57</v>
      </c>
      <c r="AV346">
        <v>0</v>
      </c>
      <c r="AW346">
        <v>2</v>
      </c>
      <c r="AX346">
        <v>39487461</v>
      </c>
      <c r="AY346">
        <v>1</v>
      </c>
      <c r="AZ346">
        <v>0</v>
      </c>
      <c r="BA346">
        <v>330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Y346*Source!I239</f>
        <v>0</v>
      </c>
      <c r="CY346">
        <f t="shared" ref="CY346:CY351" si="30">AA346</f>
        <v>186.14</v>
      </c>
      <c r="CZ346">
        <f t="shared" ref="CZ346:CZ351" si="31">AE346</f>
        <v>27.74</v>
      </c>
      <c r="DA346">
        <f t="shared" ref="DA346:DA351" si="32">AI346</f>
        <v>6.71</v>
      </c>
      <c r="DB346">
        <v>0</v>
      </c>
    </row>
    <row r="347" spans="1:106" x14ac:dyDescent="0.2">
      <c r="A347">
        <f>ROW(Source!A239)</f>
        <v>239</v>
      </c>
      <c r="B347">
        <v>39096431</v>
      </c>
      <c r="C347">
        <v>39487450</v>
      </c>
      <c r="D347">
        <v>36804578</v>
      </c>
      <c r="E347">
        <v>1</v>
      </c>
      <c r="F347">
        <v>1</v>
      </c>
      <c r="G347">
        <v>1</v>
      </c>
      <c r="H347">
        <v>3</v>
      </c>
      <c r="I347" t="s">
        <v>933</v>
      </c>
      <c r="J347" t="s">
        <v>934</v>
      </c>
      <c r="K347" t="s">
        <v>935</v>
      </c>
      <c r="L347">
        <v>1355</v>
      </c>
      <c r="N347">
        <v>1010</v>
      </c>
      <c r="O347" t="s">
        <v>161</v>
      </c>
      <c r="P347" t="s">
        <v>161</v>
      </c>
      <c r="Q347">
        <v>100</v>
      </c>
      <c r="W347">
        <v>0</v>
      </c>
      <c r="X347">
        <v>-66531260</v>
      </c>
      <c r="Y347">
        <v>0</v>
      </c>
      <c r="AA347">
        <v>556.92999999999995</v>
      </c>
      <c r="AB347">
        <v>0</v>
      </c>
      <c r="AC347">
        <v>0</v>
      </c>
      <c r="AD347">
        <v>0</v>
      </c>
      <c r="AE347">
        <v>83</v>
      </c>
      <c r="AF347">
        <v>0</v>
      </c>
      <c r="AG347">
        <v>0</v>
      </c>
      <c r="AH347">
        <v>0</v>
      </c>
      <c r="AI347">
        <v>6.71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0.01</v>
      </c>
      <c r="AU347" t="s">
        <v>57</v>
      </c>
      <c r="AV347">
        <v>0</v>
      </c>
      <c r="AW347">
        <v>2</v>
      </c>
      <c r="AX347">
        <v>39487462</v>
      </c>
      <c r="AY347">
        <v>1</v>
      </c>
      <c r="AZ347">
        <v>0</v>
      </c>
      <c r="BA347">
        <v>331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Y347*Source!I239</f>
        <v>0</v>
      </c>
      <c r="CY347">
        <f t="shared" si="30"/>
        <v>556.92999999999995</v>
      </c>
      <c r="CZ347">
        <f t="shared" si="31"/>
        <v>83</v>
      </c>
      <c r="DA347">
        <f t="shared" si="32"/>
        <v>6.71</v>
      </c>
      <c r="DB347">
        <v>0</v>
      </c>
    </row>
    <row r="348" spans="1:106" x14ac:dyDescent="0.2">
      <c r="A348">
        <f>ROW(Source!A239)</f>
        <v>239</v>
      </c>
      <c r="B348">
        <v>39096431</v>
      </c>
      <c r="C348">
        <v>39487450</v>
      </c>
      <c r="D348">
        <v>36806488</v>
      </c>
      <c r="E348">
        <v>1</v>
      </c>
      <c r="F348">
        <v>1</v>
      </c>
      <c r="G348">
        <v>1</v>
      </c>
      <c r="H348">
        <v>3</v>
      </c>
      <c r="I348" t="s">
        <v>674</v>
      </c>
      <c r="J348" t="s">
        <v>675</v>
      </c>
      <c r="K348" t="s">
        <v>676</v>
      </c>
      <c r="L348">
        <v>1348</v>
      </c>
      <c r="N348">
        <v>1009</v>
      </c>
      <c r="O348" t="s">
        <v>110</v>
      </c>
      <c r="P348" t="s">
        <v>110</v>
      </c>
      <c r="Q348">
        <v>1000</v>
      </c>
      <c r="W348">
        <v>0</v>
      </c>
      <c r="X348">
        <v>-1421715385</v>
      </c>
      <c r="Y348">
        <v>0</v>
      </c>
      <c r="AA348">
        <v>4898.17</v>
      </c>
      <c r="AB348">
        <v>0</v>
      </c>
      <c r="AC348">
        <v>0</v>
      </c>
      <c r="AD348">
        <v>0</v>
      </c>
      <c r="AE348">
        <v>729.98</v>
      </c>
      <c r="AF348">
        <v>0</v>
      </c>
      <c r="AG348">
        <v>0</v>
      </c>
      <c r="AH348">
        <v>0</v>
      </c>
      <c r="AI348">
        <v>6.71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1.0000000000000001E-5</v>
      </c>
      <c r="AU348" t="s">
        <v>57</v>
      </c>
      <c r="AV348">
        <v>0</v>
      </c>
      <c r="AW348">
        <v>2</v>
      </c>
      <c r="AX348">
        <v>39487463</v>
      </c>
      <c r="AY348">
        <v>1</v>
      </c>
      <c r="AZ348">
        <v>0</v>
      </c>
      <c r="BA348">
        <v>332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Y348*Source!I239</f>
        <v>0</v>
      </c>
      <c r="CY348">
        <f t="shared" si="30"/>
        <v>4898.17</v>
      </c>
      <c r="CZ348">
        <f t="shared" si="31"/>
        <v>729.98</v>
      </c>
      <c r="DA348">
        <f t="shared" si="32"/>
        <v>6.71</v>
      </c>
      <c r="DB348">
        <v>0</v>
      </c>
    </row>
    <row r="349" spans="1:106" x14ac:dyDescent="0.2">
      <c r="A349">
        <f>ROW(Source!A239)</f>
        <v>239</v>
      </c>
      <c r="B349">
        <v>39096431</v>
      </c>
      <c r="C349">
        <v>39487450</v>
      </c>
      <c r="D349">
        <v>36829536</v>
      </c>
      <c r="E349">
        <v>1</v>
      </c>
      <c r="F349">
        <v>1</v>
      </c>
      <c r="G349">
        <v>1</v>
      </c>
      <c r="H349">
        <v>3</v>
      </c>
      <c r="I349" t="s">
        <v>936</v>
      </c>
      <c r="J349" t="s">
        <v>937</v>
      </c>
      <c r="K349" t="s">
        <v>938</v>
      </c>
      <c r="L349">
        <v>1346</v>
      </c>
      <c r="N349">
        <v>1009</v>
      </c>
      <c r="O349" t="s">
        <v>138</v>
      </c>
      <c r="P349" t="s">
        <v>138</v>
      </c>
      <c r="Q349">
        <v>1</v>
      </c>
      <c r="W349">
        <v>0</v>
      </c>
      <c r="X349">
        <v>-1726842289</v>
      </c>
      <c r="Y349">
        <v>0</v>
      </c>
      <c r="AA349">
        <v>441.18</v>
      </c>
      <c r="AB349">
        <v>0</v>
      </c>
      <c r="AC349">
        <v>0</v>
      </c>
      <c r="AD349">
        <v>0</v>
      </c>
      <c r="AE349">
        <v>65.75</v>
      </c>
      <c r="AF349">
        <v>0</v>
      </c>
      <c r="AG349">
        <v>0</v>
      </c>
      <c r="AH349">
        <v>0</v>
      </c>
      <c r="AI349">
        <v>6.71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2E-3</v>
      </c>
      <c r="AU349" t="s">
        <v>57</v>
      </c>
      <c r="AV349">
        <v>0</v>
      </c>
      <c r="AW349">
        <v>2</v>
      </c>
      <c r="AX349">
        <v>39487464</v>
      </c>
      <c r="AY349">
        <v>1</v>
      </c>
      <c r="AZ349">
        <v>0</v>
      </c>
      <c r="BA349">
        <v>333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Y349*Source!I239</f>
        <v>0</v>
      </c>
      <c r="CY349">
        <f t="shared" si="30"/>
        <v>441.18</v>
      </c>
      <c r="CZ349">
        <f t="shared" si="31"/>
        <v>65.75</v>
      </c>
      <c r="DA349">
        <f t="shared" si="32"/>
        <v>6.71</v>
      </c>
      <c r="DB349">
        <v>0</v>
      </c>
    </row>
    <row r="350" spans="1:106" x14ac:dyDescent="0.2">
      <c r="A350">
        <f>ROW(Source!A239)</f>
        <v>239</v>
      </c>
      <c r="B350">
        <v>39096431</v>
      </c>
      <c r="C350">
        <v>39487450</v>
      </c>
      <c r="D350">
        <v>36836995</v>
      </c>
      <c r="E350">
        <v>1</v>
      </c>
      <c r="F350">
        <v>1</v>
      </c>
      <c r="G350">
        <v>1</v>
      </c>
      <c r="H350">
        <v>3</v>
      </c>
      <c r="I350" t="s">
        <v>939</v>
      </c>
      <c r="J350" t="s">
        <v>940</v>
      </c>
      <c r="K350" t="s">
        <v>941</v>
      </c>
      <c r="L350">
        <v>1346</v>
      </c>
      <c r="N350">
        <v>1009</v>
      </c>
      <c r="O350" t="s">
        <v>138</v>
      </c>
      <c r="P350" t="s">
        <v>138</v>
      </c>
      <c r="Q350">
        <v>1</v>
      </c>
      <c r="W350">
        <v>0</v>
      </c>
      <c r="X350">
        <v>497371595</v>
      </c>
      <c r="Y350">
        <v>0</v>
      </c>
      <c r="AA350">
        <v>194.12</v>
      </c>
      <c r="AB350">
        <v>0</v>
      </c>
      <c r="AC350">
        <v>0</v>
      </c>
      <c r="AD350">
        <v>0</v>
      </c>
      <c r="AE350">
        <v>28.93</v>
      </c>
      <c r="AF350">
        <v>0</v>
      </c>
      <c r="AG350">
        <v>0</v>
      </c>
      <c r="AH350">
        <v>0</v>
      </c>
      <c r="AI350">
        <v>6.71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5.0000000000000001E-3</v>
      </c>
      <c r="AU350" t="s">
        <v>57</v>
      </c>
      <c r="AV350">
        <v>0</v>
      </c>
      <c r="AW350">
        <v>2</v>
      </c>
      <c r="AX350">
        <v>39487465</v>
      </c>
      <c r="AY350">
        <v>1</v>
      </c>
      <c r="AZ350">
        <v>0</v>
      </c>
      <c r="BA350">
        <v>334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Y350*Source!I239</f>
        <v>0</v>
      </c>
      <c r="CY350">
        <f t="shared" si="30"/>
        <v>194.12</v>
      </c>
      <c r="CZ350">
        <f t="shared" si="31"/>
        <v>28.93</v>
      </c>
      <c r="DA350">
        <f t="shared" si="32"/>
        <v>6.71</v>
      </c>
      <c r="DB350">
        <v>0</v>
      </c>
    </row>
    <row r="351" spans="1:106" x14ac:dyDescent="0.2">
      <c r="A351">
        <f>ROW(Source!A239)</f>
        <v>239</v>
      </c>
      <c r="B351">
        <v>39096431</v>
      </c>
      <c r="C351">
        <v>39487450</v>
      </c>
      <c r="D351">
        <v>36799065</v>
      </c>
      <c r="E351">
        <v>17</v>
      </c>
      <c r="F351">
        <v>1</v>
      </c>
      <c r="G351">
        <v>1</v>
      </c>
      <c r="H351">
        <v>3</v>
      </c>
      <c r="I351" t="s">
        <v>835</v>
      </c>
      <c r="J351" t="s">
        <v>3</v>
      </c>
      <c r="K351" t="s">
        <v>836</v>
      </c>
      <c r="L351">
        <v>1374</v>
      </c>
      <c r="N351">
        <v>1013</v>
      </c>
      <c r="O351" t="s">
        <v>837</v>
      </c>
      <c r="P351" t="s">
        <v>837</v>
      </c>
      <c r="Q351">
        <v>1</v>
      </c>
      <c r="W351">
        <v>0</v>
      </c>
      <c r="X351">
        <v>-1731369543</v>
      </c>
      <c r="Y351">
        <v>0</v>
      </c>
      <c r="AA351">
        <v>1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0.16</v>
      </c>
      <c r="AU351" t="s">
        <v>57</v>
      </c>
      <c r="AV351">
        <v>0</v>
      </c>
      <c r="AW351">
        <v>2</v>
      </c>
      <c r="AX351">
        <v>39487466</v>
      </c>
      <c r="AY351">
        <v>1</v>
      </c>
      <c r="AZ351">
        <v>0</v>
      </c>
      <c r="BA351">
        <v>335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Y351*Source!I239</f>
        <v>0</v>
      </c>
      <c r="CY351">
        <f t="shared" si="30"/>
        <v>1</v>
      </c>
      <c r="CZ351">
        <f t="shared" si="31"/>
        <v>1</v>
      </c>
      <c r="DA351">
        <f t="shared" si="32"/>
        <v>1</v>
      </c>
      <c r="DB351">
        <v>0</v>
      </c>
    </row>
    <row r="352" spans="1:106" x14ac:dyDescent="0.2">
      <c r="A352">
        <f>ROW(Source!A240)</f>
        <v>240</v>
      </c>
      <c r="B352">
        <v>39096431</v>
      </c>
      <c r="C352">
        <v>39097016</v>
      </c>
      <c r="D352">
        <v>37071037</v>
      </c>
      <c r="E352">
        <v>1</v>
      </c>
      <c r="F352">
        <v>1</v>
      </c>
      <c r="G352">
        <v>1</v>
      </c>
      <c r="H352">
        <v>1</v>
      </c>
      <c r="I352" t="s">
        <v>697</v>
      </c>
      <c r="J352" t="s">
        <v>3</v>
      </c>
      <c r="K352" t="s">
        <v>698</v>
      </c>
      <c r="L352">
        <v>1191</v>
      </c>
      <c r="N352">
        <v>1013</v>
      </c>
      <c r="O352" t="s">
        <v>660</v>
      </c>
      <c r="P352" t="s">
        <v>660</v>
      </c>
      <c r="Q352">
        <v>1</v>
      </c>
      <c r="W352">
        <v>0</v>
      </c>
      <c r="X352">
        <v>1069510174</v>
      </c>
      <c r="Y352">
        <v>0.84</v>
      </c>
      <c r="AA352">
        <v>0</v>
      </c>
      <c r="AB352">
        <v>0</v>
      </c>
      <c r="AC352">
        <v>0</v>
      </c>
      <c r="AD352">
        <v>64.55</v>
      </c>
      <c r="AE352">
        <v>0</v>
      </c>
      <c r="AF352">
        <v>0</v>
      </c>
      <c r="AG352">
        <v>0</v>
      </c>
      <c r="AH352">
        <v>9.6199999999999992</v>
      </c>
      <c r="AI352">
        <v>1</v>
      </c>
      <c r="AJ352">
        <v>1</v>
      </c>
      <c r="AK352">
        <v>1</v>
      </c>
      <c r="AL352">
        <v>6.71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0.84</v>
      </c>
      <c r="AU352" t="s">
        <v>3</v>
      </c>
      <c r="AV352">
        <v>1</v>
      </c>
      <c r="AW352">
        <v>2</v>
      </c>
      <c r="AX352">
        <v>39097025</v>
      </c>
      <c r="AY352">
        <v>1</v>
      </c>
      <c r="AZ352">
        <v>0</v>
      </c>
      <c r="BA352">
        <v>336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Y352*Source!I240</f>
        <v>43.68</v>
      </c>
      <c r="CY352">
        <f>AD352</f>
        <v>64.55</v>
      </c>
      <c r="CZ352">
        <f>AH352</f>
        <v>9.6199999999999992</v>
      </c>
      <c r="DA352">
        <f>AL352</f>
        <v>6.71</v>
      </c>
      <c r="DB352">
        <v>0</v>
      </c>
    </row>
    <row r="353" spans="1:106" x14ac:dyDescent="0.2">
      <c r="A353">
        <f>ROW(Source!A240)</f>
        <v>240</v>
      </c>
      <c r="B353">
        <v>39096431</v>
      </c>
      <c r="C353">
        <v>39097016</v>
      </c>
      <c r="D353">
        <v>36800424</v>
      </c>
      <c r="E353">
        <v>1</v>
      </c>
      <c r="F353">
        <v>1</v>
      </c>
      <c r="G353">
        <v>1</v>
      </c>
      <c r="H353">
        <v>3</v>
      </c>
      <c r="I353" t="s">
        <v>930</v>
      </c>
      <c r="J353" t="s">
        <v>931</v>
      </c>
      <c r="K353" t="s">
        <v>932</v>
      </c>
      <c r="L353">
        <v>1346</v>
      </c>
      <c r="N353">
        <v>1009</v>
      </c>
      <c r="O353" t="s">
        <v>138</v>
      </c>
      <c r="P353" t="s">
        <v>138</v>
      </c>
      <c r="Q353">
        <v>1</v>
      </c>
      <c r="W353">
        <v>0</v>
      </c>
      <c r="X353">
        <v>1559187994</v>
      </c>
      <c r="Y353">
        <v>2.0000000000000001E-4</v>
      </c>
      <c r="AA353">
        <v>186.14</v>
      </c>
      <c r="AB353">
        <v>0</v>
      </c>
      <c r="AC353">
        <v>0</v>
      </c>
      <c r="AD353">
        <v>0</v>
      </c>
      <c r="AE353">
        <v>27.74</v>
      </c>
      <c r="AF353">
        <v>0</v>
      </c>
      <c r="AG353">
        <v>0</v>
      </c>
      <c r="AH353">
        <v>0</v>
      </c>
      <c r="AI353">
        <v>6.71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2.0000000000000001E-4</v>
      </c>
      <c r="AU353" t="s">
        <v>3</v>
      </c>
      <c r="AV353">
        <v>0</v>
      </c>
      <c r="AW353">
        <v>2</v>
      </c>
      <c r="AX353">
        <v>39097026</v>
      </c>
      <c r="AY353">
        <v>1</v>
      </c>
      <c r="AZ353">
        <v>0</v>
      </c>
      <c r="BA353">
        <v>337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Y353*Source!I240</f>
        <v>1.0400000000000001E-2</v>
      </c>
      <c r="CY353">
        <f t="shared" ref="CY353:CY359" si="33">AA353</f>
        <v>186.14</v>
      </c>
      <c r="CZ353">
        <f t="shared" ref="CZ353:CZ359" si="34">AE353</f>
        <v>27.74</v>
      </c>
      <c r="DA353">
        <f t="shared" ref="DA353:DA359" si="35">AI353</f>
        <v>6.71</v>
      </c>
      <c r="DB353">
        <v>0</v>
      </c>
    </row>
    <row r="354" spans="1:106" x14ac:dyDescent="0.2">
      <c r="A354">
        <f>ROW(Source!A240)</f>
        <v>240</v>
      </c>
      <c r="B354">
        <v>39096431</v>
      </c>
      <c r="C354">
        <v>39097016</v>
      </c>
      <c r="D354">
        <v>36804578</v>
      </c>
      <c r="E354">
        <v>1</v>
      </c>
      <c r="F354">
        <v>1</v>
      </c>
      <c r="G354">
        <v>1</v>
      </c>
      <c r="H354">
        <v>3</v>
      </c>
      <c r="I354" t="s">
        <v>933</v>
      </c>
      <c r="J354" t="s">
        <v>934</v>
      </c>
      <c r="K354" t="s">
        <v>935</v>
      </c>
      <c r="L354">
        <v>1355</v>
      </c>
      <c r="N354">
        <v>1010</v>
      </c>
      <c r="O354" t="s">
        <v>161</v>
      </c>
      <c r="P354" t="s">
        <v>161</v>
      </c>
      <c r="Q354">
        <v>100</v>
      </c>
      <c r="W354">
        <v>0</v>
      </c>
      <c r="X354">
        <v>-66531260</v>
      </c>
      <c r="Y354">
        <v>0.01</v>
      </c>
      <c r="AA354">
        <v>556.92999999999995</v>
      </c>
      <c r="AB354">
        <v>0</v>
      </c>
      <c r="AC354">
        <v>0</v>
      </c>
      <c r="AD354">
        <v>0</v>
      </c>
      <c r="AE354">
        <v>83</v>
      </c>
      <c r="AF354">
        <v>0</v>
      </c>
      <c r="AG354">
        <v>0</v>
      </c>
      <c r="AH354">
        <v>0</v>
      </c>
      <c r="AI354">
        <v>6.71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0.01</v>
      </c>
      <c r="AU354" t="s">
        <v>3</v>
      </c>
      <c r="AV354">
        <v>0</v>
      </c>
      <c r="AW354">
        <v>2</v>
      </c>
      <c r="AX354">
        <v>39097027</v>
      </c>
      <c r="AY354">
        <v>1</v>
      </c>
      <c r="AZ354">
        <v>0</v>
      </c>
      <c r="BA354">
        <v>338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Y354*Source!I240</f>
        <v>0.52</v>
      </c>
      <c r="CY354">
        <f t="shared" si="33"/>
        <v>556.92999999999995</v>
      </c>
      <c r="CZ354">
        <f t="shared" si="34"/>
        <v>83</v>
      </c>
      <c r="DA354">
        <f t="shared" si="35"/>
        <v>6.71</v>
      </c>
      <c r="DB354">
        <v>0</v>
      </c>
    </row>
    <row r="355" spans="1:106" x14ac:dyDescent="0.2">
      <c r="A355">
        <f>ROW(Source!A240)</f>
        <v>240</v>
      </c>
      <c r="B355">
        <v>39096431</v>
      </c>
      <c r="C355">
        <v>39097016</v>
      </c>
      <c r="D355">
        <v>36806488</v>
      </c>
      <c r="E355">
        <v>1</v>
      </c>
      <c r="F355">
        <v>1</v>
      </c>
      <c r="G355">
        <v>1</v>
      </c>
      <c r="H355">
        <v>3</v>
      </c>
      <c r="I355" t="s">
        <v>674</v>
      </c>
      <c r="J355" t="s">
        <v>675</v>
      </c>
      <c r="K355" t="s">
        <v>676</v>
      </c>
      <c r="L355">
        <v>1348</v>
      </c>
      <c r="N355">
        <v>1009</v>
      </c>
      <c r="O355" t="s">
        <v>110</v>
      </c>
      <c r="P355" t="s">
        <v>110</v>
      </c>
      <c r="Q355">
        <v>1000</v>
      </c>
      <c r="W355">
        <v>0</v>
      </c>
      <c r="X355">
        <v>-1421715385</v>
      </c>
      <c r="Y355">
        <v>1.0000000000000001E-5</v>
      </c>
      <c r="AA355">
        <v>4898.17</v>
      </c>
      <c r="AB355">
        <v>0</v>
      </c>
      <c r="AC355">
        <v>0</v>
      </c>
      <c r="AD355">
        <v>0</v>
      </c>
      <c r="AE355">
        <v>729.98</v>
      </c>
      <c r="AF355">
        <v>0</v>
      </c>
      <c r="AG355">
        <v>0</v>
      </c>
      <c r="AH355">
        <v>0</v>
      </c>
      <c r="AI355">
        <v>6.71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1.0000000000000001E-5</v>
      </c>
      <c r="AU355" t="s">
        <v>3</v>
      </c>
      <c r="AV355">
        <v>0</v>
      </c>
      <c r="AW355">
        <v>2</v>
      </c>
      <c r="AX355">
        <v>39097028</v>
      </c>
      <c r="AY355">
        <v>1</v>
      </c>
      <c r="AZ355">
        <v>0</v>
      </c>
      <c r="BA355">
        <v>339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Y355*Source!I240</f>
        <v>5.2000000000000006E-4</v>
      </c>
      <c r="CY355">
        <f t="shared" si="33"/>
        <v>4898.17</v>
      </c>
      <c r="CZ355">
        <f t="shared" si="34"/>
        <v>729.98</v>
      </c>
      <c r="DA355">
        <f t="shared" si="35"/>
        <v>6.71</v>
      </c>
      <c r="DB355">
        <v>0</v>
      </c>
    </row>
    <row r="356" spans="1:106" x14ac:dyDescent="0.2">
      <c r="A356">
        <f>ROW(Source!A240)</f>
        <v>240</v>
      </c>
      <c r="B356">
        <v>39096431</v>
      </c>
      <c r="C356">
        <v>39097016</v>
      </c>
      <c r="D356">
        <v>36829536</v>
      </c>
      <c r="E356">
        <v>1</v>
      </c>
      <c r="F356">
        <v>1</v>
      </c>
      <c r="G356">
        <v>1</v>
      </c>
      <c r="H356">
        <v>3</v>
      </c>
      <c r="I356" t="s">
        <v>936</v>
      </c>
      <c r="J356" t="s">
        <v>937</v>
      </c>
      <c r="K356" t="s">
        <v>938</v>
      </c>
      <c r="L356">
        <v>1346</v>
      </c>
      <c r="N356">
        <v>1009</v>
      </c>
      <c r="O356" t="s">
        <v>138</v>
      </c>
      <c r="P356" t="s">
        <v>138</v>
      </c>
      <c r="Q356">
        <v>1</v>
      </c>
      <c r="W356">
        <v>0</v>
      </c>
      <c r="X356">
        <v>-1726842289</v>
      </c>
      <c r="Y356">
        <v>2E-3</v>
      </c>
      <c r="AA356">
        <v>441.18</v>
      </c>
      <c r="AB356">
        <v>0</v>
      </c>
      <c r="AC356">
        <v>0</v>
      </c>
      <c r="AD356">
        <v>0</v>
      </c>
      <c r="AE356">
        <v>65.75</v>
      </c>
      <c r="AF356">
        <v>0</v>
      </c>
      <c r="AG356">
        <v>0</v>
      </c>
      <c r="AH356">
        <v>0</v>
      </c>
      <c r="AI356">
        <v>6.71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2E-3</v>
      </c>
      <c r="AU356" t="s">
        <v>3</v>
      </c>
      <c r="AV356">
        <v>0</v>
      </c>
      <c r="AW356">
        <v>2</v>
      </c>
      <c r="AX356">
        <v>39097029</v>
      </c>
      <c r="AY356">
        <v>1</v>
      </c>
      <c r="AZ356">
        <v>0</v>
      </c>
      <c r="BA356">
        <v>340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Y356*Source!I240</f>
        <v>0.10400000000000001</v>
      </c>
      <c r="CY356">
        <f t="shared" si="33"/>
        <v>441.18</v>
      </c>
      <c r="CZ356">
        <f t="shared" si="34"/>
        <v>65.75</v>
      </c>
      <c r="DA356">
        <f t="shared" si="35"/>
        <v>6.71</v>
      </c>
      <c r="DB356">
        <v>0</v>
      </c>
    </row>
    <row r="357" spans="1:106" x14ac:dyDescent="0.2">
      <c r="A357">
        <f>ROW(Source!A240)</f>
        <v>240</v>
      </c>
      <c r="B357">
        <v>39096431</v>
      </c>
      <c r="C357">
        <v>39097016</v>
      </c>
      <c r="D357">
        <v>36836995</v>
      </c>
      <c r="E357">
        <v>1</v>
      </c>
      <c r="F357">
        <v>1</v>
      </c>
      <c r="G357">
        <v>1</v>
      </c>
      <c r="H357">
        <v>3</v>
      </c>
      <c r="I357" t="s">
        <v>939</v>
      </c>
      <c r="J357" t="s">
        <v>940</v>
      </c>
      <c r="K357" t="s">
        <v>941</v>
      </c>
      <c r="L357">
        <v>1346</v>
      </c>
      <c r="N357">
        <v>1009</v>
      </c>
      <c r="O357" t="s">
        <v>138</v>
      </c>
      <c r="P357" t="s">
        <v>138</v>
      </c>
      <c r="Q357">
        <v>1</v>
      </c>
      <c r="W357">
        <v>0</v>
      </c>
      <c r="X357">
        <v>497371595</v>
      </c>
      <c r="Y357">
        <v>5.0000000000000001E-3</v>
      </c>
      <c r="AA357">
        <v>194.12</v>
      </c>
      <c r="AB357">
        <v>0</v>
      </c>
      <c r="AC357">
        <v>0</v>
      </c>
      <c r="AD357">
        <v>0</v>
      </c>
      <c r="AE357">
        <v>28.93</v>
      </c>
      <c r="AF357">
        <v>0</v>
      </c>
      <c r="AG357">
        <v>0</v>
      </c>
      <c r="AH357">
        <v>0</v>
      </c>
      <c r="AI357">
        <v>6.71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5.0000000000000001E-3</v>
      </c>
      <c r="AU357" t="s">
        <v>3</v>
      </c>
      <c r="AV357">
        <v>0</v>
      </c>
      <c r="AW357">
        <v>2</v>
      </c>
      <c r="AX357">
        <v>39097030</v>
      </c>
      <c r="AY357">
        <v>1</v>
      </c>
      <c r="AZ357">
        <v>0</v>
      </c>
      <c r="BA357">
        <v>341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Y357*Source!I240</f>
        <v>0.26</v>
      </c>
      <c r="CY357">
        <f t="shared" si="33"/>
        <v>194.12</v>
      </c>
      <c r="CZ357">
        <f t="shared" si="34"/>
        <v>28.93</v>
      </c>
      <c r="DA357">
        <f t="shared" si="35"/>
        <v>6.71</v>
      </c>
      <c r="DB357">
        <v>0</v>
      </c>
    </row>
    <row r="358" spans="1:106" x14ac:dyDescent="0.2">
      <c r="A358">
        <f>ROW(Source!A240)</f>
        <v>240</v>
      </c>
      <c r="B358">
        <v>39096431</v>
      </c>
      <c r="C358">
        <v>39097016</v>
      </c>
      <c r="D358">
        <v>36872161</v>
      </c>
      <c r="E358">
        <v>1</v>
      </c>
      <c r="F358">
        <v>1</v>
      </c>
      <c r="G358">
        <v>1</v>
      </c>
      <c r="H358">
        <v>3</v>
      </c>
      <c r="I358" t="s">
        <v>565</v>
      </c>
      <c r="J358" t="s">
        <v>567</v>
      </c>
      <c r="K358" t="s">
        <v>566</v>
      </c>
      <c r="L358">
        <v>1358</v>
      </c>
      <c r="N358">
        <v>1010</v>
      </c>
      <c r="O358" t="s">
        <v>436</v>
      </c>
      <c r="P358" t="s">
        <v>436</v>
      </c>
      <c r="Q358">
        <v>10</v>
      </c>
      <c r="W358">
        <v>0</v>
      </c>
      <c r="X358">
        <v>-1633447119</v>
      </c>
      <c r="Y358">
        <v>0.1</v>
      </c>
      <c r="AA358">
        <v>1927.65</v>
      </c>
      <c r="AB358">
        <v>0</v>
      </c>
      <c r="AC358">
        <v>0</v>
      </c>
      <c r="AD358">
        <v>0</v>
      </c>
      <c r="AE358">
        <v>287.27999999999997</v>
      </c>
      <c r="AF358">
        <v>0</v>
      </c>
      <c r="AG358">
        <v>0</v>
      </c>
      <c r="AH358">
        <v>0</v>
      </c>
      <c r="AI358">
        <v>6.71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3</v>
      </c>
      <c r="AT358">
        <v>0.1</v>
      </c>
      <c r="AU358" t="s">
        <v>3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Y358*Source!I240</f>
        <v>5.2</v>
      </c>
      <c r="CY358">
        <f t="shared" si="33"/>
        <v>1927.65</v>
      </c>
      <c r="CZ358">
        <f t="shared" si="34"/>
        <v>287.27999999999997</v>
      </c>
      <c r="DA358">
        <f t="shared" si="35"/>
        <v>6.71</v>
      </c>
      <c r="DB358">
        <v>0</v>
      </c>
    </row>
    <row r="359" spans="1:106" x14ac:dyDescent="0.2">
      <c r="A359">
        <f>ROW(Source!A240)</f>
        <v>240</v>
      </c>
      <c r="B359">
        <v>39096431</v>
      </c>
      <c r="C359">
        <v>39097016</v>
      </c>
      <c r="D359">
        <v>36799065</v>
      </c>
      <c r="E359">
        <v>17</v>
      </c>
      <c r="F359">
        <v>1</v>
      </c>
      <c r="G359">
        <v>1</v>
      </c>
      <c r="H359">
        <v>3</v>
      </c>
      <c r="I359" t="s">
        <v>835</v>
      </c>
      <c r="J359" t="s">
        <v>3</v>
      </c>
      <c r="K359" t="s">
        <v>836</v>
      </c>
      <c r="L359">
        <v>1374</v>
      </c>
      <c r="N359">
        <v>1013</v>
      </c>
      <c r="O359" t="s">
        <v>837</v>
      </c>
      <c r="P359" t="s">
        <v>837</v>
      </c>
      <c r="Q359">
        <v>1</v>
      </c>
      <c r="W359">
        <v>0</v>
      </c>
      <c r="X359">
        <v>-1731369543</v>
      </c>
      <c r="Y359">
        <v>0.16</v>
      </c>
      <c r="AA359">
        <v>1</v>
      </c>
      <c r="AB359">
        <v>0</v>
      </c>
      <c r="AC359">
        <v>0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0.16</v>
      </c>
      <c r="AU359" t="s">
        <v>3</v>
      </c>
      <c r="AV359">
        <v>0</v>
      </c>
      <c r="AW359">
        <v>2</v>
      </c>
      <c r="AX359">
        <v>39097031</v>
      </c>
      <c r="AY359">
        <v>1</v>
      </c>
      <c r="AZ359">
        <v>0</v>
      </c>
      <c r="BA359">
        <v>342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Y359*Source!I240</f>
        <v>8.32</v>
      </c>
      <c r="CY359">
        <f t="shared" si="33"/>
        <v>1</v>
      </c>
      <c r="CZ359">
        <f t="shared" si="34"/>
        <v>1</v>
      </c>
      <c r="DA359">
        <f t="shared" si="35"/>
        <v>1</v>
      </c>
      <c r="DB359">
        <v>0</v>
      </c>
    </row>
    <row r="360" spans="1:106" x14ac:dyDescent="0.2">
      <c r="A360">
        <f>ROW(Source!A242)</f>
        <v>242</v>
      </c>
      <c r="B360">
        <v>39096431</v>
      </c>
      <c r="C360">
        <v>39490143</v>
      </c>
      <c r="D360">
        <v>37080781</v>
      </c>
      <c r="E360">
        <v>1</v>
      </c>
      <c r="F360">
        <v>1</v>
      </c>
      <c r="G360">
        <v>1</v>
      </c>
      <c r="H360">
        <v>1</v>
      </c>
      <c r="I360" t="s">
        <v>702</v>
      </c>
      <c r="J360" t="s">
        <v>3</v>
      </c>
      <c r="K360" t="s">
        <v>703</v>
      </c>
      <c r="L360">
        <v>1191</v>
      </c>
      <c r="N360">
        <v>1013</v>
      </c>
      <c r="O360" t="s">
        <v>660</v>
      </c>
      <c r="P360" t="s">
        <v>660</v>
      </c>
      <c r="Q360">
        <v>1</v>
      </c>
      <c r="W360">
        <v>0</v>
      </c>
      <c r="X360">
        <v>912892513</v>
      </c>
      <c r="Y360">
        <v>5.4</v>
      </c>
      <c r="AA360">
        <v>0</v>
      </c>
      <c r="AB360">
        <v>0</v>
      </c>
      <c r="AC360">
        <v>0</v>
      </c>
      <c r="AD360">
        <v>66.56</v>
      </c>
      <c r="AE360">
        <v>0</v>
      </c>
      <c r="AF360">
        <v>0</v>
      </c>
      <c r="AG360">
        <v>0</v>
      </c>
      <c r="AH360">
        <v>9.92</v>
      </c>
      <c r="AI360">
        <v>1</v>
      </c>
      <c r="AJ360">
        <v>1</v>
      </c>
      <c r="AK360">
        <v>1</v>
      </c>
      <c r="AL360">
        <v>6.71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5.4</v>
      </c>
      <c r="AU360" t="s">
        <v>3</v>
      </c>
      <c r="AV360">
        <v>1</v>
      </c>
      <c r="AW360">
        <v>2</v>
      </c>
      <c r="AX360">
        <v>39490144</v>
      </c>
      <c r="AY360">
        <v>1</v>
      </c>
      <c r="AZ360">
        <v>0</v>
      </c>
      <c r="BA360">
        <v>343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Y360*Source!I242</f>
        <v>14.040000000000001</v>
      </c>
      <c r="CY360">
        <f>AD360</f>
        <v>66.56</v>
      </c>
      <c r="CZ360">
        <f>AH360</f>
        <v>9.92</v>
      </c>
      <c r="DA360">
        <f>AL360</f>
        <v>6.71</v>
      </c>
      <c r="DB360">
        <v>0</v>
      </c>
    </row>
    <row r="361" spans="1:106" x14ac:dyDescent="0.2">
      <c r="A361">
        <f>ROW(Source!A242)</f>
        <v>242</v>
      </c>
      <c r="B361">
        <v>39096431</v>
      </c>
      <c r="C361">
        <v>39490143</v>
      </c>
      <c r="D361">
        <v>36800424</v>
      </c>
      <c r="E361">
        <v>1</v>
      </c>
      <c r="F361">
        <v>1</v>
      </c>
      <c r="G361">
        <v>1</v>
      </c>
      <c r="H361">
        <v>3</v>
      </c>
      <c r="I361" t="s">
        <v>930</v>
      </c>
      <c r="J361" t="s">
        <v>931</v>
      </c>
      <c r="K361" t="s">
        <v>932</v>
      </c>
      <c r="L361">
        <v>1346</v>
      </c>
      <c r="N361">
        <v>1009</v>
      </c>
      <c r="O361" t="s">
        <v>138</v>
      </c>
      <c r="P361" t="s">
        <v>138</v>
      </c>
      <c r="Q361">
        <v>1</v>
      </c>
      <c r="W361">
        <v>0</v>
      </c>
      <c r="X361">
        <v>1559187994</v>
      </c>
      <c r="Y361">
        <v>1.2E-2</v>
      </c>
      <c r="AA361">
        <v>186.14</v>
      </c>
      <c r="AB361">
        <v>0</v>
      </c>
      <c r="AC361">
        <v>0</v>
      </c>
      <c r="AD361">
        <v>0</v>
      </c>
      <c r="AE361">
        <v>27.74</v>
      </c>
      <c r="AF361">
        <v>0</v>
      </c>
      <c r="AG361">
        <v>0</v>
      </c>
      <c r="AH361">
        <v>0</v>
      </c>
      <c r="AI361">
        <v>6.71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1.2E-2</v>
      </c>
      <c r="AU361" t="s">
        <v>3</v>
      </c>
      <c r="AV361">
        <v>0</v>
      </c>
      <c r="AW361">
        <v>2</v>
      </c>
      <c r="AX361">
        <v>39490145</v>
      </c>
      <c r="AY361">
        <v>1</v>
      </c>
      <c r="AZ361">
        <v>0</v>
      </c>
      <c r="BA361">
        <v>344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Y361*Source!I242</f>
        <v>3.1200000000000002E-2</v>
      </c>
      <c r="CY361">
        <f>AA361</f>
        <v>186.14</v>
      </c>
      <c r="CZ361">
        <f>AE361</f>
        <v>27.74</v>
      </c>
      <c r="DA361">
        <f>AI361</f>
        <v>6.71</v>
      </c>
      <c r="DB361">
        <v>0</v>
      </c>
    </row>
    <row r="362" spans="1:106" x14ac:dyDescent="0.2">
      <c r="A362">
        <f>ROW(Source!A242)</f>
        <v>242</v>
      </c>
      <c r="B362">
        <v>39096431</v>
      </c>
      <c r="C362">
        <v>39490143</v>
      </c>
      <c r="D362">
        <v>36804578</v>
      </c>
      <c r="E362">
        <v>1</v>
      </c>
      <c r="F362">
        <v>1</v>
      </c>
      <c r="G362">
        <v>1</v>
      </c>
      <c r="H362">
        <v>3</v>
      </c>
      <c r="I362" t="s">
        <v>933</v>
      </c>
      <c r="J362" t="s">
        <v>934</v>
      </c>
      <c r="K362" t="s">
        <v>935</v>
      </c>
      <c r="L362">
        <v>1355</v>
      </c>
      <c r="N362">
        <v>1010</v>
      </c>
      <c r="O362" t="s">
        <v>161</v>
      </c>
      <c r="P362" t="s">
        <v>161</v>
      </c>
      <c r="Q362">
        <v>100</v>
      </c>
      <c r="W362">
        <v>0</v>
      </c>
      <c r="X362">
        <v>-66531260</v>
      </c>
      <c r="Y362">
        <v>0.04</v>
      </c>
      <c r="AA362">
        <v>556.92999999999995</v>
      </c>
      <c r="AB362">
        <v>0</v>
      </c>
      <c r="AC362">
        <v>0</v>
      </c>
      <c r="AD362">
        <v>0</v>
      </c>
      <c r="AE362">
        <v>83</v>
      </c>
      <c r="AF362">
        <v>0</v>
      </c>
      <c r="AG362">
        <v>0</v>
      </c>
      <c r="AH362">
        <v>0</v>
      </c>
      <c r="AI362">
        <v>6.71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0.04</v>
      </c>
      <c r="AU362" t="s">
        <v>3</v>
      </c>
      <c r="AV362">
        <v>0</v>
      </c>
      <c r="AW362">
        <v>2</v>
      </c>
      <c r="AX362">
        <v>39490146</v>
      </c>
      <c r="AY362">
        <v>1</v>
      </c>
      <c r="AZ362">
        <v>0</v>
      </c>
      <c r="BA362">
        <v>345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Y362*Source!I242</f>
        <v>0.10400000000000001</v>
      </c>
      <c r="CY362">
        <f>AA362</f>
        <v>556.92999999999995</v>
      </c>
      <c r="CZ362">
        <f>AE362</f>
        <v>83</v>
      </c>
      <c r="DA362">
        <f>AI362</f>
        <v>6.71</v>
      </c>
      <c r="DB362">
        <v>0</v>
      </c>
    </row>
    <row r="363" spans="1:106" x14ac:dyDescent="0.2">
      <c r="A363">
        <f>ROW(Source!A242)</f>
        <v>242</v>
      </c>
      <c r="B363">
        <v>39096431</v>
      </c>
      <c r="C363">
        <v>39490143</v>
      </c>
      <c r="D363">
        <v>36829536</v>
      </c>
      <c r="E363">
        <v>1</v>
      </c>
      <c r="F363">
        <v>1</v>
      </c>
      <c r="G363">
        <v>1</v>
      </c>
      <c r="H363">
        <v>3</v>
      </c>
      <c r="I363" t="s">
        <v>936</v>
      </c>
      <c r="J363" t="s">
        <v>937</v>
      </c>
      <c r="K363" t="s">
        <v>938</v>
      </c>
      <c r="L363">
        <v>1346</v>
      </c>
      <c r="N363">
        <v>1009</v>
      </c>
      <c r="O363" t="s">
        <v>138</v>
      </c>
      <c r="P363" t="s">
        <v>138</v>
      </c>
      <c r="Q363">
        <v>1</v>
      </c>
      <c r="W363">
        <v>0</v>
      </c>
      <c r="X363">
        <v>-1726842289</v>
      </c>
      <c r="Y363">
        <v>0.12</v>
      </c>
      <c r="AA363">
        <v>441.18</v>
      </c>
      <c r="AB363">
        <v>0</v>
      </c>
      <c r="AC363">
        <v>0</v>
      </c>
      <c r="AD363">
        <v>0</v>
      </c>
      <c r="AE363">
        <v>65.75</v>
      </c>
      <c r="AF363">
        <v>0</v>
      </c>
      <c r="AG363">
        <v>0</v>
      </c>
      <c r="AH363">
        <v>0</v>
      </c>
      <c r="AI363">
        <v>6.71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0.12</v>
      </c>
      <c r="AU363" t="s">
        <v>3</v>
      </c>
      <c r="AV363">
        <v>0</v>
      </c>
      <c r="AW363">
        <v>2</v>
      </c>
      <c r="AX363">
        <v>39490147</v>
      </c>
      <c r="AY363">
        <v>1</v>
      </c>
      <c r="AZ363">
        <v>0</v>
      </c>
      <c r="BA363">
        <v>346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Y363*Source!I242</f>
        <v>0.312</v>
      </c>
      <c r="CY363">
        <f>AA363</f>
        <v>441.18</v>
      </c>
      <c r="CZ363">
        <f>AE363</f>
        <v>65.75</v>
      </c>
      <c r="DA363">
        <f>AI363</f>
        <v>6.71</v>
      </c>
      <c r="DB363">
        <v>0</v>
      </c>
    </row>
    <row r="364" spans="1:106" x14ac:dyDescent="0.2">
      <c r="A364">
        <f>ROW(Source!A242)</f>
        <v>242</v>
      </c>
      <c r="B364">
        <v>39096431</v>
      </c>
      <c r="C364">
        <v>39490143</v>
      </c>
      <c r="D364">
        <v>36872799</v>
      </c>
      <c r="E364">
        <v>1</v>
      </c>
      <c r="F364">
        <v>1</v>
      </c>
      <c r="G364">
        <v>1</v>
      </c>
      <c r="H364">
        <v>3</v>
      </c>
      <c r="I364" t="s">
        <v>574</v>
      </c>
      <c r="J364" t="s">
        <v>576</v>
      </c>
      <c r="K364" t="s">
        <v>575</v>
      </c>
      <c r="L364">
        <v>1354</v>
      </c>
      <c r="N364">
        <v>1010</v>
      </c>
      <c r="O364" t="s">
        <v>46</v>
      </c>
      <c r="P364" t="s">
        <v>46</v>
      </c>
      <c r="Q364">
        <v>1</v>
      </c>
      <c r="W364">
        <v>0</v>
      </c>
      <c r="X364">
        <v>-1091684358</v>
      </c>
      <c r="Y364">
        <v>10</v>
      </c>
      <c r="AA364">
        <v>388.64</v>
      </c>
      <c r="AB364">
        <v>0</v>
      </c>
      <c r="AC364">
        <v>0</v>
      </c>
      <c r="AD364">
        <v>0</v>
      </c>
      <c r="AE364">
        <v>57.92</v>
      </c>
      <c r="AF364">
        <v>0</v>
      </c>
      <c r="AG364">
        <v>0</v>
      </c>
      <c r="AH364">
        <v>0</v>
      </c>
      <c r="AI364">
        <v>6.71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3</v>
      </c>
      <c r="AT364">
        <v>10</v>
      </c>
      <c r="AU364" t="s">
        <v>3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3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Y364*Source!I242</f>
        <v>26</v>
      </c>
      <c r="CY364">
        <f>AA364</f>
        <v>388.64</v>
      </c>
      <c r="CZ364">
        <f>AE364</f>
        <v>57.92</v>
      </c>
      <c r="DA364">
        <f>AI364</f>
        <v>6.71</v>
      </c>
      <c r="DB364">
        <v>0</v>
      </c>
    </row>
    <row r="365" spans="1:106" x14ac:dyDescent="0.2">
      <c r="A365">
        <f>ROW(Source!A242)</f>
        <v>242</v>
      </c>
      <c r="B365">
        <v>39096431</v>
      </c>
      <c r="C365">
        <v>39490143</v>
      </c>
      <c r="D365">
        <v>36799065</v>
      </c>
      <c r="E365">
        <v>17</v>
      </c>
      <c r="F365">
        <v>1</v>
      </c>
      <c r="G365">
        <v>1</v>
      </c>
      <c r="H365">
        <v>3</v>
      </c>
      <c r="I365" t="s">
        <v>835</v>
      </c>
      <c r="J365" t="s">
        <v>3</v>
      </c>
      <c r="K365" t="s">
        <v>836</v>
      </c>
      <c r="L365">
        <v>1374</v>
      </c>
      <c r="N365">
        <v>1013</v>
      </c>
      <c r="O365" t="s">
        <v>837</v>
      </c>
      <c r="P365" t="s">
        <v>837</v>
      </c>
      <c r="Q365">
        <v>1</v>
      </c>
      <c r="W365">
        <v>0</v>
      </c>
      <c r="X365">
        <v>-1731369543</v>
      </c>
      <c r="Y365">
        <v>1.07</v>
      </c>
      <c r="AA365">
        <v>1</v>
      </c>
      <c r="AB365">
        <v>0</v>
      </c>
      <c r="AC365">
        <v>0</v>
      </c>
      <c r="AD365">
        <v>0</v>
      </c>
      <c r="AE365">
        <v>1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1.07</v>
      </c>
      <c r="AU365" t="s">
        <v>3</v>
      </c>
      <c r="AV365">
        <v>0</v>
      </c>
      <c r="AW365">
        <v>2</v>
      </c>
      <c r="AX365">
        <v>39490148</v>
      </c>
      <c r="AY365">
        <v>1</v>
      </c>
      <c r="AZ365">
        <v>0</v>
      </c>
      <c r="BA365">
        <v>347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Y365*Source!I242</f>
        <v>2.7820000000000005</v>
      </c>
      <c r="CY365">
        <f>AA365</f>
        <v>1</v>
      </c>
      <c r="CZ365">
        <f>AE365</f>
        <v>1</v>
      </c>
      <c r="DA365">
        <f>AI365</f>
        <v>1</v>
      </c>
      <c r="DB365">
        <v>0</v>
      </c>
    </row>
    <row r="366" spans="1:106" x14ac:dyDescent="0.2">
      <c r="A366">
        <f>ROW(Source!A244)</f>
        <v>244</v>
      </c>
      <c r="B366">
        <v>39096431</v>
      </c>
      <c r="C366">
        <v>39097033</v>
      </c>
      <c r="D366">
        <v>37072767</v>
      </c>
      <c r="E366">
        <v>1</v>
      </c>
      <c r="F366">
        <v>1</v>
      </c>
      <c r="G366">
        <v>1</v>
      </c>
      <c r="H366">
        <v>1</v>
      </c>
      <c r="I366" t="s">
        <v>733</v>
      </c>
      <c r="J366" t="s">
        <v>3</v>
      </c>
      <c r="K366" t="s">
        <v>734</v>
      </c>
      <c r="L366">
        <v>1191</v>
      </c>
      <c r="N366">
        <v>1013</v>
      </c>
      <c r="O366" t="s">
        <v>660</v>
      </c>
      <c r="P366" t="s">
        <v>660</v>
      </c>
      <c r="Q366">
        <v>1</v>
      </c>
      <c r="W366">
        <v>0</v>
      </c>
      <c r="X366">
        <v>-1027537862</v>
      </c>
      <c r="Y366">
        <v>15.2</v>
      </c>
      <c r="AA366">
        <v>0</v>
      </c>
      <c r="AB366">
        <v>0</v>
      </c>
      <c r="AC366">
        <v>0</v>
      </c>
      <c r="AD366">
        <v>61.6</v>
      </c>
      <c r="AE366">
        <v>0</v>
      </c>
      <c r="AF366">
        <v>0</v>
      </c>
      <c r="AG366">
        <v>0</v>
      </c>
      <c r="AH366">
        <v>9.18</v>
      </c>
      <c r="AI366">
        <v>1</v>
      </c>
      <c r="AJ366">
        <v>1</v>
      </c>
      <c r="AK366">
        <v>1</v>
      </c>
      <c r="AL366">
        <v>6.71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15.2</v>
      </c>
      <c r="AU366" t="s">
        <v>3</v>
      </c>
      <c r="AV366">
        <v>1</v>
      </c>
      <c r="AW366">
        <v>2</v>
      </c>
      <c r="AX366">
        <v>39097038</v>
      </c>
      <c r="AY366">
        <v>1</v>
      </c>
      <c r="AZ366">
        <v>0</v>
      </c>
      <c r="BA366">
        <v>348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Y366*Source!I244</f>
        <v>8.8159999999999989</v>
      </c>
      <c r="CY366">
        <f>AD366</f>
        <v>61.6</v>
      </c>
      <c r="CZ366">
        <f>AH366</f>
        <v>9.18</v>
      </c>
      <c r="DA366">
        <f>AL366</f>
        <v>6.71</v>
      </c>
      <c r="DB366">
        <v>0</v>
      </c>
    </row>
    <row r="367" spans="1:106" x14ac:dyDescent="0.2">
      <c r="A367">
        <f>ROW(Source!A244)</f>
        <v>244</v>
      </c>
      <c r="B367">
        <v>39096431</v>
      </c>
      <c r="C367">
        <v>39097033</v>
      </c>
      <c r="D367">
        <v>36804661</v>
      </c>
      <c r="E367">
        <v>1</v>
      </c>
      <c r="F367">
        <v>1</v>
      </c>
      <c r="G367">
        <v>1</v>
      </c>
      <c r="H367">
        <v>3</v>
      </c>
      <c r="I367" t="s">
        <v>899</v>
      </c>
      <c r="J367" t="s">
        <v>900</v>
      </c>
      <c r="K367" t="s">
        <v>901</v>
      </c>
      <c r="L367">
        <v>1355</v>
      </c>
      <c r="N367">
        <v>1010</v>
      </c>
      <c r="O367" t="s">
        <v>161</v>
      </c>
      <c r="P367" t="s">
        <v>161</v>
      </c>
      <c r="Q367">
        <v>100</v>
      </c>
      <c r="W367">
        <v>0</v>
      </c>
      <c r="X367">
        <v>1135215184</v>
      </c>
      <c r="Y367">
        <v>1.75</v>
      </c>
      <c r="AA367">
        <v>53.68</v>
      </c>
      <c r="AB367">
        <v>0</v>
      </c>
      <c r="AC367">
        <v>0</v>
      </c>
      <c r="AD367">
        <v>0</v>
      </c>
      <c r="AE367">
        <v>8</v>
      </c>
      <c r="AF367">
        <v>0</v>
      </c>
      <c r="AG367">
        <v>0</v>
      </c>
      <c r="AH367">
        <v>0</v>
      </c>
      <c r="AI367">
        <v>6.71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1.75</v>
      </c>
      <c r="AU367" t="s">
        <v>3</v>
      </c>
      <c r="AV367">
        <v>0</v>
      </c>
      <c r="AW367">
        <v>2</v>
      </c>
      <c r="AX367">
        <v>39097039</v>
      </c>
      <c r="AY367">
        <v>1</v>
      </c>
      <c r="AZ367">
        <v>0</v>
      </c>
      <c r="BA367">
        <v>349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Y367*Source!I244</f>
        <v>1.0149999999999999</v>
      </c>
      <c r="CY367">
        <f>AA367</f>
        <v>53.68</v>
      </c>
      <c r="CZ367">
        <f>AE367</f>
        <v>8</v>
      </c>
      <c r="DA367">
        <f>AI367</f>
        <v>6.71</v>
      </c>
      <c r="DB367">
        <v>0</v>
      </c>
    </row>
    <row r="368" spans="1:106" x14ac:dyDescent="0.2">
      <c r="A368">
        <f>ROW(Source!A244)</f>
        <v>244</v>
      </c>
      <c r="B368">
        <v>39096431</v>
      </c>
      <c r="C368">
        <v>39097033</v>
      </c>
      <c r="D368">
        <v>36868177</v>
      </c>
      <c r="E368">
        <v>1</v>
      </c>
      <c r="F368">
        <v>1</v>
      </c>
      <c r="G368">
        <v>1</v>
      </c>
      <c r="H368">
        <v>3</v>
      </c>
      <c r="I368" t="s">
        <v>579</v>
      </c>
      <c r="J368" t="s">
        <v>581</v>
      </c>
      <c r="K368" t="s">
        <v>580</v>
      </c>
      <c r="L368">
        <v>1302</v>
      </c>
      <c r="N368">
        <v>1003</v>
      </c>
      <c r="O368" t="s">
        <v>425</v>
      </c>
      <c r="P368" t="s">
        <v>425</v>
      </c>
      <c r="Q368">
        <v>10</v>
      </c>
      <c r="W368">
        <v>0</v>
      </c>
      <c r="X368">
        <v>1802750156</v>
      </c>
      <c r="Y368">
        <v>10</v>
      </c>
      <c r="AA368">
        <v>164.66</v>
      </c>
      <c r="AB368">
        <v>0</v>
      </c>
      <c r="AC368">
        <v>0</v>
      </c>
      <c r="AD368">
        <v>0</v>
      </c>
      <c r="AE368">
        <v>24.54</v>
      </c>
      <c r="AF368">
        <v>0</v>
      </c>
      <c r="AG368">
        <v>0</v>
      </c>
      <c r="AH368">
        <v>0</v>
      </c>
      <c r="AI368">
        <v>6.71</v>
      </c>
      <c r="AJ368">
        <v>1</v>
      </c>
      <c r="AK368">
        <v>1</v>
      </c>
      <c r="AL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3</v>
      </c>
      <c r="AT368">
        <v>10</v>
      </c>
      <c r="AU368" t="s">
        <v>3</v>
      </c>
      <c r="AV368">
        <v>0</v>
      </c>
      <c r="AW368">
        <v>1</v>
      </c>
      <c r="AX368">
        <v>-1</v>
      </c>
      <c r="AY368">
        <v>0</v>
      </c>
      <c r="AZ368">
        <v>0</v>
      </c>
      <c r="BA368" t="s">
        <v>3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Y368*Source!I244</f>
        <v>5.8</v>
      </c>
      <c r="CY368">
        <f>AA368</f>
        <v>164.66</v>
      </c>
      <c r="CZ368">
        <f>AE368</f>
        <v>24.54</v>
      </c>
      <c r="DA368">
        <f>AI368</f>
        <v>6.71</v>
      </c>
      <c r="DB368">
        <v>0</v>
      </c>
    </row>
    <row r="369" spans="1:106" x14ac:dyDescent="0.2">
      <c r="A369">
        <f>ROW(Source!A244)</f>
        <v>244</v>
      </c>
      <c r="B369">
        <v>39096431</v>
      </c>
      <c r="C369">
        <v>39097033</v>
      </c>
      <c r="D369">
        <v>36799065</v>
      </c>
      <c r="E369">
        <v>17</v>
      </c>
      <c r="F369">
        <v>1</v>
      </c>
      <c r="G369">
        <v>1</v>
      </c>
      <c r="H369">
        <v>3</v>
      </c>
      <c r="I369" t="s">
        <v>835</v>
      </c>
      <c r="J369" t="s">
        <v>3</v>
      </c>
      <c r="K369" t="s">
        <v>836</v>
      </c>
      <c r="L369">
        <v>1374</v>
      </c>
      <c r="N369">
        <v>1013</v>
      </c>
      <c r="O369" t="s">
        <v>837</v>
      </c>
      <c r="P369" t="s">
        <v>837</v>
      </c>
      <c r="Q369">
        <v>1</v>
      </c>
      <c r="W369">
        <v>0</v>
      </c>
      <c r="X369">
        <v>-1731369543</v>
      </c>
      <c r="Y369">
        <v>2.79</v>
      </c>
      <c r="AA369">
        <v>1</v>
      </c>
      <c r="AB369">
        <v>0</v>
      </c>
      <c r="AC369">
        <v>0</v>
      </c>
      <c r="AD369">
        <v>0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2.79</v>
      </c>
      <c r="AU369" t="s">
        <v>3</v>
      </c>
      <c r="AV369">
        <v>0</v>
      </c>
      <c r="AW369">
        <v>2</v>
      </c>
      <c r="AX369">
        <v>39097040</v>
      </c>
      <c r="AY369">
        <v>1</v>
      </c>
      <c r="AZ369">
        <v>0</v>
      </c>
      <c r="BA369">
        <v>350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Y369*Source!I244</f>
        <v>1.6181999999999999</v>
      </c>
      <c r="CY369">
        <f>AA369</f>
        <v>1</v>
      </c>
      <c r="CZ369">
        <f>AE369</f>
        <v>1</v>
      </c>
      <c r="DA369">
        <f>AI369</f>
        <v>1</v>
      </c>
      <c r="DB369">
        <v>0</v>
      </c>
    </row>
    <row r="370" spans="1:106" x14ac:dyDescent="0.2">
      <c r="A370">
        <f>ROW(Source!A246)</f>
        <v>246</v>
      </c>
      <c r="B370">
        <v>39096431</v>
      </c>
      <c r="C370">
        <v>39097042</v>
      </c>
      <c r="D370">
        <v>37064878</v>
      </c>
      <c r="E370">
        <v>1</v>
      </c>
      <c r="F370">
        <v>1</v>
      </c>
      <c r="G370">
        <v>1</v>
      </c>
      <c r="H370">
        <v>1</v>
      </c>
      <c r="I370" t="s">
        <v>744</v>
      </c>
      <c r="J370" t="s">
        <v>3</v>
      </c>
      <c r="K370" t="s">
        <v>745</v>
      </c>
      <c r="L370">
        <v>1191</v>
      </c>
      <c r="N370">
        <v>1013</v>
      </c>
      <c r="O370" t="s">
        <v>660</v>
      </c>
      <c r="P370" t="s">
        <v>660</v>
      </c>
      <c r="Q370">
        <v>1</v>
      </c>
      <c r="W370">
        <v>0</v>
      </c>
      <c r="X370">
        <v>-1081351934</v>
      </c>
      <c r="Y370">
        <v>5.39</v>
      </c>
      <c r="AA370">
        <v>0</v>
      </c>
      <c r="AB370">
        <v>0</v>
      </c>
      <c r="AC370">
        <v>0</v>
      </c>
      <c r="AD370">
        <v>63.07</v>
      </c>
      <c r="AE370">
        <v>0</v>
      </c>
      <c r="AF370">
        <v>0</v>
      </c>
      <c r="AG370">
        <v>0</v>
      </c>
      <c r="AH370">
        <v>9.4</v>
      </c>
      <c r="AI370">
        <v>1</v>
      </c>
      <c r="AJ370">
        <v>1</v>
      </c>
      <c r="AK370">
        <v>1</v>
      </c>
      <c r="AL370">
        <v>6.71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5.39</v>
      </c>
      <c r="AU370" t="s">
        <v>3</v>
      </c>
      <c r="AV370">
        <v>1</v>
      </c>
      <c r="AW370">
        <v>2</v>
      </c>
      <c r="AX370">
        <v>39097054</v>
      </c>
      <c r="AY370">
        <v>1</v>
      </c>
      <c r="AZ370">
        <v>0</v>
      </c>
      <c r="BA370">
        <v>351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Y370*Source!I246</f>
        <v>4.0964</v>
      </c>
      <c r="CY370">
        <f>AD370</f>
        <v>63.07</v>
      </c>
      <c r="CZ370">
        <f>AH370</f>
        <v>9.4</v>
      </c>
      <c r="DA370">
        <f>AL370</f>
        <v>6.71</v>
      </c>
      <c r="DB370">
        <v>0</v>
      </c>
    </row>
    <row r="371" spans="1:106" x14ac:dyDescent="0.2">
      <c r="A371">
        <f>ROW(Source!A246)</f>
        <v>246</v>
      </c>
      <c r="B371">
        <v>39096431</v>
      </c>
      <c r="C371">
        <v>39097042</v>
      </c>
      <c r="D371">
        <v>37064876</v>
      </c>
      <c r="E371">
        <v>1</v>
      </c>
      <c r="F371">
        <v>1</v>
      </c>
      <c r="G371">
        <v>1</v>
      </c>
      <c r="H371">
        <v>1</v>
      </c>
      <c r="I371" t="s">
        <v>661</v>
      </c>
      <c r="J371" t="s">
        <v>3</v>
      </c>
      <c r="K371" t="s">
        <v>662</v>
      </c>
      <c r="L371">
        <v>1191</v>
      </c>
      <c r="N371">
        <v>1013</v>
      </c>
      <c r="O371" t="s">
        <v>660</v>
      </c>
      <c r="P371" t="s">
        <v>660</v>
      </c>
      <c r="Q371">
        <v>1</v>
      </c>
      <c r="W371">
        <v>0</v>
      </c>
      <c r="X371">
        <v>-1417349443</v>
      </c>
      <c r="Y371">
        <v>0.04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6.71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0.04</v>
      </c>
      <c r="AU371" t="s">
        <v>3</v>
      </c>
      <c r="AV371">
        <v>2</v>
      </c>
      <c r="AW371">
        <v>2</v>
      </c>
      <c r="AX371">
        <v>39097055</v>
      </c>
      <c r="AY371">
        <v>1</v>
      </c>
      <c r="AZ371">
        <v>0</v>
      </c>
      <c r="BA371">
        <v>352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Y371*Source!I246</f>
        <v>3.04E-2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ROW(Source!A246)</f>
        <v>246</v>
      </c>
      <c r="B372">
        <v>39096431</v>
      </c>
      <c r="C372">
        <v>39097042</v>
      </c>
      <c r="D372">
        <v>36882159</v>
      </c>
      <c r="E372">
        <v>1</v>
      </c>
      <c r="F372">
        <v>1</v>
      </c>
      <c r="G372">
        <v>1</v>
      </c>
      <c r="H372">
        <v>2</v>
      </c>
      <c r="I372" t="s">
        <v>802</v>
      </c>
      <c r="J372" t="s">
        <v>803</v>
      </c>
      <c r="K372" t="s">
        <v>804</v>
      </c>
      <c r="L372">
        <v>1368</v>
      </c>
      <c r="N372">
        <v>1011</v>
      </c>
      <c r="O372" t="s">
        <v>666</v>
      </c>
      <c r="P372" t="s">
        <v>666</v>
      </c>
      <c r="Q372">
        <v>1</v>
      </c>
      <c r="W372">
        <v>0</v>
      </c>
      <c r="X372">
        <v>-1718674368</v>
      </c>
      <c r="Y372">
        <v>0.02</v>
      </c>
      <c r="AA372">
        <v>0</v>
      </c>
      <c r="AB372">
        <v>751.45</v>
      </c>
      <c r="AC372">
        <v>13.5</v>
      </c>
      <c r="AD372">
        <v>0</v>
      </c>
      <c r="AE372">
        <v>0</v>
      </c>
      <c r="AF372">
        <v>111.99</v>
      </c>
      <c r="AG372">
        <v>13.5</v>
      </c>
      <c r="AH372">
        <v>0</v>
      </c>
      <c r="AI372">
        <v>1</v>
      </c>
      <c r="AJ372">
        <v>6.71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0.02</v>
      </c>
      <c r="AU372" t="s">
        <v>3</v>
      </c>
      <c r="AV372">
        <v>0</v>
      </c>
      <c r="AW372">
        <v>2</v>
      </c>
      <c r="AX372">
        <v>39097056</v>
      </c>
      <c r="AY372">
        <v>1</v>
      </c>
      <c r="AZ372">
        <v>0</v>
      </c>
      <c r="BA372">
        <v>353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Y372*Source!I246</f>
        <v>1.52E-2</v>
      </c>
      <c r="CY372">
        <f>AB372</f>
        <v>751.45</v>
      </c>
      <c r="CZ372">
        <f>AF372</f>
        <v>111.99</v>
      </c>
      <c r="DA372">
        <f>AJ372</f>
        <v>6.71</v>
      </c>
      <c r="DB372">
        <v>0</v>
      </c>
    </row>
    <row r="373" spans="1:106" x14ac:dyDescent="0.2">
      <c r="A373">
        <f>ROW(Source!A246)</f>
        <v>246</v>
      </c>
      <c r="B373">
        <v>39096431</v>
      </c>
      <c r="C373">
        <v>39097042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679</v>
      </c>
      <c r="J373" t="s">
        <v>680</v>
      </c>
      <c r="K373" t="s">
        <v>681</v>
      </c>
      <c r="L373">
        <v>1368</v>
      </c>
      <c r="N373">
        <v>1011</v>
      </c>
      <c r="O373" t="s">
        <v>666</v>
      </c>
      <c r="P373" t="s">
        <v>666</v>
      </c>
      <c r="Q373">
        <v>1</v>
      </c>
      <c r="W373">
        <v>0</v>
      </c>
      <c r="X373">
        <v>1372534845</v>
      </c>
      <c r="Y373">
        <v>0.02</v>
      </c>
      <c r="AA373">
        <v>0</v>
      </c>
      <c r="AB373">
        <v>440.91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6.71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0.02</v>
      </c>
      <c r="AU373" t="s">
        <v>3</v>
      </c>
      <c r="AV373">
        <v>0</v>
      </c>
      <c r="AW373">
        <v>2</v>
      </c>
      <c r="AX373">
        <v>39097057</v>
      </c>
      <c r="AY373">
        <v>1</v>
      </c>
      <c r="AZ373">
        <v>0</v>
      </c>
      <c r="BA373">
        <v>354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Y373*Source!I246</f>
        <v>1.52E-2</v>
      </c>
      <c r="CY373">
        <f>AB373</f>
        <v>440.91</v>
      </c>
      <c r="CZ373">
        <f>AF373</f>
        <v>65.709999999999994</v>
      </c>
      <c r="DA373">
        <f>AJ373</f>
        <v>6.71</v>
      </c>
      <c r="DB373">
        <v>0</v>
      </c>
    </row>
    <row r="374" spans="1:106" x14ac:dyDescent="0.2">
      <c r="A374">
        <f>ROW(Source!A246)</f>
        <v>246</v>
      </c>
      <c r="B374">
        <v>39096431</v>
      </c>
      <c r="C374">
        <v>39097042</v>
      </c>
      <c r="D374">
        <v>36802094</v>
      </c>
      <c r="E374">
        <v>1</v>
      </c>
      <c r="F374">
        <v>1</v>
      </c>
      <c r="G374">
        <v>1</v>
      </c>
      <c r="H374">
        <v>3</v>
      </c>
      <c r="I374" t="s">
        <v>852</v>
      </c>
      <c r="J374" t="s">
        <v>853</v>
      </c>
      <c r="K374" t="s">
        <v>854</v>
      </c>
      <c r="L374">
        <v>1346</v>
      </c>
      <c r="N374">
        <v>1009</v>
      </c>
      <c r="O374" t="s">
        <v>138</v>
      </c>
      <c r="P374" t="s">
        <v>138</v>
      </c>
      <c r="Q374">
        <v>1</v>
      </c>
      <c r="W374">
        <v>0</v>
      </c>
      <c r="X374">
        <v>-1088866022</v>
      </c>
      <c r="Y374">
        <v>0.16</v>
      </c>
      <c r="AA374">
        <v>203.98</v>
      </c>
      <c r="AB374">
        <v>0</v>
      </c>
      <c r="AC374">
        <v>0</v>
      </c>
      <c r="AD374">
        <v>0</v>
      </c>
      <c r="AE374">
        <v>30.4</v>
      </c>
      <c r="AF374">
        <v>0</v>
      </c>
      <c r="AG374">
        <v>0</v>
      </c>
      <c r="AH374">
        <v>0</v>
      </c>
      <c r="AI374">
        <v>6.71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0.16</v>
      </c>
      <c r="AU374" t="s">
        <v>3</v>
      </c>
      <c r="AV374">
        <v>0</v>
      </c>
      <c r="AW374">
        <v>2</v>
      </c>
      <c r="AX374">
        <v>39097058</v>
      </c>
      <c r="AY374">
        <v>1</v>
      </c>
      <c r="AZ374">
        <v>0</v>
      </c>
      <c r="BA374">
        <v>355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Y374*Source!I246</f>
        <v>0.1216</v>
      </c>
      <c r="CY374">
        <f t="shared" ref="CY374:CY380" si="36">AA374</f>
        <v>203.98</v>
      </c>
      <c r="CZ374">
        <f t="shared" ref="CZ374:CZ380" si="37">AE374</f>
        <v>30.4</v>
      </c>
      <c r="DA374">
        <f t="shared" ref="DA374:DA380" si="38">AI374</f>
        <v>6.71</v>
      </c>
      <c r="DB374">
        <v>0</v>
      </c>
    </row>
    <row r="375" spans="1:106" x14ac:dyDescent="0.2">
      <c r="A375">
        <f>ROW(Source!A246)</f>
        <v>246</v>
      </c>
      <c r="B375">
        <v>39096431</v>
      </c>
      <c r="C375">
        <v>39097042</v>
      </c>
      <c r="D375">
        <v>36802373</v>
      </c>
      <c r="E375">
        <v>1</v>
      </c>
      <c r="F375">
        <v>1</v>
      </c>
      <c r="G375">
        <v>1</v>
      </c>
      <c r="H375">
        <v>3</v>
      </c>
      <c r="I375" t="s">
        <v>905</v>
      </c>
      <c r="J375" t="s">
        <v>906</v>
      </c>
      <c r="K375" t="s">
        <v>907</v>
      </c>
      <c r="L375">
        <v>1348</v>
      </c>
      <c r="N375">
        <v>1009</v>
      </c>
      <c r="O375" t="s">
        <v>110</v>
      </c>
      <c r="P375" t="s">
        <v>110</v>
      </c>
      <c r="Q375">
        <v>1000</v>
      </c>
      <c r="W375">
        <v>0</v>
      </c>
      <c r="X375">
        <v>1012095217</v>
      </c>
      <c r="Y375">
        <v>5.9999999999999995E-4</v>
      </c>
      <c r="AA375">
        <v>12212.2</v>
      </c>
      <c r="AB375">
        <v>0</v>
      </c>
      <c r="AC375">
        <v>0</v>
      </c>
      <c r="AD375">
        <v>0</v>
      </c>
      <c r="AE375">
        <v>1820</v>
      </c>
      <c r="AF375">
        <v>0</v>
      </c>
      <c r="AG375">
        <v>0</v>
      </c>
      <c r="AH375">
        <v>0</v>
      </c>
      <c r="AI375">
        <v>6.71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5.9999999999999995E-4</v>
      </c>
      <c r="AU375" t="s">
        <v>3</v>
      </c>
      <c r="AV375">
        <v>0</v>
      </c>
      <c r="AW375">
        <v>2</v>
      </c>
      <c r="AX375">
        <v>39097059</v>
      </c>
      <c r="AY375">
        <v>1</v>
      </c>
      <c r="AZ375">
        <v>0</v>
      </c>
      <c r="BA375">
        <v>356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Y375*Source!I246</f>
        <v>4.5599999999999997E-4</v>
      </c>
      <c r="CY375">
        <f t="shared" si="36"/>
        <v>12212.2</v>
      </c>
      <c r="CZ375">
        <f t="shared" si="37"/>
        <v>1820</v>
      </c>
      <c r="DA375">
        <f t="shared" si="38"/>
        <v>6.71</v>
      </c>
      <c r="DB375">
        <v>0</v>
      </c>
    </row>
    <row r="376" spans="1:106" x14ac:dyDescent="0.2">
      <c r="A376">
        <f>ROW(Source!A246)</f>
        <v>246</v>
      </c>
      <c r="B376">
        <v>39096431</v>
      </c>
      <c r="C376">
        <v>39097042</v>
      </c>
      <c r="D376">
        <v>36838317</v>
      </c>
      <c r="E376">
        <v>1</v>
      </c>
      <c r="F376">
        <v>1</v>
      </c>
      <c r="G376">
        <v>1</v>
      </c>
      <c r="H376">
        <v>3</v>
      </c>
      <c r="I376" t="s">
        <v>870</v>
      </c>
      <c r="J376" t="s">
        <v>871</v>
      </c>
      <c r="K376" t="s">
        <v>872</v>
      </c>
      <c r="L376">
        <v>1346</v>
      </c>
      <c r="N376">
        <v>1009</v>
      </c>
      <c r="O376" t="s">
        <v>138</v>
      </c>
      <c r="P376" t="s">
        <v>138</v>
      </c>
      <c r="Q376">
        <v>1</v>
      </c>
      <c r="W376">
        <v>0</v>
      </c>
      <c r="X376">
        <v>210558753</v>
      </c>
      <c r="Y376">
        <v>0.02</v>
      </c>
      <c r="AA376">
        <v>191.91</v>
      </c>
      <c r="AB376">
        <v>0</v>
      </c>
      <c r="AC376">
        <v>0</v>
      </c>
      <c r="AD376">
        <v>0</v>
      </c>
      <c r="AE376">
        <v>28.6</v>
      </c>
      <c r="AF376">
        <v>0</v>
      </c>
      <c r="AG376">
        <v>0</v>
      </c>
      <c r="AH376">
        <v>0</v>
      </c>
      <c r="AI376">
        <v>6.71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0.02</v>
      </c>
      <c r="AU376" t="s">
        <v>3</v>
      </c>
      <c r="AV376">
        <v>0</v>
      </c>
      <c r="AW376">
        <v>2</v>
      </c>
      <c r="AX376">
        <v>39097060</v>
      </c>
      <c r="AY376">
        <v>1</v>
      </c>
      <c r="AZ376">
        <v>0</v>
      </c>
      <c r="BA376">
        <v>357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Y376*Source!I246</f>
        <v>1.52E-2</v>
      </c>
      <c r="CY376">
        <f t="shared" si="36"/>
        <v>191.91</v>
      </c>
      <c r="CZ376">
        <f t="shared" si="37"/>
        <v>28.6</v>
      </c>
      <c r="DA376">
        <f t="shared" si="38"/>
        <v>6.71</v>
      </c>
      <c r="DB376">
        <v>0</v>
      </c>
    </row>
    <row r="377" spans="1:106" x14ac:dyDescent="0.2">
      <c r="A377">
        <f>ROW(Source!A246)</f>
        <v>246</v>
      </c>
      <c r="B377">
        <v>39096431</v>
      </c>
      <c r="C377">
        <v>39097042</v>
      </c>
      <c r="D377">
        <v>36852009</v>
      </c>
      <c r="E377">
        <v>1</v>
      </c>
      <c r="F377">
        <v>1</v>
      </c>
      <c r="G377">
        <v>1</v>
      </c>
      <c r="H377">
        <v>3</v>
      </c>
      <c r="I377" t="s">
        <v>942</v>
      </c>
      <c r="J377" t="s">
        <v>943</v>
      </c>
      <c r="K377" t="s">
        <v>944</v>
      </c>
      <c r="L377">
        <v>1355</v>
      </c>
      <c r="N377">
        <v>1010</v>
      </c>
      <c r="O377" t="s">
        <v>161</v>
      </c>
      <c r="P377" t="s">
        <v>161</v>
      </c>
      <c r="Q377">
        <v>100</v>
      </c>
      <c r="W377">
        <v>0</v>
      </c>
      <c r="X377">
        <v>-423136440</v>
      </c>
      <c r="Y377">
        <v>0.05</v>
      </c>
      <c r="AA377">
        <v>738.1</v>
      </c>
      <c r="AB377">
        <v>0</v>
      </c>
      <c r="AC377">
        <v>0</v>
      </c>
      <c r="AD377">
        <v>0</v>
      </c>
      <c r="AE377">
        <v>110</v>
      </c>
      <c r="AF377">
        <v>0</v>
      </c>
      <c r="AG377">
        <v>0</v>
      </c>
      <c r="AH377">
        <v>0</v>
      </c>
      <c r="AI377">
        <v>6.71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0.05</v>
      </c>
      <c r="AU377" t="s">
        <v>3</v>
      </c>
      <c r="AV377">
        <v>0</v>
      </c>
      <c r="AW377">
        <v>2</v>
      </c>
      <c r="AX377">
        <v>39097061</v>
      </c>
      <c r="AY377">
        <v>1</v>
      </c>
      <c r="AZ377">
        <v>0</v>
      </c>
      <c r="BA377">
        <v>358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Y377*Source!I246</f>
        <v>3.8000000000000006E-2</v>
      </c>
      <c r="CY377">
        <f t="shared" si="36"/>
        <v>738.1</v>
      </c>
      <c r="CZ377">
        <f t="shared" si="37"/>
        <v>110</v>
      </c>
      <c r="DA377">
        <f t="shared" si="38"/>
        <v>6.71</v>
      </c>
      <c r="DB377">
        <v>0</v>
      </c>
    </row>
    <row r="378" spans="1:106" x14ac:dyDescent="0.2">
      <c r="A378">
        <f>ROW(Source!A246)</f>
        <v>246</v>
      </c>
      <c r="B378">
        <v>39096431</v>
      </c>
      <c r="C378">
        <v>39097042</v>
      </c>
      <c r="D378">
        <v>36852060</v>
      </c>
      <c r="E378">
        <v>1</v>
      </c>
      <c r="F378">
        <v>1</v>
      </c>
      <c r="G378">
        <v>1</v>
      </c>
      <c r="H378">
        <v>3</v>
      </c>
      <c r="I378" t="s">
        <v>945</v>
      </c>
      <c r="J378" t="s">
        <v>946</v>
      </c>
      <c r="K378" t="s">
        <v>947</v>
      </c>
      <c r="L378">
        <v>1356</v>
      </c>
      <c r="N378">
        <v>1010</v>
      </c>
      <c r="O378" t="s">
        <v>741</v>
      </c>
      <c r="P378" t="s">
        <v>741</v>
      </c>
      <c r="Q378">
        <v>1000</v>
      </c>
      <c r="W378">
        <v>0</v>
      </c>
      <c r="X378">
        <v>537827188</v>
      </c>
      <c r="Y378">
        <v>1.2200000000000001E-2</v>
      </c>
      <c r="AA378">
        <v>798.49</v>
      </c>
      <c r="AB378">
        <v>0</v>
      </c>
      <c r="AC378">
        <v>0</v>
      </c>
      <c r="AD378">
        <v>0</v>
      </c>
      <c r="AE378">
        <v>119</v>
      </c>
      <c r="AF378">
        <v>0</v>
      </c>
      <c r="AG378">
        <v>0</v>
      </c>
      <c r="AH378">
        <v>0</v>
      </c>
      <c r="AI378">
        <v>6.71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1.2200000000000001E-2</v>
      </c>
      <c r="AU378" t="s">
        <v>3</v>
      </c>
      <c r="AV378">
        <v>0</v>
      </c>
      <c r="AW378">
        <v>2</v>
      </c>
      <c r="AX378">
        <v>39097062</v>
      </c>
      <c r="AY378">
        <v>1</v>
      </c>
      <c r="AZ378">
        <v>0</v>
      </c>
      <c r="BA378">
        <v>359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Y378*Source!I246</f>
        <v>9.2720000000000007E-3</v>
      </c>
      <c r="CY378">
        <f t="shared" si="36"/>
        <v>798.49</v>
      </c>
      <c r="CZ378">
        <f t="shared" si="37"/>
        <v>119</v>
      </c>
      <c r="DA378">
        <f t="shared" si="38"/>
        <v>6.71</v>
      </c>
      <c r="DB378">
        <v>0</v>
      </c>
    </row>
    <row r="379" spans="1:106" x14ac:dyDescent="0.2">
      <c r="A379">
        <f>ROW(Source!A246)</f>
        <v>246</v>
      </c>
      <c r="B379">
        <v>39096431</v>
      </c>
      <c r="C379">
        <v>39097042</v>
      </c>
      <c r="D379">
        <v>36858717</v>
      </c>
      <c r="E379">
        <v>1</v>
      </c>
      <c r="F379">
        <v>1</v>
      </c>
      <c r="G379">
        <v>1</v>
      </c>
      <c r="H379">
        <v>3</v>
      </c>
      <c r="I379" t="s">
        <v>587</v>
      </c>
      <c r="J379" t="s">
        <v>588</v>
      </c>
      <c r="K379" t="s">
        <v>974</v>
      </c>
      <c r="L379">
        <v>1477</v>
      </c>
      <c r="N379">
        <v>1013</v>
      </c>
      <c r="O379" t="s">
        <v>461</v>
      </c>
      <c r="P379" t="s">
        <v>463</v>
      </c>
      <c r="Q379">
        <v>1</v>
      </c>
      <c r="W379">
        <v>0</v>
      </c>
      <c r="X379">
        <v>1970573084</v>
      </c>
      <c r="Y379">
        <v>0.1</v>
      </c>
      <c r="AA379">
        <v>28745.77</v>
      </c>
      <c r="AB379">
        <v>0</v>
      </c>
      <c r="AC379">
        <v>0</v>
      </c>
      <c r="AD379">
        <v>0</v>
      </c>
      <c r="AE379">
        <v>4284.0200000000004</v>
      </c>
      <c r="AF379">
        <v>0</v>
      </c>
      <c r="AG379">
        <v>0</v>
      </c>
      <c r="AH379">
        <v>0</v>
      </c>
      <c r="AI379">
        <v>6.71</v>
      </c>
      <c r="AJ379">
        <v>1</v>
      </c>
      <c r="AK379">
        <v>1</v>
      </c>
      <c r="AL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3</v>
      </c>
      <c r="AT379">
        <v>0.1</v>
      </c>
      <c r="AU379" t="s">
        <v>3</v>
      </c>
      <c r="AV379">
        <v>0</v>
      </c>
      <c r="AW379">
        <v>1</v>
      </c>
      <c r="AX379">
        <v>-1</v>
      </c>
      <c r="AY379">
        <v>0</v>
      </c>
      <c r="AZ379">
        <v>0</v>
      </c>
      <c r="BA379" t="s">
        <v>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Y379*Source!I246</f>
        <v>7.6000000000000012E-2</v>
      </c>
      <c r="CY379">
        <f t="shared" si="36"/>
        <v>28745.77</v>
      </c>
      <c r="CZ379">
        <f t="shared" si="37"/>
        <v>4284.0200000000004</v>
      </c>
      <c r="DA379">
        <f t="shared" si="38"/>
        <v>6.71</v>
      </c>
      <c r="DB379">
        <v>0</v>
      </c>
    </row>
    <row r="380" spans="1:106" x14ac:dyDescent="0.2">
      <c r="A380">
        <f>ROW(Source!A246)</f>
        <v>246</v>
      </c>
      <c r="B380">
        <v>39096431</v>
      </c>
      <c r="C380">
        <v>39097042</v>
      </c>
      <c r="D380">
        <v>36799065</v>
      </c>
      <c r="E380">
        <v>17</v>
      </c>
      <c r="F380">
        <v>1</v>
      </c>
      <c r="G380">
        <v>1</v>
      </c>
      <c r="H380">
        <v>3</v>
      </c>
      <c r="I380" t="s">
        <v>835</v>
      </c>
      <c r="J380" t="s">
        <v>3</v>
      </c>
      <c r="K380" t="s">
        <v>836</v>
      </c>
      <c r="L380">
        <v>1374</v>
      </c>
      <c r="N380">
        <v>1013</v>
      </c>
      <c r="O380" t="s">
        <v>837</v>
      </c>
      <c r="P380" t="s">
        <v>837</v>
      </c>
      <c r="Q380">
        <v>1</v>
      </c>
      <c r="W380">
        <v>0</v>
      </c>
      <c r="X380">
        <v>-1731369543</v>
      </c>
      <c r="Y380">
        <v>1.01</v>
      </c>
      <c r="AA380">
        <v>1</v>
      </c>
      <c r="AB380">
        <v>0</v>
      </c>
      <c r="AC380">
        <v>0</v>
      </c>
      <c r="AD380">
        <v>0</v>
      </c>
      <c r="AE380">
        <v>1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1.01</v>
      </c>
      <c r="AU380" t="s">
        <v>3</v>
      </c>
      <c r="AV380">
        <v>0</v>
      </c>
      <c r="AW380">
        <v>2</v>
      </c>
      <c r="AX380">
        <v>39097063</v>
      </c>
      <c r="AY380">
        <v>1</v>
      </c>
      <c r="AZ380">
        <v>0</v>
      </c>
      <c r="BA380">
        <v>360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Y380*Source!I246</f>
        <v>0.76760000000000006</v>
      </c>
      <c r="CY380">
        <f t="shared" si="36"/>
        <v>1</v>
      </c>
      <c r="CZ380">
        <f t="shared" si="37"/>
        <v>1</v>
      </c>
      <c r="DA380">
        <f t="shared" si="38"/>
        <v>1</v>
      </c>
      <c r="DB380">
        <v>0</v>
      </c>
    </row>
    <row r="381" spans="1:106" x14ac:dyDescent="0.2">
      <c r="A381">
        <f>ROW(Source!A248)</f>
        <v>248</v>
      </c>
      <c r="B381">
        <v>39096431</v>
      </c>
      <c r="C381">
        <v>39097827</v>
      </c>
      <c r="D381">
        <v>37113247</v>
      </c>
      <c r="E381">
        <v>1</v>
      </c>
      <c r="F381">
        <v>1</v>
      </c>
      <c r="G381">
        <v>1</v>
      </c>
      <c r="H381">
        <v>1</v>
      </c>
      <c r="I381" t="s">
        <v>948</v>
      </c>
      <c r="J381" t="s">
        <v>3</v>
      </c>
      <c r="K381" t="s">
        <v>949</v>
      </c>
      <c r="L381">
        <v>1191</v>
      </c>
      <c r="N381">
        <v>1013</v>
      </c>
      <c r="O381" t="s">
        <v>660</v>
      </c>
      <c r="P381" t="s">
        <v>660</v>
      </c>
      <c r="Q381">
        <v>1</v>
      </c>
      <c r="W381">
        <v>0</v>
      </c>
      <c r="X381">
        <v>1446053411</v>
      </c>
      <c r="Y381">
        <v>0.4</v>
      </c>
      <c r="AA381">
        <v>0</v>
      </c>
      <c r="AB381">
        <v>0</v>
      </c>
      <c r="AC381">
        <v>0</v>
      </c>
      <c r="AD381">
        <v>74.41</v>
      </c>
      <c r="AE381">
        <v>0</v>
      </c>
      <c r="AF381">
        <v>0</v>
      </c>
      <c r="AG381">
        <v>0</v>
      </c>
      <c r="AH381">
        <v>11.09</v>
      </c>
      <c r="AI381">
        <v>1</v>
      </c>
      <c r="AJ381">
        <v>1</v>
      </c>
      <c r="AK381">
        <v>1</v>
      </c>
      <c r="AL381">
        <v>6.71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0.4</v>
      </c>
      <c r="AU381" t="s">
        <v>3</v>
      </c>
      <c r="AV381">
        <v>1</v>
      </c>
      <c r="AW381">
        <v>2</v>
      </c>
      <c r="AX381">
        <v>39097828</v>
      </c>
      <c r="AY381">
        <v>1</v>
      </c>
      <c r="AZ381">
        <v>0</v>
      </c>
      <c r="BA381">
        <v>361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Y381*Source!I248</f>
        <v>0.4</v>
      </c>
      <c r="CY381">
        <f>AD381</f>
        <v>74.41</v>
      </c>
      <c r="CZ381">
        <f>AH381</f>
        <v>11.09</v>
      </c>
      <c r="DA381">
        <f>AL381</f>
        <v>6.71</v>
      </c>
      <c r="DB381">
        <v>0</v>
      </c>
    </row>
    <row r="382" spans="1:106" x14ac:dyDescent="0.2">
      <c r="A382">
        <f>ROW(Source!A248)</f>
        <v>248</v>
      </c>
      <c r="B382">
        <v>39096431</v>
      </c>
      <c r="C382">
        <v>39097827</v>
      </c>
      <c r="D382">
        <v>36799065</v>
      </c>
      <c r="E382">
        <v>17</v>
      </c>
      <c r="F382">
        <v>1</v>
      </c>
      <c r="G382">
        <v>1</v>
      </c>
      <c r="H382">
        <v>3</v>
      </c>
      <c r="I382" t="s">
        <v>835</v>
      </c>
      <c r="J382" t="s">
        <v>3</v>
      </c>
      <c r="K382" t="s">
        <v>836</v>
      </c>
      <c r="L382">
        <v>1374</v>
      </c>
      <c r="N382">
        <v>1013</v>
      </c>
      <c r="O382" t="s">
        <v>837</v>
      </c>
      <c r="P382" t="s">
        <v>837</v>
      </c>
      <c r="Q382">
        <v>1</v>
      </c>
      <c r="W382">
        <v>0</v>
      </c>
      <c r="X382">
        <v>-1731369543</v>
      </c>
      <c r="Y382">
        <v>0.09</v>
      </c>
      <c r="AA382">
        <v>1</v>
      </c>
      <c r="AB382">
        <v>0</v>
      </c>
      <c r="AC382">
        <v>0</v>
      </c>
      <c r="AD382">
        <v>0</v>
      </c>
      <c r="AE382">
        <v>1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0.09</v>
      </c>
      <c r="AU382" t="s">
        <v>3</v>
      </c>
      <c r="AV382">
        <v>0</v>
      </c>
      <c r="AW382">
        <v>2</v>
      </c>
      <c r="AX382">
        <v>39097829</v>
      </c>
      <c r="AY382">
        <v>1</v>
      </c>
      <c r="AZ382">
        <v>0</v>
      </c>
      <c r="BA382">
        <v>362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Y382*Source!I248</f>
        <v>0.09</v>
      </c>
      <c r="CY382">
        <f>AA382</f>
        <v>1</v>
      </c>
      <c r="CZ382">
        <f>AE382</f>
        <v>1</v>
      </c>
      <c r="DA382">
        <f>AI382</f>
        <v>1</v>
      </c>
      <c r="DB38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6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39487442</v>
      </c>
      <c r="C1">
        <v>39097138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3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39487442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39487443</v>
      </c>
      <c r="C2">
        <v>39097138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661</v>
      </c>
      <c r="J2" t="s">
        <v>3</v>
      </c>
      <c r="K2" t="s">
        <v>662</v>
      </c>
      <c r="L2">
        <v>1191</v>
      </c>
      <c r="N2">
        <v>1013</v>
      </c>
      <c r="O2" t="s">
        <v>660</v>
      </c>
      <c r="P2" t="s">
        <v>660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39487443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39487444</v>
      </c>
      <c r="C3">
        <v>39097138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663</v>
      </c>
      <c r="J3" t="s">
        <v>664</v>
      </c>
      <c r="K3" t="s">
        <v>665</v>
      </c>
      <c r="L3">
        <v>1368</v>
      </c>
      <c r="N3">
        <v>1011</v>
      </c>
      <c r="O3" t="s">
        <v>666</v>
      </c>
      <c r="P3" t="s">
        <v>666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39487444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39097147</v>
      </c>
      <c r="C4">
        <v>39097145</v>
      </c>
      <c r="D4">
        <v>37064998</v>
      </c>
      <c r="E4">
        <v>1</v>
      </c>
      <c r="F4">
        <v>1</v>
      </c>
      <c r="G4">
        <v>1</v>
      </c>
      <c r="H4">
        <v>1</v>
      </c>
      <c r="I4" t="s">
        <v>667</v>
      </c>
      <c r="J4" t="s">
        <v>3</v>
      </c>
      <c r="K4" t="s">
        <v>668</v>
      </c>
      <c r="L4">
        <v>1191</v>
      </c>
      <c r="N4">
        <v>1013</v>
      </c>
      <c r="O4" t="s">
        <v>660</v>
      </c>
      <c r="P4" t="s">
        <v>660</v>
      </c>
      <c r="Q4">
        <v>1</v>
      </c>
      <c r="X4">
        <v>3.77</v>
      </c>
      <c r="Y4">
        <v>0</v>
      </c>
      <c r="Z4">
        <v>0</v>
      </c>
      <c r="AA4">
        <v>0</v>
      </c>
      <c r="AB4">
        <v>7.8</v>
      </c>
      <c r="AC4">
        <v>0</v>
      </c>
      <c r="AD4">
        <v>1</v>
      </c>
      <c r="AE4">
        <v>1</v>
      </c>
      <c r="AF4" t="s">
        <v>3</v>
      </c>
      <c r="AG4">
        <v>3.77</v>
      </c>
      <c r="AH4">
        <v>2</v>
      </c>
      <c r="AI4">
        <v>39097146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39097148</v>
      </c>
      <c r="C5">
        <v>39097145</v>
      </c>
      <c r="D5">
        <v>36799072</v>
      </c>
      <c r="E5">
        <v>17</v>
      </c>
      <c r="F5">
        <v>1</v>
      </c>
      <c r="G5">
        <v>1</v>
      </c>
      <c r="H5">
        <v>3</v>
      </c>
      <c r="I5" t="s">
        <v>257</v>
      </c>
      <c r="J5" t="s">
        <v>3</v>
      </c>
      <c r="K5" t="s">
        <v>258</v>
      </c>
      <c r="L5">
        <v>1348</v>
      </c>
      <c r="N5">
        <v>1009</v>
      </c>
      <c r="O5" t="s">
        <v>110</v>
      </c>
      <c r="P5" t="s">
        <v>110</v>
      </c>
      <c r="Q5">
        <v>1000</v>
      </c>
      <c r="X5">
        <v>0.11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 t="s">
        <v>3</v>
      </c>
      <c r="AG5">
        <v>0.11</v>
      </c>
      <c r="AH5">
        <v>3</v>
      </c>
      <c r="AI5">
        <v>-1</v>
      </c>
      <c r="AJ5" t="s">
        <v>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ROW(Source!A30)</f>
        <v>30</v>
      </c>
      <c r="B6">
        <v>39489077</v>
      </c>
      <c r="C6">
        <v>39489076</v>
      </c>
      <c r="D6">
        <v>37064998</v>
      </c>
      <c r="E6">
        <v>1</v>
      </c>
      <c r="F6">
        <v>1</v>
      </c>
      <c r="G6">
        <v>1</v>
      </c>
      <c r="H6">
        <v>1</v>
      </c>
      <c r="I6" t="s">
        <v>667</v>
      </c>
      <c r="J6" t="s">
        <v>3</v>
      </c>
      <c r="K6" t="s">
        <v>668</v>
      </c>
      <c r="L6">
        <v>1191</v>
      </c>
      <c r="N6">
        <v>1013</v>
      </c>
      <c r="O6" t="s">
        <v>660</v>
      </c>
      <c r="P6" t="s">
        <v>660</v>
      </c>
      <c r="Q6">
        <v>1</v>
      </c>
      <c r="X6">
        <v>11.39</v>
      </c>
      <c r="Y6">
        <v>0</v>
      </c>
      <c r="Z6">
        <v>0</v>
      </c>
      <c r="AA6">
        <v>0</v>
      </c>
      <c r="AB6">
        <v>7.8</v>
      </c>
      <c r="AC6">
        <v>0</v>
      </c>
      <c r="AD6">
        <v>1</v>
      </c>
      <c r="AE6">
        <v>1</v>
      </c>
      <c r="AF6" t="s">
        <v>3</v>
      </c>
      <c r="AG6">
        <v>11.39</v>
      </c>
      <c r="AH6">
        <v>2</v>
      </c>
      <c r="AI6">
        <v>39489077</v>
      </c>
      <c r="AJ6">
        <v>5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39489078</v>
      </c>
      <c r="C7">
        <v>39489076</v>
      </c>
      <c r="D7">
        <v>37064876</v>
      </c>
      <c r="E7">
        <v>1</v>
      </c>
      <c r="F7">
        <v>1</v>
      </c>
      <c r="G7">
        <v>1</v>
      </c>
      <c r="H7">
        <v>1</v>
      </c>
      <c r="I7" t="s">
        <v>661</v>
      </c>
      <c r="J7" t="s">
        <v>3</v>
      </c>
      <c r="K7" t="s">
        <v>662</v>
      </c>
      <c r="L7">
        <v>1191</v>
      </c>
      <c r="N7">
        <v>1013</v>
      </c>
      <c r="O7" t="s">
        <v>660</v>
      </c>
      <c r="P7" t="s">
        <v>660</v>
      </c>
      <c r="Q7">
        <v>1</v>
      </c>
      <c r="X7">
        <v>0.13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2</v>
      </c>
      <c r="AF7" t="s">
        <v>3</v>
      </c>
      <c r="AG7">
        <v>0.13</v>
      </c>
      <c r="AH7">
        <v>2</v>
      </c>
      <c r="AI7">
        <v>39489078</v>
      </c>
      <c r="AJ7">
        <v>6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39489079</v>
      </c>
      <c r="C8">
        <v>39489076</v>
      </c>
      <c r="D8">
        <v>36882452</v>
      </c>
      <c r="E8">
        <v>1</v>
      </c>
      <c r="F8">
        <v>1</v>
      </c>
      <c r="G8">
        <v>1</v>
      </c>
      <c r="H8">
        <v>2</v>
      </c>
      <c r="I8" t="s">
        <v>663</v>
      </c>
      <c r="J8" t="s">
        <v>664</v>
      </c>
      <c r="K8" t="s">
        <v>665</v>
      </c>
      <c r="L8">
        <v>1368</v>
      </c>
      <c r="N8">
        <v>1011</v>
      </c>
      <c r="O8" t="s">
        <v>666</v>
      </c>
      <c r="P8" t="s">
        <v>666</v>
      </c>
      <c r="Q8">
        <v>1</v>
      </c>
      <c r="X8">
        <v>0.13</v>
      </c>
      <c r="Y8">
        <v>0</v>
      </c>
      <c r="Z8">
        <v>31.26</v>
      </c>
      <c r="AA8">
        <v>13.5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0.13</v>
      </c>
      <c r="AH8">
        <v>2</v>
      </c>
      <c r="AI8">
        <v>39489079</v>
      </c>
      <c r="AJ8">
        <v>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39489080</v>
      </c>
      <c r="C9">
        <v>39489076</v>
      </c>
      <c r="D9">
        <v>36799072</v>
      </c>
      <c r="E9">
        <v>17</v>
      </c>
      <c r="F9">
        <v>1</v>
      </c>
      <c r="G9">
        <v>1</v>
      </c>
      <c r="H9">
        <v>3</v>
      </c>
      <c r="I9" t="s">
        <v>257</v>
      </c>
      <c r="J9" t="s">
        <v>3</v>
      </c>
      <c r="K9" t="s">
        <v>258</v>
      </c>
      <c r="L9">
        <v>1348</v>
      </c>
      <c r="N9">
        <v>1009</v>
      </c>
      <c r="O9" t="s">
        <v>110</v>
      </c>
      <c r="P9" t="s">
        <v>110</v>
      </c>
      <c r="Q9">
        <v>1000</v>
      </c>
      <c r="X9">
        <v>0.47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3</v>
      </c>
      <c r="AG9">
        <v>0.47</v>
      </c>
      <c r="AH9">
        <v>3</v>
      </c>
      <c r="AI9">
        <v>-1</v>
      </c>
      <c r="AJ9" t="s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39097168</v>
      </c>
      <c r="C10">
        <v>39097161</v>
      </c>
      <c r="D10">
        <v>37065248</v>
      </c>
      <c r="E10">
        <v>1</v>
      </c>
      <c r="F10">
        <v>1</v>
      </c>
      <c r="G10">
        <v>1</v>
      </c>
      <c r="H10">
        <v>1</v>
      </c>
      <c r="I10" t="s">
        <v>669</v>
      </c>
      <c r="J10" t="s">
        <v>3</v>
      </c>
      <c r="K10" t="s">
        <v>670</v>
      </c>
      <c r="L10">
        <v>1191</v>
      </c>
      <c r="N10">
        <v>1013</v>
      </c>
      <c r="O10" t="s">
        <v>660</v>
      </c>
      <c r="P10" t="s">
        <v>660</v>
      </c>
      <c r="Q10">
        <v>1</v>
      </c>
      <c r="X10">
        <v>46.19</v>
      </c>
      <c r="Y10">
        <v>0</v>
      </c>
      <c r="Z10">
        <v>0</v>
      </c>
      <c r="AA10">
        <v>0</v>
      </c>
      <c r="AB10">
        <v>8.5299999999999994</v>
      </c>
      <c r="AC10">
        <v>0</v>
      </c>
      <c r="AD10">
        <v>1</v>
      </c>
      <c r="AE10">
        <v>1</v>
      </c>
      <c r="AF10" t="s">
        <v>3</v>
      </c>
      <c r="AG10">
        <v>46.19</v>
      </c>
      <c r="AH10">
        <v>2</v>
      </c>
      <c r="AI10">
        <v>39097162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39097169</v>
      </c>
      <c r="C11">
        <v>39097161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661</v>
      </c>
      <c r="J11" t="s">
        <v>3</v>
      </c>
      <c r="K11" t="s">
        <v>662</v>
      </c>
      <c r="L11">
        <v>1191</v>
      </c>
      <c r="N11">
        <v>1013</v>
      </c>
      <c r="O11" t="s">
        <v>660</v>
      </c>
      <c r="P11" t="s">
        <v>660</v>
      </c>
      <c r="Q11">
        <v>1</v>
      </c>
      <c r="X11">
        <v>0.01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3</v>
      </c>
      <c r="AG11">
        <v>0.01</v>
      </c>
      <c r="AH11">
        <v>2</v>
      </c>
      <c r="AI11">
        <v>39097163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39097170</v>
      </c>
      <c r="C12">
        <v>39097161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663</v>
      </c>
      <c r="J12" t="s">
        <v>664</v>
      </c>
      <c r="K12" t="s">
        <v>665</v>
      </c>
      <c r="L12">
        <v>1368</v>
      </c>
      <c r="N12">
        <v>1011</v>
      </c>
      <c r="O12" t="s">
        <v>666</v>
      </c>
      <c r="P12" t="s">
        <v>666</v>
      </c>
      <c r="Q12">
        <v>1</v>
      </c>
      <c r="X12">
        <v>0.01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0.01</v>
      </c>
      <c r="AH12">
        <v>2</v>
      </c>
      <c r="AI12">
        <v>39097164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39097171</v>
      </c>
      <c r="C13">
        <v>39097161</v>
      </c>
      <c r="D13">
        <v>36801792</v>
      </c>
      <c r="E13">
        <v>1</v>
      </c>
      <c r="F13">
        <v>1</v>
      </c>
      <c r="G13">
        <v>1</v>
      </c>
      <c r="H13">
        <v>3</v>
      </c>
      <c r="I13" t="s">
        <v>671</v>
      </c>
      <c r="J13" t="s">
        <v>672</v>
      </c>
      <c r="K13" t="s">
        <v>673</v>
      </c>
      <c r="L13">
        <v>1339</v>
      </c>
      <c r="N13">
        <v>1007</v>
      </c>
      <c r="O13" t="s">
        <v>106</v>
      </c>
      <c r="P13" t="s">
        <v>106</v>
      </c>
      <c r="Q13">
        <v>1</v>
      </c>
      <c r="X13">
        <v>0.02</v>
      </c>
      <c r="Y13">
        <v>2.44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0.02</v>
      </c>
      <c r="AH13">
        <v>2</v>
      </c>
      <c r="AI13">
        <v>39097165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39097172</v>
      </c>
      <c r="C14">
        <v>39097161</v>
      </c>
      <c r="D14">
        <v>36799072</v>
      </c>
      <c r="E14">
        <v>17</v>
      </c>
      <c r="F14">
        <v>1</v>
      </c>
      <c r="G14">
        <v>1</v>
      </c>
      <c r="H14">
        <v>3</v>
      </c>
      <c r="I14" t="s">
        <v>257</v>
      </c>
      <c r="J14" t="s">
        <v>3</v>
      </c>
      <c r="K14" t="s">
        <v>258</v>
      </c>
      <c r="L14">
        <v>1348</v>
      </c>
      <c r="N14">
        <v>1009</v>
      </c>
      <c r="O14" t="s">
        <v>110</v>
      </c>
      <c r="P14" t="s">
        <v>110</v>
      </c>
      <c r="Q14">
        <v>1000</v>
      </c>
      <c r="X14">
        <v>7.0000000000000007E-2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7.0000000000000007E-2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39097173</v>
      </c>
      <c r="C15">
        <v>39097161</v>
      </c>
      <c r="D15">
        <v>36806488</v>
      </c>
      <c r="E15">
        <v>1</v>
      </c>
      <c r="F15">
        <v>1</v>
      </c>
      <c r="G15">
        <v>1</v>
      </c>
      <c r="H15">
        <v>3</v>
      </c>
      <c r="I15" t="s">
        <v>674</v>
      </c>
      <c r="J15" t="s">
        <v>675</v>
      </c>
      <c r="K15" t="s">
        <v>676</v>
      </c>
      <c r="L15">
        <v>1348</v>
      </c>
      <c r="N15">
        <v>1009</v>
      </c>
      <c r="O15" t="s">
        <v>110</v>
      </c>
      <c r="P15" t="s">
        <v>110</v>
      </c>
      <c r="Q15">
        <v>1000</v>
      </c>
      <c r="X15">
        <v>0.05</v>
      </c>
      <c r="Y15">
        <v>729.98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0.05</v>
      </c>
      <c r="AH15">
        <v>2</v>
      </c>
      <c r="AI15">
        <v>39097166</v>
      </c>
      <c r="AJ15">
        <v>12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39097174</v>
      </c>
      <c r="C16">
        <v>39097161</v>
      </c>
      <c r="D16">
        <v>36797058</v>
      </c>
      <c r="E16">
        <v>17</v>
      </c>
      <c r="F16">
        <v>1</v>
      </c>
      <c r="G16">
        <v>1</v>
      </c>
      <c r="H16">
        <v>3</v>
      </c>
      <c r="I16" t="s">
        <v>950</v>
      </c>
      <c r="J16" t="s">
        <v>3</v>
      </c>
      <c r="K16" t="s">
        <v>951</v>
      </c>
      <c r="L16">
        <v>1354</v>
      </c>
      <c r="N16">
        <v>1010</v>
      </c>
      <c r="O16" t="s">
        <v>46</v>
      </c>
      <c r="P16" t="s">
        <v>46</v>
      </c>
      <c r="Q16">
        <v>1</v>
      </c>
      <c r="X16">
        <v>100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</v>
      </c>
      <c r="AG16">
        <v>100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ROW(Source!A33)</f>
        <v>33</v>
      </c>
      <c r="B17">
        <v>39097178</v>
      </c>
      <c r="C17">
        <v>39097176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667</v>
      </c>
      <c r="J17" t="s">
        <v>3</v>
      </c>
      <c r="K17" t="s">
        <v>668</v>
      </c>
      <c r="L17">
        <v>1191</v>
      </c>
      <c r="N17">
        <v>1013</v>
      </c>
      <c r="O17" t="s">
        <v>660</v>
      </c>
      <c r="P17" t="s">
        <v>660</v>
      </c>
      <c r="Q17">
        <v>1</v>
      </c>
      <c r="X17">
        <v>22.82</v>
      </c>
      <c r="Y17">
        <v>0</v>
      </c>
      <c r="Z17">
        <v>0</v>
      </c>
      <c r="AA17">
        <v>0</v>
      </c>
      <c r="AB17">
        <v>7.8</v>
      </c>
      <c r="AC17">
        <v>0</v>
      </c>
      <c r="AD17">
        <v>1</v>
      </c>
      <c r="AE17">
        <v>1</v>
      </c>
      <c r="AF17" t="s">
        <v>3</v>
      </c>
      <c r="AG17">
        <v>22.82</v>
      </c>
      <c r="AH17">
        <v>2</v>
      </c>
      <c r="AI17">
        <v>39097177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39488828</v>
      </c>
      <c r="C18">
        <v>39101952</v>
      </c>
      <c r="D18">
        <v>37070202</v>
      </c>
      <c r="E18">
        <v>1</v>
      </c>
      <c r="F18">
        <v>1</v>
      </c>
      <c r="G18">
        <v>1</v>
      </c>
      <c r="H18">
        <v>1</v>
      </c>
      <c r="I18" t="s">
        <v>677</v>
      </c>
      <c r="J18" t="s">
        <v>3</v>
      </c>
      <c r="K18" t="s">
        <v>678</v>
      </c>
      <c r="L18">
        <v>1191</v>
      </c>
      <c r="N18">
        <v>1013</v>
      </c>
      <c r="O18" t="s">
        <v>660</v>
      </c>
      <c r="P18" t="s">
        <v>660</v>
      </c>
      <c r="Q18">
        <v>1</v>
      </c>
      <c r="X18">
        <v>50.6</v>
      </c>
      <c r="Y18">
        <v>0</v>
      </c>
      <c r="Z18">
        <v>0</v>
      </c>
      <c r="AA18">
        <v>0</v>
      </c>
      <c r="AB18">
        <v>9.51</v>
      </c>
      <c r="AC18">
        <v>0</v>
      </c>
      <c r="AD18">
        <v>1</v>
      </c>
      <c r="AE18">
        <v>1</v>
      </c>
      <c r="AF18" t="s">
        <v>58</v>
      </c>
      <c r="AG18">
        <v>40.480000000000004</v>
      </c>
      <c r="AH18">
        <v>2</v>
      </c>
      <c r="AI18">
        <v>39488828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39488829</v>
      </c>
      <c r="C19">
        <v>39101952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661</v>
      </c>
      <c r="J19" t="s">
        <v>3</v>
      </c>
      <c r="K19" t="s">
        <v>662</v>
      </c>
      <c r="L19">
        <v>1191</v>
      </c>
      <c r="N19">
        <v>1013</v>
      </c>
      <c r="O19" t="s">
        <v>660</v>
      </c>
      <c r="P19" t="s">
        <v>660</v>
      </c>
      <c r="Q19">
        <v>1</v>
      </c>
      <c r="X19">
        <v>1.42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58</v>
      </c>
      <c r="AG19">
        <v>1.1359999999999999</v>
      </c>
      <c r="AH19">
        <v>2</v>
      </c>
      <c r="AI19">
        <v>39488829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39488830</v>
      </c>
      <c r="C20">
        <v>39101952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663</v>
      </c>
      <c r="J20" t="s">
        <v>664</v>
      </c>
      <c r="K20" t="s">
        <v>665</v>
      </c>
      <c r="L20">
        <v>1368</v>
      </c>
      <c r="N20">
        <v>1011</v>
      </c>
      <c r="O20" t="s">
        <v>666</v>
      </c>
      <c r="P20" t="s">
        <v>666</v>
      </c>
      <c r="Q20">
        <v>1</v>
      </c>
      <c r="X20">
        <v>0.22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58</v>
      </c>
      <c r="AG20">
        <v>0.17600000000000002</v>
      </c>
      <c r="AH20">
        <v>2</v>
      </c>
      <c r="AI20">
        <v>39488830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39488831</v>
      </c>
      <c r="C21">
        <v>39101952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679</v>
      </c>
      <c r="J21" t="s">
        <v>680</v>
      </c>
      <c r="K21" t="s">
        <v>681</v>
      </c>
      <c r="L21">
        <v>1368</v>
      </c>
      <c r="N21">
        <v>1011</v>
      </c>
      <c r="O21" t="s">
        <v>666</v>
      </c>
      <c r="P21" t="s">
        <v>666</v>
      </c>
      <c r="Q21">
        <v>1</v>
      </c>
      <c r="X21">
        <v>1.2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58</v>
      </c>
      <c r="AG21">
        <v>0.96</v>
      </c>
      <c r="AH21">
        <v>2</v>
      </c>
      <c r="AI21">
        <v>39488831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39488832</v>
      </c>
      <c r="C22">
        <v>39101952</v>
      </c>
      <c r="D22">
        <v>36801783</v>
      </c>
      <c r="E22">
        <v>1</v>
      </c>
      <c r="F22">
        <v>1</v>
      </c>
      <c r="G22">
        <v>1</v>
      </c>
      <c r="H22">
        <v>3</v>
      </c>
      <c r="I22" t="s">
        <v>682</v>
      </c>
      <c r="J22" t="s">
        <v>683</v>
      </c>
      <c r="K22" t="s">
        <v>684</v>
      </c>
      <c r="L22">
        <v>1348</v>
      </c>
      <c r="N22">
        <v>1009</v>
      </c>
      <c r="O22" t="s">
        <v>110</v>
      </c>
      <c r="P22" t="s">
        <v>110</v>
      </c>
      <c r="Q22">
        <v>1000</v>
      </c>
      <c r="X22">
        <v>0.01</v>
      </c>
      <c r="Y22">
        <v>5650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57</v>
      </c>
      <c r="AG22">
        <v>0</v>
      </c>
      <c r="AH22">
        <v>2</v>
      </c>
      <c r="AI22">
        <v>39488832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39488833</v>
      </c>
      <c r="C23">
        <v>39101952</v>
      </c>
      <c r="D23">
        <v>36804953</v>
      </c>
      <c r="E23">
        <v>1</v>
      </c>
      <c r="F23">
        <v>1</v>
      </c>
      <c r="G23">
        <v>1</v>
      </c>
      <c r="H23">
        <v>3</v>
      </c>
      <c r="I23" t="s">
        <v>685</v>
      </c>
      <c r="J23" t="s">
        <v>686</v>
      </c>
      <c r="K23" t="s">
        <v>687</v>
      </c>
      <c r="L23">
        <v>1348</v>
      </c>
      <c r="N23">
        <v>1009</v>
      </c>
      <c r="O23" t="s">
        <v>110</v>
      </c>
      <c r="P23" t="s">
        <v>110</v>
      </c>
      <c r="Q23">
        <v>1000</v>
      </c>
      <c r="X23">
        <v>8.4000000000000003E-4</v>
      </c>
      <c r="Y23">
        <v>11350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57</v>
      </c>
      <c r="AG23">
        <v>0</v>
      </c>
      <c r="AH23">
        <v>2</v>
      </c>
      <c r="AI23">
        <v>39488833</v>
      </c>
      <c r="AJ23">
        <v>20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39488834</v>
      </c>
      <c r="C24">
        <v>39101952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688</v>
      </c>
      <c r="J24" t="s">
        <v>689</v>
      </c>
      <c r="K24" t="s">
        <v>690</v>
      </c>
      <c r="L24">
        <v>1346</v>
      </c>
      <c r="N24">
        <v>1009</v>
      </c>
      <c r="O24" t="s">
        <v>138</v>
      </c>
      <c r="P24" t="s">
        <v>138</v>
      </c>
      <c r="Q24">
        <v>1</v>
      </c>
      <c r="X24">
        <v>0.2</v>
      </c>
      <c r="Y24">
        <v>1.82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57</v>
      </c>
      <c r="AG24">
        <v>0</v>
      </c>
      <c r="AH24">
        <v>2</v>
      </c>
      <c r="AI24">
        <v>39488834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39488835</v>
      </c>
      <c r="C25">
        <v>39101952</v>
      </c>
      <c r="D25">
        <v>36797495</v>
      </c>
      <c r="E25">
        <v>17</v>
      </c>
      <c r="F25">
        <v>1</v>
      </c>
      <c r="G25">
        <v>1</v>
      </c>
      <c r="H25">
        <v>3</v>
      </c>
      <c r="I25" t="s">
        <v>952</v>
      </c>
      <c r="J25" t="s">
        <v>3</v>
      </c>
      <c r="K25" t="s">
        <v>953</v>
      </c>
      <c r="L25">
        <v>1327</v>
      </c>
      <c r="N25">
        <v>1005</v>
      </c>
      <c r="O25" t="s">
        <v>83</v>
      </c>
      <c r="P25" t="s">
        <v>83</v>
      </c>
      <c r="Q25">
        <v>1</v>
      </c>
      <c r="X25">
        <v>102.5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57</v>
      </c>
      <c r="AG25">
        <v>0</v>
      </c>
      <c r="AH25">
        <v>3</v>
      </c>
      <c r="AI25">
        <v>-1</v>
      </c>
      <c r="AJ25" t="s">
        <v>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39488836</v>
      </c>
      <c r="C26">
        <v>39101952</v>
      </c>
      <c r="D26">
        <v>36838463</v>
      </c>
      <c r="E26">
        <v>1</v>
      </c>
      <c r="F26">
        <v>1</v>
      </c>
      <c r="G26">
        <v>1</v>
      </c>
      <c r="H26">
        <v>3</v>
      </c>
      <c r="I26" t="s">
        <v>691</v>
      </c>
      <c r="J26" t="s">
        <v>692</v>
      </c>
      <c r="K26" t="s">
        <v>693</v>
      </c>
      <c r="L26">
        <v>1348</v>
      </c>
      <c r="N26">
        <v>1009</v>
      </c>
      <c r="O26" t="s">
        <v>110</v>
      </c>
      <c r="P26" t="s">
        <v>110</v>
      </c>
      <c r="Q26">
        <v>1000</v>
      </c>
      <c r="X26">
        <v>1.1000000000000001E-3</v>
      </c>
      <c r="Y26">
        <v>33640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57</v>
      </c>
      <c r="AG26">
        <v>0</v>
      </c>
      <c r="AH26">
        <v>2</v>
      </c>
      <c r="AI26">
        <v>39488836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ROW(Source!A34)</f>
        <v>34</v>
      </c>
      <c r="B27">
        <v>39488837</v>
      </c>
      <c r="C27">
        <v>39101952</v>
      </c>
      <c r="D27">
        <v>36839148</v>
      </c>
      <c r="E27">
        <v>1</v>
      </c>
      <c r="F27">
        <v>1</v>
      </c>
      <c r="G27">
        <v>1</v>
      </c>
      <c r="H27">
        <v>3</v>
      </c>
      <c r="I27" t="s">
        <v>694</v>
      </c>
      <c r="J27" t="s">
        <v>695</v>
      </c>
      <c r="K27" t="s">
        <v>696</v>
      </c>
      <c r="L27">
        <v>1348</v>
      </c>
      <c r="N27">
        <v>1009</v>
      </c>
      <c r="O27" t="s">
        <v>110</v>
      </c>
      <c r="P27" t="s">
        <v>110</v>
      </c>
      <c r="Q27">
        <v>1000</v>
      </c>
      <c r="X27">
        <v>3.0000000000000001E-3</v>
      </c>
      <c r="Y27">
        <v>5479.9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57</v>
      </c>
      <c r="AG27">
        <v>0</v>
      </c>
      <c r="AH27">
        <v>2</v>
      </c>
      <c r="AI27">
        <v>39488837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39488851</v>
      </c>
      <c r="C28">
        <v>39488841</v>
      </c>
      <c r="D28">
        <v>37070202</v>
      </c>
      <c r="E28">
        <v>1</v>
      </c>
      <c r="F28">
        <v>1</v>
      </c>
      <c r="G28">
        <v>1</v>
      </c>
      <c r="H28">
        <v>1</v>
      </c>
      <c r="I28" t="s">
        <v>677</v>
      </c>
      <c r="J28" t="s">
        <v>3</v>
      </c>
      <c r="K28" t="s">
        <v>678</v>
      </c>
      <c r="L28">
        <v>1191</v>
      </c>
      <c r="N28">
        <v>1013</v>
      </c>
      <c r="O28" t="s">
        <v>660</v>
      </c>
      <c r="P28" t="s">
        <v>660</v>
      </c>
      <c r="Q28">
        <v>1</v>
      </c>
      <c r="X28">
        <v>50.6</v>
      </c>
      <c r="Y28">
        <v>0</v>
      </c>
      <c r="Z28">
        <v>0</v>
      </c>
      <c r="AA28">
        <v>0</v>
      </c>
      <c r="AB28">
        <v>9.51</v>
      </c>
      <c r="AC28">
        <v>0</v>
      </c>
      <c r="AD28">
        <v>1</v>
      </c>
      <c r="AE28">
        <v>1</v>
      </c>
      <c r="AF28" t="s">
        <v>58</v>
      </c>
      <c r="AG28">
        <v>40.480000000000004</v>
      </c>
      <c r="AH28">
        <v>2</v>
      </c>
      <c r="AI28">
        <v>39488842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39488852</v>
      </c>
      <c r="C29">
        <v>39488841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661</v>
      </c>
      <c r="J29" t="s">
        <v>3</v>
      </c>
      <c r="K29" t="s">
        <v>662</v>
      </c>
      <c r="L29">
        <v>1191</v>
      </c>
      <c r="N29">
        <v>1013</v>
      </c>
      <c r="O29" t="s">
        <v>660</v>
      </c>
      <c r="P29" t="s">
        <v>660</v>
      </c>
      <c r="Q29">
        <v>1</v>
      </c>
      <c r="X29">
        <v>1.42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58</v>
      </c>
      <c r="AG29">
        <v>1.1359999999999999</v>
      </c>
      <c r="AH29">
        <v>2</v>
      </c>
      <c r="AI29">
        <v>39488843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39488853</v>
      </c>
      <c r="C30">
        <v>39488841</v>
      </c>
      <c r="D30">
        <v>36882452</v>
      </c>
      <c r="E30">
        <v>1</v>
      </c>
      <c r="F30">
        <v>1</v>
      </c>
      <c r="G30">
        <v>1</v>
      </c>
      <c r="H30">
        <v>2</v>
      </c>
      <c r="I30" t="s">
        <v>663</v>
      </c>
      <c r="J30" t="s">
        <v>664</v>
      </c>
      <c r="K30" t="s">
        <v>665</v>
      </c>
      <c r="L30">
        <v>1368</v>
      </c>
      <c r="N30">
        <v>1011</v>
      </c>
      <c r="O30" t="s">
        <v>666</v>
      </c>
      <c r="P30" t="s">
        <v>666</v>
      </c>
      <c r="Q30">
        <v>1</v>
      </c>
      <c r="X30">
        <v>0.22</v>
      </c>
      <c r="Y30">
        <v>0</v>
      </c>
      <c r="Z30">
        <v>31.26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58</v>
      </c>
      <c r="AG30">
        <v>0.17600000000000002</v>
      </c>
      <c r="AH30">
        <v>2</v>
      </c>
      <c r="AI30">
        <v>39488844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39488854</v>
      </c>
      <c r="C31">
        <v>39488841</v>
      </c>
      <c r="D31">
        <v>36883554</v>
      </c>
      <c r="E31">
        <v>1</v>
      </c>
      <c r="F31">
        <v>1</v>
      </c>
      <c r="G31">
        <v>1</v>
      </c>
      <c r="H31">
        <v>2</v>
      </c>
      <c r="I31" t="s">
        <v>679</v>
      </c>
      <c r="J31" t="s">
        <v>680</v>
      </c>
      <c r="K31" t="s">
        <v>681</v>
      </c>
      <c r="L31">
        <v>1368</v>
      </c>
      <c r="N31">
        <v>1011</v>
      </c>
      <c r="O31" t="s">
        <v>666</v>
      </c>
      <c r="P31" t="s">
        <v>666</v>
      </c>
      <c r="Q31">
        <v>1</v>
      </c>
      <c r="X31">
        <v>1.2</v>
      </c>
      <c r="Y31">
        <v>0</v>
      </c>
      <c r="Z31">
        <v>65.709999999999994</v>
      </c>
      <c r="AA31">
        <v>11.6</v>
      </c>
      <c r="AB31">
        <v>0</v>
      </c>
      <c r="AC31">
        <v>0</v>
      </c>
      <c r="AD31">
        <v>1</v>
      </c>
      <c r="AE31">
        <v>0</v>
      </c>
      <c r="AF31" t="s">
        <v>58</v>
      </c>
      <c r="AG31">
        <v>0.96</v>
      </c>
      <c r="AH31">
        <v>2</v>
      </c>
      <c r="AI31">
        <v>39488845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39488855</v>
      </c>
      <c r="C32">
        <v>39488841</v>
      </c>
      <c r="D32">
        <v>36801783</v>
      </c>
      <c r="E32">
        <v>1</v>
      </c>
      <c r="F32">
        <v>1</v>
      </c>
      <c r="G32">
        <v>1</v>
      </c>
      <c r="H32">
        <v>3</v>
      </c>
      <c r="I32" t="s">
        <v>682</v>
      </c>
      <c r="J32" t="s">
        <v>683</v>
      </c>
      <c r="K32" t="s">
        <v>684</v>
      </c>
      <c r="L32">
        <v>1348</v>
      </c>
      <c r="N32">
        <v>1009</v>
      </c>
      <c r="O32" t="s">
        <v>110</v>
      </c>
      <c r="P32" t="s">
        <v>110</v>
      </c>
      <c r="Q32">
        <v>1000</v>
      </c>
      <c r="X32">
        <v>0.01</v>
      </c>
      <c r="Y32">
        <v>5650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57</v>
      </c>
      <c r="AG32">
        <v>0</v>
      </c>
      <c r="AH32">
        <v>2</v>
      </c>
      <c r="AI32">
        <v>39488846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39488856</v>
      </c>
      <c r="C33">
        <v>39488841</v>
      </c>
      <c r="D33">
        <v>36804953</v>
      </c>
      <c r="E33">
        <v>1</v>
      </c>
      <c r="F33">
        <v>1</v>
      </c>
      <c r="G33">
        <v>1</v>
      </c>
      <c r="H33">
        <v>3</v>
      </c>
      <c r="I33" t="s">
        <v>685</v>
      </c>
      <c r="J33" t="s">
        <v>686</v>
      </c>
      <c r="K33" t="s">
        <v>687</v>
      </c>
      <c r="L33">
        <v>1348</v>
      </c>
      <c r="N33">
        <v>1009</v>
      </c>
      <c r="O33" t="s">
        <v>110</v>
      </c>
      <c r="P33" t="s">
        <v>110</v>
      </c>
      <c r="Q33">
        <v>1000</v>
      </c>
      <c r="X33">
        <v>8.4000000000000003E-4</v>
      </c>
      <c r="Y33">
        <v>11350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57</v>
      </c>
      <c r="AG33">
        <v>0</v>
      </c>
      <c r="AH33">
        <v>2</v>
      </c>
      <c r="AI33">
        <v>39488847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39488857</v>
      </c>
      <c r="C34">
        <v>39488841</v>
      </c>
      <c r="D34">
        <v>36805524</v>
      </c>
      <c r="E34">
        <v>1</v>
      </c>
      <c r="F34">
        <v>1</v>
      </c>
      <c r="G34">
        <v>1</v>
      </c>
      <c r="H34">
        <v>3</v>
      </c>
      <c r="I34" t="s">
        <v>688</v>
      </c>
      <c r="J34" t="s">
        <v>689</v>
      </c>
      <c r="K34" t="s">
        <v>690</v>
      </c>
      <c r="L34">
        <v>1346</v>
      </c>
      <c r="N34">
        <v>1009</v>
      </c>
      <c r="O34" t="s">
        <v>138</v>
      </c>
      <c r="P34" t="s">
        <v>138</v>
      </c>
      <c r="Q34">
        <v>1</v>
      </c>
      <c r="X34">
        <v>0.2</v>
      </c>
      <c r="Y34">
        <v>1.82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57</v>
      </c>
      <c r="AG34">
        <v>0</v>
      </c>
      <c r="AH34">
        <v>2</v>
      </c>
      <c r="AI34">
        <v>39488848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ROW(Source!A35)</f>
        <v>35</v>
      </c>
      <c r="B35">
        <v>39488858</v>
      </c>
      <c r="C35">
        <v>39488841</v>
      </c>
      <c r="D35">
        <v>36797495</v>
      </c>
      <c r="E35">
        <v>17</v>
      </c>
      <c r="F35">
        <v>1</v>
      </c>
      <c r="G35">
        <v>1</v>
      </c>
      <c r="H35">
        <v>3</v>
      </c>
      <c r="I35" t="s">
        <v>952</v>
      </c>
      <c r="J35" t="s">
        <v>3</v>
      </c>
      <c r="K35" t="s">
        <v>953</v>
      </c>
      <c r="L35">
        <v>1327</v>
      </c>
      <c r="N35">
        <v>1005</v>
      </c>
      <c r="O35" t="s">
        <v>83</v>
      </c>
      <c r="P35" t="s">
        <v>83</v>
      </c>
      <c r="Q35">
        <v>1</v>
      </c>
      <c r="X35">
        <v>102.5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57</v>
      </c>
      <c r="AG35">
        <v>0</v>
      </c>
      <c r="AH35">
        <v>3</v>
      </c>
      <c r="AI35">
        <v>-1</v>
      </c>
      <c r="AJ35" t="s">
        <v>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ROW(Source!A35)</f>
        <v>35</v>
      </c>
      <c r="B36">
        <v>39488859</v>
      </c>
      <c r="C36">
        <v>39488841</v>
      </c>
      <c r="D36">
        <v>36838463</v>
      </c>
      <c r="E36">
        <v>1</v>
      </c>
      <c r="F36">
        <v>1</v>
      </c>
      <c r="G36">
        <v>1</v>
      </c>
      <c r="H36">
        <v>3</v>
      </c>
      <c r="I36" t="s">
        <v>691</v>
      </c>
      <c r="J36" t="s">
        <v>692</v>
      </c>
      <c r="K36" t="s">
        <v>693</v>
      </c>
      <c r="L36">
        <v>1348</v>
      </c>
      <c r="N36">
        <v>1009</v>
      </c>
      <c r="O36" t="s">
        <v>110</v>
      </c>
      <c r="P36" t="s">
        <v>110</v>
      </c>
      <c r="Q36">
        <v>1000</v>
      </c>
      <c r="X36">
        <v>1.1000000000000001E-3</v>
      </c>
      <c r="Y36">
        <v>33640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57</v>
      </c>
      <c r="AG36">
        <v>0</v>
      </c>
      <c r="AH36">
        <v>2</v>
      </c>
      <c r="AI36">
        <v>39488849</v>
      </c>
      <c r="AJ36">
        <v>31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39488860</v>
      </c>
      <c r="C37">
        <v>39488841</v>
      </c>
      <c r="D37">
        <v>36839148</v>
      </c>
      <c r="E37">
        <v>1</v>
      </c>
      <c r="F37">
        <v>1</v>
      </c>
      <c r="G37">
        <v>1</v>
      </c>
      <c r="H37">
        <v>3</v>
      </c>
      <c r="I37" t="s">
        <v>694</v>
      </c>
      <c r="J37" t="s">
        <v>695</v>
      </c>
      <c r="K37" t="s">
        <v>696</v>
      </c>
      <c r="L37">
        <v>1348</v>
      </c>
      <c r="N37">
        <v>1009</v>
      </c>
      <c r="O37" t="s">
        <v>110</v>
      </c>
      <c r="P37" t="s">
        <v>110</v>
      </c>
      <c r="Q37">
        <v>1000</v>
      </c>
      <c r="X37">
        <v>3.0000000000000001E-3</v>
      </c>
      <c r="Y37">
        <v>5479.9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57</v>
      </c>
      <c r="AG37">
        <v>0</v>
      </c>
      <c r="AH37">
        <v>2</v>
      </c>
      <c r="AI37">
        <v>39488850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39492317</v>
      </c>
      <c r="C38">
        <v>39492314</v>
      </c>
      <c r="D38">
        <v>37071037</v>
      </c>
      <c r="E38">
        <v>1</v>
      </c>
      <c r="F38">
        <v>1</v>
      </c>
      <c r="G38">
        <v>1</v>
      </c>
      <c r="H38">
        <v>1</v>
      </c>
      <c r="I38" t="s">
        <v>697</v>
      </c>
      <c r="J38" t="s">
        <v>3</v>
      </c>
      <c r="K38" t="s">
        <v>698</v>
      </c>
      <c r="L38">
        <v>1191</v>
      </c>
      <c r="N38">
        <v>1013</v>
      </c>
      <c r="O38" t="s">
        <v>660</v>
      </c>
      <c r="P38" t="s">
        <v>660</v>
      </c>
      <c r="Q38">
        <v>1</v>
      </c>
      <c r="X38">
        <v>2.8</v>
      </c>
      <c r="Y38">
        <v>0</v>
      </c>
      <c r="Z38">
        <v>0</v>
      </c>
      <c r="AA38">
        <v>0</v>
      </c>
      <c r="AB38">
        <v>9.6199999999999992</v>
      </c>
      <c r="AC38">
        <v>0</v>
      </c>
      <c r="AD38">
        <v>1</v>
      </c>
      <c r="AE38">
        <v>1</v>
      </c>
      <c r="AF38" t="s">
        <v>70</v>
      </c>
      <c r="AG38">
        <v>1.1199999999999999</v>
      </c>
      <c r="AH38">
        <v>2</v>
      </c>
      <c r="AI38">
        <v>39492315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39492318</v>
      </c>
      <c r="C39">
        <v>39492314</v>
      </c>
      <c r="D39">
        <v>36797518</v>
      </c>
      <c r="E39">
        <v>17</v>
      </c>
      <c r="F39">
        <v>1</v>
      </c>
      <c r="G39">
        <v>1</v>
      </c>
      <c r="H39">
        <v>3</v>
      </c>
      <c r="I39" t="s">
        <v>954</v>
      </c>
      <c r="J39" t="s">
        <v>3</v>
      </c>
      <c r="K39" t="s">
        <v>955</v>
      </c>
      <c r="L39">
        <v>1358</v>
      </c>
      <c r="N39">
        <v>1010</v>
      </c>
      <c r="O39" t="s">
        <v>436</v>
      </c>
      <c r="P39" t="s">
        <v>436</v>
      </c>
      <c r="Q39">
        <v>10</v>
      </c>
      <c r="X39">
        <v>2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57</v>
      </c>
      <c r="AG39">
        <v>0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39492319</v>
      </c>
      <c r="C40">
        <v>39492314</v>
      </c>
      <c r="D40">
        <v>36796579</v>
      </c>
      <c r="E40">
        <v>17</v>
      </c>
      <c r="F40">
        <v>1</v>
      </c>
      <c r="G40">
        <v>1</v>
      </c>
      <c r="H40">
        <v>3</v>
      </c>
      <c r="I40" t="s">
        <v>956</v>
      </c>
      <c r="J40" t="s">
        <v>3</v>
      </c>
      <c r="K40" t="s">
        <v>957</v>
      </c>
      <c r="L40">
        <v>1348</v>
      </c>
      <c r="N40">
        <v>1009</v>
      </c>
      <c r="O40" t="s">
        <v>110</v>
      </c>
      <c r="P40" t="s">
        <v>110</v>
      </c>
      <c r="Q40">
        <v>1000</v>
      </c>
      <c r="X40">
        <v>1.3999999999999999E-4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57</v>
      </c>
      <c r="AG40">
        <v>0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ROW(Source!A36)</f>
        <v>36</v>
      </c>
      <c r="B41">
        <v>39492320</v>
      </c>
      <c r="C41">
        <v>39492314</v>
      </c>
      <c r="D41">
        <v>36824289</v>
      </c>
      <c r="E41">
        <v>1</v>
      </c>
      <c r="F41">
        <v>1</v>
      </c>
      <c r="G41">
        <v>1</v>
      </c>
      <c r="H41">
        <v>3</v>
      </c>
      <c r="I41" t="s">
        <v>699</v>
      </c>
      <c r="J41" t="s">
        <v>700</v>
      </c>
      <c r="K41" t="s">
        <v>701</v>
      </c>
      <c r="L41">
        <v>1348</v>
      </c>
      <c r="N41">
        <v>1009</v>
      </c>
      <c r="O41" t="s">
        <v>110</v>
      </c>
      <c r="P41" t="s">
        <v>110</v>
      </c>
      <c r="Q41">
        <v>1000</v>
      </c>
      <c r="X41">
        <v>1E-4</v>
      </c>
      <c r="Y41">
        <v>5989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57</v>
      </c>
      <c r="AG41">
        <v>0</v>
      </c>
      <c r="AH41">
        <v>2</v>
      </c>
      <c r="AI41">
        <v>39492316</v>
      </c>
      <c r="AJ41">
        <v>34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ROW(Source!A36)</f>
        <v>36</v>
      </c>
      <c r="B42">
        <v>39492321</v>
      </c>
      <c r="C42">
        <v>39492314</v>
      </c>
      <c r="D42">
        <v>36797717</v>
      </c>
      <c r="E42">
        <v>17</v>
      </c>
      <c r="F42">
        <v>1</v>
      </c>
      <c r="G42">
        <v>1</v>
      </c>
      <c r="H42">
        <v>3</v>
      </c>
      <c r="I42" t="s">
        <v>958</v>
      </c>
      <c r="J42" t="s">
        <v>3</v>
      </c>
      <c r="K42" t="s">
        <v>959</v>
      </c>
      <c r="L42">
        <v>1354</v>
      </c>
      <c r="N42">
        <v>1010</v>
      </c>
      <c r="O42" t="s">
        <v>46</v>
      </c>
      <c r="P42" t="s">
        <v>46</v>
      </c>
      <c r="Q42">
        <v>1</v>
      </c>
      <c r="X42">
        <v>10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57</v>
      </c>
      <c r="AG42">
        <v>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39492326</v>
      </c>
      <c r="C43">
        <v>39492322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697</v>
      </c>
      <c r="J43" t="s">
        <v>3</v>
      </c>
      <c r="K43" t="s">
        <v>698</v>
      </c>
      <c r="L43">
        <v>1191</v>
      </c>
      <c r="N43">
        <v>1013</v>
      </c>
      <c r="O43" t="s">
        <v>660</v>
      </c>
      <c r="P43" t="s">
        <v>660</v>
      </c>
      <c r="Q43">
        <v>1</v>
      </c>
      <c r="X43">
        <v>2.8</v>
      </c>
      <c r="Y43">
        <v>0</v>
      </c>
      <c r="Z43">
        <v>0</v>
      </c>
      <c r="AA43">
        <v>0</v>
      </c>
      <c r="AB43">
        <v>9.6199999999999992</v>
      </c>
      <c r="AC43">
        <v>0</v>
      </c>
      <c r="AD43">
        <v>1</v>
      </c>
      <c r="AE43">
        <v>1</v>
      </c>
      <c r="AF43" t="s">
        <v>3</v>
      </c>
      <c r="AG43">
        <v>2.8</v>
      </c>
      <c r="AH43">
        <v>2</v>
      </c>
      <c r="AI43">
        <v>39492323</v>
      </c>
      <c r="AJ43">
        <v>35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39492327</v>
      </c>
      <c r="C44">
        <v>39492322</v>
      </c>
      <c r="D44">
        <v>36797518</v>
      </c>
      <c r="E44">
        <v>17</v>
      </c>
      <c r="F44">
        <v>1</v>
      </c>
      <c r="G44">
        <v>1</v>
      </c>
      <c r="H44">
        <v>3</v>
      </c>
      <c r="I44" t="s">
        <v>954</v>
      </c>
      <c r="J44" t="s">
        <v>3</v>
      </c>
      <c r="K44" t="s">
        <v>955</v>
      </c>
      <c r="L44">
        <v>1358</v>
      </c>
      <c r="N44">
        <v>1010</v>
      </c>
      <c r="O44" t="s">
        <v>436</v>
      </c>
      <c r="P44" t="s">
        <v>436</v>
      </c>
      <c r="Q44">
        <v>10</v>
      </c>
      <c r="X44">
        <v>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3</v>
      </c>
      <c r="AG44">
        <v>2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ROW(Source!A37)</f>
        <v>37</v>
      </c>
      <c r="B45">
        <v>39492328</v>
      </c>
      <c r="C45">
        <v>39492322</v>
      </c>
      <c r="D45">
        <v>36796579</v>
      </c>
      <c r="E45">
        <v>17</v>
      </c>
      <c r="F45">
        <v>1</v>
      </c>
      <c r="G45">
        <v>1</v>
      </c>
      <c r="H45">
        <v>3</v>
      </c>
      <c r="I45" t="s">
        <v>956</v>
      </c>
      <c r="J45" t="s">
        <v>3</v>
      </c>
      <c r="K45" t="s">
        <v>957</v>
      </c>
      <c r="L45">
        <v>1348</v>
      </c>
      <c r="N45">
        <v>1009</v>
      </c>
      <c r="O45" t="s">
        <v>110</v>
      </c>
      <c r="P45" t="s">
        <v>110</v>
      </c>
      <c r="Q45">
        <v>1000</v>
      </c>
      <c r="X45">
        <v>1.3999999999999999E-4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1.3999999999999999E-4</v>
      </c>
      <c r="AH45">
        <v>3</v>
      </c>
      <c r="AI45">
        <v>-1</v>
      </c>
      <c r="AJ45" t="s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ROW(Source!A37)</f>
        <v>37</v>
      </c>
      <c r="B46">
        <v>39492329</v>
      </c>
      <c r="C46">
        <v>39492322</v>
      </c>
      <c r="D46">
        <v>36824289</v>
      </c>
      <c r="E46">
        <v>1</v>
      </c>
      <c r="F46">
        <v>1</v>
      </c>
      <c r="G46">
        <v>1</v>
      </c>
      <c r="H46">
        <v>3</v>
      </c>
      <c r="I46" t="s">
        <v>699</v>
      </c>
      <c r="J46" t="s">
        <v>700</v>
      </c>
      <c r="K46" t="s">
        <v>701</v>
      </c>
      <c r="L46">
        <v>1348</v>
      </c>
      <c r="N46">
        <v>1009</v>
      </c>
      <c r="O46" t="s">
        <v>110</v>
      </c>
      <c r="P46" t="s">
        <v>110</v>
      </c>
      <c r="Q46">
        <v>1000</v>
      </c>
      <c r="X46">
        <v>1E-4</v>
      </c>
      <c r="Y46">
        <v>5989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1E-4</v>
      </c>
      <c r="AH46">
        <v>2</v>
      </c>
      <c r="AI46">
        <v>39492324</v>
      </c>
      <c r="AJ46">
        <v>36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ROW(Source!A37)</f>
        <v>37</v>
      </c>
      <c r="B47">
        <v>39492330</v>
      </c>
      <c r="C47">
        <v>39492322</v>
      </c>
      <c r="D47">
        <v>36797717</v>
      </c>
      <c r="E47">
        <v>17</v>
      </c>
      <c r="F47">
        <v>1</v>
      </c>
      <c r="G47">
        <v>1</v>
      </c>
      <c r="H47">
        <v>3</v>
      </c>
      <c r="I47" t="s">
        <v>958</v>
      </c>
      <c r="J47" t="s">
        <v>3</v>
      </c>
      <c r="K47" t="s">
        <v>959</v>
      </c>
      <c r="L47">
        <v>1354</v>
      </c>
      <c r="N47">
        <v>1010</v>
      </c>
      <c r="O47" t="s">
        <v>46</v>
      </c>
      <c r="P47" t="s">
        <v>46</v>
      </c>
      <c r="Q47">
        <v>1</v>
      </c>
      <c r="X47">
        <v>10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10</v>
      </c>
      <c r="AH47">
        <v>3</v>
      </c>
      <c r="AI47">
        <v>-1</v>
      </c>
      <c r="AJ47" t="s">
        <v>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ROW(Source!A39)</f>
        <v>39</v>
      </c>
      <c r="B48">
        <v>39097189</v>
      </c>
      <c r="C48">
        <v>39097179</v>
      </c>
      <c r="D48">
        <v>37080781</v>
      </c>
      <c r="E48">
        <v>1</v>
      </c>
      <c r="F48">
        <v>1</v>
      </c>
      <c r="G48">
        <v>1</v>
      </c>
      <c r="H48">
        <v>1</v>
      </c>
      <c r="I48" t="s">
        <v>702</v>
      </c>
      <c r="J48" t="s">
        <v>3</v>
      </c>
      <c r="K48" t="s">
        <v>703</v>
      </c>
      <c r="L48">
        <v>1191</v>
      </c>
      <c r="N48">
        <v>1013</v>
      </c>
      <c r="O48" t="s">
        <v>660</v>
      </c>
      <c r="P48" t="s">
        <v>660</v>
      </c>
      <c r="Q48">
        <v>1</v>
      </c>
      <c r="X48">
        <v>2.4</v>
      </c>
      <c r="Y48">
        <v>0</v>
      </c>
      <c r="Z48">
        <v>0</v>
      </c>
      <c r="AA48">
        <v>0</v>
      </c>
      <c r="AB48">
        <v>9.92</v>
      </c>
      <c r="AC48">
        <v>0</v>
      </c>
      <c r="AD48">
        <v>1</v>
      </c>
      <c r="AE48">
        <v>1</v>
      </c>
      <c r="AF48" t="s">
        <v>86</v>
      </c>
      <c r="AG48">
        <v>2.76</v>
      </c>
      <c r="AH48">
        <v>2</v>
      </c>
      <c r="AI48">
        <v>39097180</v>
      </c>
      <c r="AJ48">
        <v>38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ROW(Source!A39)</f>
        <v>39</v>
      </c>
      <c r="B49">
        <v>39097190</v>
      </c>
      <c r="C49">
        <v>39097179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661</v>
      </c>
      <c r="J49" t="s">
        <v>3</v>
      </c>
      <c r="K49" t="s">
        <v>662</v>
      </c>
      <c r="L49">
        <v>1191</v>
      </c>
      <c r="N49">
        <v>1013</v>
      </c>
      <c r="O49" t="s">
        <v>660</v>
      </c>
      <c r="P49" t="s">
        <v>660</v>
      </c>
      <c r="Q49">
        <v>1</v>
      </c>
      <c r="X49">
        <v>0.17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85</v>
      </c>
      <c r="AG49">
        <v>0.21250000000000002</v>
      </c>
      <c r="AH49">
        <v>2</v>
      </c>
      <c r="AI49">
        <v>39097181</v>
      </c>
      <c r="AJ49">
        <v>39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ROW(Source!A39)</f>
        <v>39</v>
      </c>
      <c r="B50">
        <v>39097191</v>
      </c>
      <c r="C50">
        <v>39097179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679</v>
      </c>
      <c r="J50" t="s">
        <v>680</v>
      </c>
      <c r="K50" t="s">
        <v>681</v>
      </c>
      <c r="L50">
        <v>1368</v>
      </c>
      <c r="N50">
        <v>1011</v>
      </c>
      <c r="O50" t="s">
        <v>666</v>
      </c>
      <c r="P50" t="s">
        <v>666</v>
      </c>
      <c r="Q50">
        <v>1</v>
      </c>
      <c r="X50">
        <v>0.17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85</v>
      </c>
      <c r="AG50">
        <v>0.21250000000000002</v>
      </c>
      <c r="AH50">
        <v>2</v>
      </c>
      <c r="AI50">
        <v>39097182</v>
      </c>
      <c r="AJ50">
        <v>40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ROW(Source!A39)</f>
        <v>39</v>
      </c>
      <c r="B51">
        <v>39097192</v>
      </c>
      <c r="C51">
        <v>39097179</v>
      </c>
      <c r="D51">
        <v>36883858</v>
      </c>
      <c r="E51">
        <v>1</v>
      </c>
      <c r="F51">
        <v>1</v>
      </c>
      <c r="G51">
        <v>1</v>
      </c>
      <c r="H51">
        <v>2</v>
      </c>
      <c r="I51" t="s">
        <v>704</v>
      </c>
      <c r="J51" t="s">
        <v>705</v>
      </c>
      <c r="K51" t="s">
        <v>706</v>
      </c>
      <c r="L51">
        <v>1368</v>
      </c>
      <c r="N51">
        <v>1011</v>
      </c>
      <c r="O51" t="s">
        <v>666</v>
      </c>
      <c r="P51" t="s">
        <v>666</v>
      </c>
      <c r="Q51">
        <v>1</v>
      </c>
      <c r="X51">
        <v>0.4</v>
      </c>
      <c r="Y51">
        <v>0</v>
      </c>
      <c r="Z51">
        <v>8.1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85</v>
      </c>
      <c r="AG51">
        <v>0.5</v>
      </c>
      <c r="AH51">
        <v>2</v>
      </c>
      <c r="AI51">
        <v>39097183</v>
      </c>
      <c r="AJ51">
        <v>41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ROW(Source!A39)</f>
        <v>39</v>
      </c>
      <c r="B52">
        <v>39097193</v>
      </c>
      <c r="C52">
        <v>39097179</v>
      </c>
      <c r="D52">
        <v>36796888</v>
      </c>
      <c r="E52">
        <v>17</v>
      </c>
      <c r="F52">
        <v>1</v>
      </c>
      <c r="G52">
        <v>1</v>
      </c>
      <c r="H52">
        <v>3</v>
      </c>
      <c r="I52" t="s">
        <v>960</v>
      </c>
      <c r="J52" t="s">
        <v>3</v>
      </c>
      <c r="K52" t="s">
        <v>961</v>
      </c>
      <c r="L52">
        <v>1035</v>
      </c>
      <c r="N52">
        <v>1013</v>
      </c>
      <c r="O52" t="s">
        <v>814</v>
      </c>
      <c r="P52" t="s">
        <v>814</v>
      </c>
      <c r="Q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 t="s">
        <v>3</v>
      </c>
      <c r="AG52">
        <v>0</v>
      </c>
      <c r="AH52">
        <v>3</v>
      </c>
      <c r="AI52">
        <v>-1</v>
      </c>
      <c r="AJ52" t="s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ROW(Source!A39)</f>
        <v>39</v>
      </c>
      <c r="B53">
        <v>39097194</v>
      </c>
      <c r="C53">
        <v>39097179</v>
      </c>
      <c r="D53">
        <v>36803256</v>
      </c>
      <c r="E53">
        <v>1</v>
      </c>
      <c r="F53">
        <v>1</v>
      </c>
      <c r="G53">
        <v>1</v>
      </c>
      <c r="H53">
        <v>3</v>
      </c>
      <c r="I53" t="s">
        <v>707</v>
      </c>
      <c r="J53" t="s">
        <v>708</v>
      </c>
      <c r="K53" t="s">
        <v>709</v>
      </c>
      <c r="L53">
        <v>1348</v>
      </c>
      <c r="N53">
        <v>1009</v>
      </c>
      <c r="O53" t="s">
        <v>110</v>
      </c>
      <c r="P53" t="s">
        <v>110</v>
      </c>
      <c r="Q53">
        <v>1000</v>
      </c>
      <c r="X53">
        <v>1E-4</v>
      </c>
      <c r="Y53">
        <v>10315.01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1E-4</v>
      </c>
      <c r="AH53">
        <v>2</v>
      </c>
      <c r="AI53">
        <v>39097184</v>
      </c>
      <c r="AJ53">
        <v>42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ROW(Source!A39)</f>
        <v>39</v>
      </c>
      <c r="B54">
        <v>39097195</v>
      </c>
      <c r="C54">
        <v>39097179</v>
      </c>
      <c r="D54">
        <v>36796893</v>
      </c>
      <c r="E54">
        <v>17</v>
      </c>
      <c r="F54">
        <v>1</v>
      </c>
      <c r="G54">
        <v>1</v>
      </c>
      <c r="H54">
        <v>3</v>
      </c>
      <c r="I54" t="s">
        <v>962</v>
      </c>
      <c r="J54" t="s">
        <v>3</v>
      </c>
      <c r="K54" t="s">
        <v>963</v>
      </c>
      <c r="L54">
        <v>1327</v>
      </c>
      <c r="N54">
        <v>1005</v>
      </c>
      <c r="O54" t="s">
        <v>83</v>
      </c>
      <c r="P54" t="s">
        <v>83</v>
      </c>
      <c r="Q54">
        <v>1</v>
      </c>
      <c r="X54">
        <v>1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3</v>
      </c>
      <c r="AG54">
        <v>1</v>
      </c>
      <c r="AH54">
        <v>3</v>
      </c>
      <c r="AI54">
        <v>-1</v>
      </c>
      <c r="AJ54" t="s">
        <v>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ROW(Source!A39)</f>
        <v>39</v>
      </c>
      <c r="B55">
        <v>39097196</v>
      </c>
      <c r="C55">
        <v>39097179</v>
      </c>
      <c r="D55">
        <v>36826512</v>
      </c>
      <c r="E55">
        <v>1</v>
      </c>
      <c r="F55">
        <v>1</v>
      </c>
      <c r="G55">
        <v>1</v>
      </c>
      <c r="H55">
        <v>3</v>
      </c>
      <c r="I55" t="s">
        <v>710</v>
      </c>
      <c r="J55" t="s">
        <v>711</v>
      </c>
      <c r="K55" t="s">
        <v>712</v>
      </c>
      <c r="L55">
        <v>1348</v>
      </c>
      <c r="N55">
        <v>1009</v>
      </c>
      <c r="O55" t="s">
        <v>110</v>
      </c>
      <c r="P55" t="s">
        <v>110</v>
      </c>
      <c r="Q55">
        <v>1000</v>
      </c>
      <c r="X55">
        <v>3.0000000000000001E-3</v>
      </c>
      <c r="Y55">
        <v>5804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3.0000000000000001E-3</v>
      </c>
      <c r="AH55">
        <v>2</v>
      </c>
      <c r="AI55">
        <v>39097187</v>
      </c>
      <c r="AJ55">
        <v>45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ROW(Source!A39)</f>
        <v>39</v>
      </c>
      <c r="B56">
        <v>39097197</v>
      </c>
      <c r="C56">
        <v>39097179</v>
      </c>
      <c r="D56">
        <v>36838813</v>
      </c>
      <c r="E56">
        <v>1</v>
      </c>
      <c r="F56">
        <v>1</v>
      </c>
      <c r="G56">
        <v>1</v>
      </c>
      <c r="H56">
        <v>3</v>
      </c>
      <c r="I56" t="s">
        <v>713</v>
      </c>
      <c r="J56" t="s">
        <v>714</v>
      </c>
      <c r="K56" t="s">
        <v>715</v>
      </c>
      <c r="L56">
        <v>1354</v>
      </c>
      <c r="N56">
        <v>1010</v>
      </c>
      <c r="O56" t="s">
        <v>46</v>
      </c>
      <c r="P56" t="s">
        <v>46</v>
      </c>
      <c r="Q56">
        <v>1</v>
      </c>
      <c r="X56">
        <v>0.1</v>
      </c>
      <c r="Y56">
        <v>72.8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0.1</v>
      </c>
      <c r="AH56">
        <v>2</v>
      </c>
      <c r="AI56">
        <v>39097188</v>
      </c>
      <c r="AJ56">
        <v>46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ROW(Source!A42)</f>
        <v>42</v>
      </c>
      <c r="B57">
        <v>39097207</v>
      </c>
      <c r="C57">
        <v>39097200</v>
      </c>
      <c r="D57">
        <v>37065248</v>
      </c>
      <c r="E57">
        <v>1</v>
      </c>
      <c r="F57">
        <v>1</v>
      </c>
      <c r="G57">
        <v>1</v>
      </c>
      <c r="H57">
        <v>1</v>
      </c>
      <c r="I57" t="s">
        <v>669</v>
      </c>
      <c r="J57" t="s">
        <v>3</v>
      </c>
      <c r="K57" t="s">
        <v>670</v>
      </c>
      <c r="L57">
        <v>1191</v>
      </c>
      <c r="N57">
        <v>1013</v>
      </c>
      <c r="O57" t="s">
        <v>660</v>
      </c>
      <c r="P57" t="s">
        <v>660</v>
      </c>
      <c r="Q57">
        <v>1</v>
      </c>
      <c r="X57">
        <v>124.23</v>
      </c>
      <c r="Y57">
        <v>0</v>
      </c>
      <c r="Z57">
        <v>0</v>
      </c>
      <c r="AA57">
        <v>0</v>
      </c>
      <c r="AB57">
        <v>8.5299999999999994</v>
      </c>
      <c r="AC57">
        <v>0</v>
      </c>
      <c r="AD57">
        <v>1</v>
      </c>
      <c r="AE57">
        <v>1</v>
      </c>
      <c r="AF57" t="s">
        <v>3</v>
      </c>
      <c r="AG57">
        <v>124.23</v>
      </c>
      <c r="AH57">
        <v>2</v>
      </c>
      <c r="AI57">
        <v>39097201</v>
      </c>
      <c r="AJ57">
        <v>47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ROW(Source!A42)</f>
        <v>42</v>
      </c>
      <c r="B58">
        <v>39097208</v>
      </c>
      <c r="C58">
        <v>39097200</v>
      </c>
      <c r="D58">
        <v>36883883</v>
      </c>
      <c r="E58">
        <v>1</v>
      </c>
      <c r="F58">
        <v>1</v>
      </c>
      <c r="G58">
        <v>1</v>
      </c>
      <c r="H58">
        <v>2</v>
      </c>
      <c r="I58" t="s">
        <v>716</v>
      </c>
      <c r="J58" t="s">
        <v>717</v>
      </c>
      <c r="K58" t="s">
        <v>718</v>
      </c>
      <c r="L58">
        <v>1368</v>
      </c>
      <c r="N58">
        <v>1011</v>
      </c>
      <c r="O58" t="s">
        <v>666</v>
      </c>
      <c r="P58" t="s">
        <v>666</v>
      </c>
      <c r="Q58">
        <v>1</v>
      </c>
      <c r="X58">
        <v>1.38</v>
      </c>
      <c r="Y58">
        <v>0</v>
      </c>
      <c r="Z58">
        <v>32.5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1.38</v>
      </c>
      <c r="AH58">
        <v>2</v>
      </c>
      <c r="AI58">
        <v>39097202</v>
      </c>
      <c r="AJ58">
        <v>48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39097209</v>
      </c>
      <c r="C59">
        <v>39097200</v>
      </c>
      <c r="D59">
        <v>36884481</v>
      </c>
      <c r="E59">
        <v>1</v>
      </c>
      <c r="F59">
        <v>1</v>
      </c>
      <c r="G59">
        <v>1</v>
      </c>
      <c r="H59">
        <v>2</v>
      </c>
      <c r="I59" t="s">
        <v>719</v>
      </c>
      <c r="J59" t="s">
        <v>720</v>
      </c>
      <c r="K59" t="s">
        <v>721</v>
      </c>
      <c r="L59">
        <v>1368</v>
      </c>
      <c r="N59">
        <v>1011</v>
      </c>
      <c r="O59" t="s">
        <v>666</v>
      </c>
      <c r="P59" t="s">
        <v>666</v>
      </c>
      <c r="Q59">
        <v>1</v>
      </c>
      <c r="X59">
        <v>1.38</v>
      </c>
      <c r="Y59">
        <v>0</v>
      </c>
      <c r="Z59">
        <v>1.53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1.38</v>
      </c>
      <c r="AH59">
        <v>2</v>
      </c>
      <c r="AI59">
        <v>39097203</v>
      </c>
      <c r="AJ59">
        <v>49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39097210</v>
      </c>
      <c r="C60">
        <v>39097200</v>
      </c>
      <c r="D60">
        <v>36801792</v>
      </c>
      <c r="E60">
        <v>1</v>
      </c>
      <c r="F60">
        <v>1</v>
      </c>
      <c r="G60">
        <v>1</v>
      </c>
      <c r="H60">
        <v>3</v>
      </c>
      <c r="I60" t="s">
        <v>671</v>
      </c>
      <c r="J60" t="s">
        <v>672</v>
      </c>
      <c r="K60" t="s">
        <v>673</v>
      </c>
      <c r="L60">
        <v>1339</v>
      </c>
      <c r="N60">
        <v>1007</v>
      </c>
      <c r="O60" t="s">
        <v>106</v>
      </c>
      <c r="P60" t="s">
        <v>106</v>
      </c>
      <c r="Q60">
        <v>1</v>
      </c>
      <c r="X60">
        <v>0.1</v>
      </c>
      <c r="Y60">
        <v>2.44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0.1</v>
      </c>
      <c r="AH60">
        <v>2</v>
      </c>
      <c r="AI60">
        <v>39097204</v>
      </c>
      <c r="AJ60">
        <v>50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39097211</v>
      </c>
      <c r="C61">
        <v>39097200</v>
      </c>
      <c r="D61">
        <v>36799072</v>
      </c>
      <c r="E61">
        <v>17</v>
      </c>
      <c r="F61">
        <v>1</v>
      </c>
      <c r="G61">
        <v>1</v>
      </c>
      <c r="H61">
        <v>3</v>
      </c>
      <c r="I61" t="s">
        <v>257</v>
      </c>
      <c r="J61" t="s">
        <v>3</v>
      </c>
      <c r="K61" t="s">
        <v>258</v>
      </c>
      <c r="L61">
        <v>1348</v>
      </c>
      <c r="N61">
        <v>1009</v>
      </c>
      <c r="O61" t="s">
        <v>110</v>
      </c>
      <c r="P61" t="s">
        <v>110</v>
      </c>
      <c r="Q61">
        <v>1000</v>
      </c>
      <c r="X61">
        <v>1.48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3</v>
      </c>
      <c r="AG61">
        <v>1.48</v>
      </c>
      <c r="AH61">
        <v>3</v>
      </c>
      <c r="AI61">
        <v>-1</v>
      </c>
      <c r="AJ61" t="s">
        <v>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ROW(Source!A42)</f>
        <v>42</v>
      </c>
      <c r="B62">
        <v>39097212</v>
      </c>
      <c r="C62">
        <v>39097200</v>
      </c>
      <c r="D62">
        <v>36796482</v>
      </c>
      <c r="E62">
        <v>17</v>
      </c>
      <c r="F62">
        <v>1</v>
      </c>
      <c r="G62">
        <v>1</v>
      </c>
      <c r="H62">
        <v>3</v>
      </c>
      <c r="I62" t="s">
        <v>964</v>
      </c>
      <c r="J62" t="s">
        <v>3</v>
      </c>
      <c r="K62" t="s">
        <v>965</v>
      </c>
      <c r="L62">
        <v>1348</v>
      </c>
      <c r="N62">
        <v>1009</v>
      </c>
      <c r="O62" t="s">
        <v>110</v>
      </c>
      <c r="P62" t="s">
        <v>110</v>
      </c>
      <c r="Q62">
        <v>1000</v>
      </c>
      <c r="X62">
        <v>4.4999999999999998E-2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4.4999999999999998E-2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ROW(Source!A42)</f>
        <v>42</v>
      </c>
      <c r="B63">
        <v>39097213</v>
      </c>
      <c r="C63">
        <v>39097200</v>
      </c>
      <c r="D63">
        <v>36796210</v>
      </c>
      <c r="E63">
        <v>17</v>
      </c>
      <c r="F63">
        <v>1</v>
      </c>
      <c r="G63">
        <v>1</v>
      </c>
      <c r="H63">
        <v>3</v>
      </c>
      <c r="I63" t="s">
        <v>104</v>
      </c>
      <c r="J63" t="s">
        <v>3</v>
      </c>
      <c r="K63" t="s">
        <v>105</v>
      </c>
      <c r="L63">
        <v>1339</v>
      </c>
      <c r="N63">
        <v>1007</v>
      </c>
      <c r="O63" t="s">
        <v>106</v>
      </c>
      <c r="P63" t="s">
        <v>106</v>
      </c>
      <c r="Q63">
        <v>1</v>
      </c>
      <c r="X63">
        <v>2.14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3</v>
      </c>
      <c r="AG63">
        <v>2.14</v>
      </c>
      <c r="AH63">
        <v>2</v>
      </c>
      <c r="AI63">
        <v>39097205</v>
      </c>
      <c r="AJ63">
        <v>51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39097817</v>
      </c>
      <c r="C64">
        <v>39097216</v>
      </c>
      <c r="D64">
        <v>37065248</v>
      </c>
      <c r="E64">
        <v>1</v>
      </c>
      <c r="F64">
        <v>1</v>
      </c>
      <c r="G64">
        <v>1</v>
      </c>
      <c r="H64">
        <v>1</v>
      </c>
      <c r="I64" t="s">
        <v>669</v>
      </c>
      <c r="J64" t="s">
        <v>3</v>
      </c>
      <c r="K64" t="s">
        <v>670</v>
      </c>
      <c r="L64">
        <v>1191</v>
      </c>
      <c r="N64">
        <v>1013</v>
      </c>
      <c r="O64" t="s">
        <v>660</v>
      </c>
      <c r="P64" t="s">
        <v>660</v>
      </c>
      <c r="Q64">
        <v>1</v>
      </c>
      <c r="X64">
        <v>37.67</v>
      </c>
      <c r="Y64">
        <v>0</v>
      </c>
      <c r="Z64">
        <v>0</v>
      </c>
      <c r="AA64">
        <v>0</v>
      </c>
      <c r="AB64">
        <v>8.5299999999999994</v>
      </c>
      <c r="AC64">
        <v>0</v>
      </c>
      <c r="AD64">
        <v>1</v>
      </c>
      <c r="AE64">
        <v>1</v>
      </c>
      <c r="AF64" t="s">
        <v>86</v>
      </c>
      <c r="AG64">
        <v>43.320499999999996</v>
      </c>
      <c r="AH64">
        <v>2</v>
      </c>
      <c r="AI64">
        <v>39097817</v>
      </c>
      <c r="AJ64">
        <v>53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39097818</v>
      </c>
      <c r="C65">
        <v>39097216</v>
      </c>
      <c r="D65">
        <v>37064876</v>
      </c>
      <c r="E65">
        <v>1</v>
      </c>
      <c r="F65">
        <v>1</v>
      </c>
      <c r="G65">
        <v>1</v>
      </c>
      <c r="H65">
        <v>1</v>
      </c>
      <c r="I65" t="s">
        <v>661</v>
      </c>
      <c r="J65" t="s">
        <v>3</v>
      </c>
      <c r="K65" t="s">
        <v>662</v>
      </c>
      <c r="L65">
        <v>1191</v>
      </c>
      <c r="N65">
        <v>1013</v>
      </c>
      <c r="O65" t="s">
        <v>660</v>
      </c>
      <c r="P65" t="s">
        <v>660</v>
      </c>
      <c r="Q65">
        <v>1</v>
      </c>
      <c r="X65">
        <v>0.17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85</v>
      </c>
      <c r="AG65">
        <v>0.21250000000000002</v>
      </c>
      <c r="AH65">
        <v>2</v>
      </c>
      <c r="AI65">
        <v>39097818</v>
      </c>
      <c r="AJ65">
        <v>54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39097819</v>
      </c>
      <c r="C66">
        <v>39097216</v>
      </c>
      <c r="D66">
        <v>36882448</v>
      </c>
      <c r="E66">
        <v>1</v>
      </c>
      <c r="F66">
        <v>1</v>
      </c>
      <c r="G66">
        <v>1</v>
      </c>
      <c r="H66">
        <v>2</v>
      </c>
      <c r="I66" t="s">
        <v>722</v>
      </c>
      <c r="J66" t="s">
        <v>723</v>
      </c>
      <c r="K66" t="s">
        <v>724</v>
      </c>
      <c r="L66">
        <v>1368</v>
      </c>
      <c r="N66">
        <v>1011</v>
      </c>
      <c r="O66" t="s">
        <v>666</v>
      </c>
      <c r="P66" t="s">
        <v>666</v>
      </c>
      <c r="Q66">
        <v>1</v>
      </c>
      <c r="X66">
        <v>0.13</v>
      </c>
      <c r="Y66">
        <v>0</v>
      </c>
      <c r="Z66">
        <v>27.66</v>
      </c>
      <c r="AA66">
        <v>11.6</v>
      </c>
      <c r="AB66">
        <v>0</v>
      </c>
      <c r="AC66">
        <v>0</v>
      </c>
      <c r="AD66">
        <v>1</v>
      </c>
      <c r="AE66">
        <v>0</v>
      </c>
      <c r="AF66" t="s">
        <v>85</v>
      </c>
      <c r="AG66">
        <v>0.16250000000000001</v>
      </c>
      <c r="AH66">
        <v>2</v>
      </c>
      <c r="AI66">
        <v>39097819</v>
      </c>
      <c r="AJ66">
        <v>55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39097820</v>
      </c>
      <c r="C67">
        <v>39097216</v>
      </c>
      <c r="D67">
        <v>36883554</v>
      </c>
      <c r="E67">
        <v>1</v>
      </c>
      <c r="F67">
        <v>1</v>
      </c>
      <c r="G67">
        <v>1</v>
      </c>
      <c r="H67">
        <v>2</v>
      </c>
      <c r="I67" t="s">
        <v>679</v>
      </c>
      <c r="J67" t="s">
        <v>680</v>
      </c>
      <c r="K67" t="s">
        <v>681</v>
      </c>
      <c r="L67">
        <v>1368</v>
      </c>
      <c r="N67">
        <v>1011</v>
      </c>
      <c r="O67" t="s">
        <v>666</v>
      </c>
      <c r="P67" t="s">
        <v>666</v>
      </c>
      <c r="Q67">
        <v>1</v>
      </c>
      <c r="X67">
        <v>0.04</v>
      </c>
      <c r="Y67">
        <v>0</v>
      </c>
      <c r="Z67">
        <v>65.709999999999994</v>
      </c>
      <c r="AA67">
        <v>11.6</v>
      </c>
      <c r="AB67">
        <v>0</v>
      </c>
      <c r="AC67">
        <v>0</v>
      </c>
      <c r="AD67">
        <v>1</v>
      </c>
      <c r="AE67">
        <v>0</v>
      </c>
      <c r="AF67" t="s">
        <v>85</v>
      </c>
      <c r="AG67">
        <v>0.05</v>
      </c>
      <c r="AH67">
        <v>2</v>
      </c>
      <c r="AI67">
        <v>39097820</v>
      </c>
      <c r="AJ67">
        <v>56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39097821</v>
      </c>
      <c r="C68">
        <v>39097216</v>
      </c>
      <c r="D68">
        <v>36801792</v>
      </c>
      <c r="E68">
        <v>1</v>
      </c>
      <c r="F68">
        <v>1</v>
      </c>
      <c r="G68">
        <v>1</v>
      </c>
      <c r="H68">
        <v>3</v>
      </c>
      <c r="I68" t="s">
        <v>671</v>
      </c>
      <c r="J68" t="s">
        <v>672</v>
      </c>
      <c r="K68" t="s">
        <v>673</v>
      </c>
      <c r="L68">
        <v>1339</v>
      </c>
      <c r="N68">
        <v>1007</v>
      </c>
      <c r="O68" t="s">
        <v>106</v>
      </c>
      <c r="P68" t="s">
        <v>106</v>
      </c>
      <c r="Q68">
        <v>1</v>
      </c>
      <c r="X68">
        <v>0.17399999999999999</v>
      </c>
      <c r="Y68">
        <v>2.44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0.17399999999999999</v>
      </c>
      <c r="AH68">
        <v>2</v>
      </c>
      <c r="AI68">
        <v>39097821</v>
      </c>
      <c r="AJ68">
        <v>57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39097822</v>
      </c>
      <c r="C69">
        <v>39097216</v>
      </c>
      <c r="D69">
        <v>36807412</v>
      </c>
      <c r="E69">
        <v>1</v>
      </c>
      <c r="F69">
        <v>1</v>
      </c>
      <c r="G69">
        <v>1</v>
      </c>
      <c r="H69">
        <v>3</v>
      </c>
      <c r="I69" t="s">
        <v>725</v>
      </c>
      <c r="J69" t="s">
        <v>726</v>
      </c>
      <c r="K69" t="s">
        <v>727</v>
      </c>
      <c r="L69">
        <v>1348</v>
      </c>
      <c r="N69">
        <v>1009</v>
      </c>
      <c r="O69" t="s">
        <v>110</v>
      </c>
      <c r="P69" t="s">
        <v>110</v>
      </c>
      <c r="Q69">
        <v>1000</v>
      </c>
      <c r="X69">
        <v>0.9</v>
      </c>
      <c r="Y69">
        <v>11381.57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0.9</v>
      </c>
      <c r="AH69">
        <v>2</v>
      </c>
      <c r="AI69">
        <v>39097822</v>
      </c>
      <c r="AJ69">
        <v>58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39097823</v>
      </c>
      <c r="C70">
        <v>39097216</v>
      </c>
      <c r="D70">
        <v>36837972</v>
      </c>
      <c r="E70">
        <v>1</v>
      </c>
      <c r="F70">
        <v>1</v>
      </c>
      <c r="G70">
        <v>1</v>
      </c>
      <c r="H70">
        <v>3</v>
      </c>
      <c r="I70" t="s">
        <v>728</v>
      </c>
      <c r="J70" t="s">
        <v>729</v>
      </c>
      <c r="K70" t="s">
        <v>730</v>
      </c>
      <c r="L70">
        <v>1346</v>
      </c>
      <c r="N70">
        <v>1009</v>
      </c>
      <c r="O70" t="s">
        <v>138</v>
      </c>
      <c r="P70" t="s">
        <v>138</v>
      </c>
      <c r="Q70">
        <v>1</v>
      </c>
      <c r="X70">
        <v>30</v>
      </c>
      <c r="Y70">
        <v>15.25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30</v>
      </c>
      <c r="AH70">
        <v>2</v>
      </c>
      <c r="AI70">
        <v>39097823</v>
      </c>
      <c r="AJ70">
        <v>59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39101107</v>
      </c>
      <c r="C71">
        <v>39101106</v>
      </c>
      <c r="D71">
        <v>37065248</v>
      </c>
      <c r="E71">
        <v>1</v>
      </c>
      <c r="F71">
        <v>1</v>
      </c>
      <c r="G71">
        <v>1</v>
      </c>
      <c r="H71">
        <v>1</v>
      </c>
      <c r="I71" t="s">
        <v>669</v>
      </c>
      <c r="J71" t="s">
        <v>3</v>
      </c>
      <c r="K71" t="s">
        <v>670</v>
      </c>
      <c r="L71">
        <v>1191</v>
      </c>
      <c r="N71">
        <v>1013</v>
      </c>
      <c r="O71" t="s">
        <v>660</v>
      </c>
      <c r="P71" t="s">
        <v>660</v>
      </c>
      <c r="Q71">
        <v>1</v>
      </c>
      <c r="X71">
        <v>2.42</v>
      </c>
      <c r="Y71">
        <v>0</v>
      </c>
      <c r="Z71">
        <v>0</v>
      </c>
      <c r="AA71">
        <v>0</v>
      </c>
      <c r="AB71">
        <v>8.5299999999999994</v>
      </c>
      <c r="AC71">
        <v>0</v>
      </c>
      <c r="AD71">
        <v>1</v>
      </c>
      <c r="AE71">
        <v>1</v>
      </c>
      <c r="AF71" t="s">
        <v>123</v>
      </c>
      <c r="AG71">
        <v>13.914999999999999</v>
      </c>
      <c r="AH71">
        <v>2</v>
      </c>
      <c r="AI71">
        <v>39101107</v>
      </c>
      <c r="AJ71">
        <v>60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ROW(Source!A46)</f>
        <v>46</v>
      </c>
      <c r="B72">
        <v>39101108</v>
      </c>
      <c r="C72">
        <v>39101106</v>
      </c>
      <c r="D72">
        <v>37064876</v>
      </c>
      <c r="E72">
        <v>1</v>
      </c>
      <c r="F72">
        <v>1</v>
      </c>
      <c r="G72">
        <v>1</v>
      </c>
      <c r="H72">
        <v>1</v>
      </c>
      <c r="I72" t="s">
        <v>661</v>
      </c>
      <c r="J72" t="s">
        <v>3</v>
      </c>
      <c r="K72" t="s">
        <v>662</v>
      </c>
      <c r="L72">
        <v>1191</v>
      </c>
      <c r="N72">
        <v>1013</v>
      </c>
      <c r="O72" t="s">
        <v>660</v>
      </c>
      <c r="P72" t="s">
        <v>660</v>
      </c>
      <c r="Q72">
        <v>1</v>
      </c>
      <c r="X72">
        <v>0.03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122</v>
      </c>
      <c r="AG72">
        <v>0.1875</v>
      </c>
      <c r="AH72">
        <v>2</v>
      </c>
      <c r="AI72">
        <v>39101108</v>
      </c>
      <c r="AJ72">
        <v>61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ROW(Source!A46)</f>
        <v>46</v>
      </c>
      <c r="B73">
        <v>39101109</v>
      </c>
      <c r="C73">
        <v>39101106</v>
      </c>
      <c r="D73">
        <v>36882448</v>
      </c>
      <c r="E73">
        <v>1</v>
      </c>
      <c r="F73">
        <v>1</v>
      </c>
      <c r="G73">
        <v>1</v>
      </c>
      <c r="H73">
        <v>2</v>
      </c>
      <c r="I73" t="s">
        <v>722</v>
      </c>
      <c r="J73" t="s">
        <v>723</v>
      </c>
      <c r="K73" t="s">
        <v>724</v>
      </c>
      <c r="L73">
        <v>1368</v>
      </c>
      <c r="N73">
        <v>1011</v>
      </c>
      <c r="O73" t="s">
        <v>666</v>
      </c>
      <c r="P73" t="s">
        <v>666</v>
      </c>
      <c r="Q73">
        <v>1</v>
      </c>
      <c r="X73">
        <v>0.02</v>
      </c>
      <c r="Y73">
        <v>0</v>
      </c>
      <c r="Z73">
        <v>27.66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122</v>
      </c>
      <c r="AG73">
        <v>0.125</v>
      </c>
      <c r="AH73">
        <v>2</v>
      </c>
      <c r="AI73">
        <v>39101109</v>
      </c>
      <c r="AJ73">
        <v>62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ROW(Source!A46)</f>
        <v>46</v>
      </c>
      <c r="B74">
        <v>39101110</v>
      </c>
      <c r="C74">
        <v>39101106</v>
      </c>
      <c r="D74">
        <v>36883554</v>
      </c>
      <c r="E74">
        <v>1</v>
      </c>
      <c r="F74">
        <v>1</v>
      </c>
      <c r="G74">
        <v>1</v>
      </c>
      <c r="H74">
        <v>2</v>
      </c>
      <c r="I74" t="s">
        <v>679</v>
      </c>
      <c r="J74" t="s">
        <v>680</v>
      </c>
      <c r="K74" t="s">
        <v>681</v>
      </c>
      <c r="L74">
        <v>1368</v>
      </c>
      <c r="N74">
        <v>1011</v>
      </c>
      <c r="O74" t="s">
        <v>666</v>
      </c>
      <c r="P74" t="s">
        <v>666</v>
      </c>
      <c r="Q74">
        <v>1</v>
      </c>
      <c r="X74">
        <v>0.01</v>
      </c>
      <c r="Y74">
        <v>0</v>
      </c>
      <c r="Z74">
        <v>65.709999999999994</v>
      </c>
      <c r="AA74">
        <v>11.6</v>
      </c>
      <c r="AB74">
        <v>0</v>
      </c>
      <c r="AC74">
        <v>0</v>
      </c>
      <c r="AD74">
        <v>1</v>
      </c>
      <c r="AE74">
        <v>0</v>
      </c>
      <c r="AF74" t="s">
        <v>122</v>
      </c>
      <c r="AG74">
        <v>6.25E-2</v>
      </c>
      <c r="AH74">
        <v>2</v>
      </c>
      <c r="AI74">
        <v>39101110</v>
      </c>
      <c r="AJ74">
        <v>63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ROW(Source!A46)</f>
        <v>46</v>
      </c>
      <c r="B75">
        <v>39101111</v>
      </c>
      <c r="C75">
        <v>39101106</v>
      </c>
      <c r="D75">
        <v>36801792</v>
      </c>
      <c r="E75">
        <v>1</v>
      </c>
      <c r="F75">
        <v>1</v>
      </c>
      <c r="G75">
        <v>1</v>
      </c>
      <c r="H75">
        <v>3</v>
      </c>
      <c r="I75" t="s">
        <v>671</v>
      </c>
      <c r="J75" t="s">
        <v>672</v>
      </c>
      <c r="K75" t="s">
        <v>673</v>
      </c>
      <c r="L75">
        <v>1339</v>
      </c>
      <c r="N75">
        <v>1007</v>
      </c>
      <c r="O75" t="s">
        <v>106</v>
      </c>
      <c r="P75" t="s">
        <v>106</v>
      </c>
      <c r="Q75">
        <v>1</v>
      </c>
      <c r="X75">
        <v>0.03</v>
      </c>
      <c r="Y75">
        <v>2.44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121</v>
      </c>
      <c r="AG75">
        <v>0.15</v>
      </c>
      <c r="AH75">
        <v>2</v>
      </c>
      <c r="AI75">
        <v>39101111</v>
      </c>
      <c r="AJ75">
        <v>64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ROW(Source!A46)</f>
        <v>46</v>
      </c>
      <c r="B76">
        <v>39101112</v>
      </c>
      <c r="C76">
        <v>39101106</v>
      </c>
      <c r="D76">
        <v>36807412</v>
      </c>
      <c r="E76">
        <v>1</v>
      </c>
      <c r="F76">
        <v>1</v>
      </c>
      <c r="G76">
        <v>1</v>
      </c>
      <c r="H76">
        <v>3</v>
      </c>
      <c r="I76" t="s">
        <v>725</v>
      </c>
      <c r="J76" t="s">
        <v>726</v>
      </c>
      <c r="K76" t="s">
        <v>727</v>
      </c>
      <c r="L76">
        <v>1348</v>
      </c>
      <c r="N76">
        <v>1009</v>
      </c>
      <c r="O76" t="s">
        <v>110</v>
      </c>
      <c r="P76" t="s">
        <v>110</v>
      </c>
      <c r="Q76">
        <v>1000</v>
      </c>
      <c r="X76">
        <v>0.18</v>
      </c>
      <c r="Y76">
        <v>11381.57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121</v>
      </c>
      <c r="AG76">
        <v>0.89999999999999991</v>
      </c>
      <c r="AH76">
        <v>2</v>
      </c>
      <c r="AI76">
        <v>39101112</v>
      </c>
      <c r="AJ76">
        <v>65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ROW(Source!A47)</f>
        <v>47</v>
      </c>
      <c r="B77">
        <v>39097272</v>
      </c>
      <c r="C77">
        <v>39097262</v>
      </c>
      <c r="D77">
        <v>37066837</v>
      </c>
      <c r="E77">
        <v>1</v>
      </c>
      <c r="F77">
        <v>1</v>
      </c>
      <c r="G77">
        <v>1</v>
      </c>
      <c r="H77">
        <v>1</v>
      </c>
      <c r="I77" t="s">
        <v>731</v>
      </c>
      <c r="J77" t="s">
        <v>3</v>
      </c>
      <c r="K77" t="s">
        <v>732</v>
      </c>
      <c r="L77">
        <v>1191</v>
      </c>
      <c r="N77">
        <v>1013</v>
      </c>
      <c r="O77" t="s">
        <v>660</v>
      </c>
      <c r="P77" t="s">
        <v>660</v>
      </c>
      <c r="Q77">
        <v>1</v>
      </c>
      <c r="X77">
        <v>42.4</v>
      </c>
      <c r="Y77">
        <v>0</v>
      </c>
      <c r="Z77">
        <v>0</v>
      </c>
      <c r="AA77">
        <v>0</v>
      </c>
      <c r="AB77">
        <v>8.31</v>
      </c>
      <c r="AC77">
        <v>0</v>
      </c>
      <c r="AD77">
        <v>1</v>
      </c>
      <c r="AE77">
        <v>1</v>
      </c>
      <c r="AF77" t="s">
        <v>86</v>
      </c>
      <c r="AG77">
        <v>48.76</v>
      </c>
      <c r="AH77">
        <v>2</v>
      </c>
      <c r="AI77">
        <v>39097263</v>
      </c>
      <c r="AJ77">
        <v>66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ROW(Source!A47)</f>
        <v>47</v>
      </c>
      <c r="B78">
        <v>39097273</v>
      </c>
      <c r="C78">
        <v>39097262</v>
      </c>
      <c r="D78">
        <v>37064876</v>
      </c>
      <c r="E78">
        <v>1</v>
      </c>
      <c r="F78">
        <v>1</v>
      </c>
      <c r="G78">
        <v>1</v>
      </c>
      <c r="H78">
        <v>1</v>
      </c>
      <c r="I78" t="s">
        <v>661</v>
      </c>
      <c r="J78" t="s">
        <v>3</v>
      </c>
      <c r="K78" t="s">
        <v>662</v>
      </c>
      <c r="L78">
        <v>1191</v>
      </c>
      <c r="N78">
        <v>1013</v>
      </c>
      <c r="O78" t="s">
        <v>660</v>
      </c>
      <c r="P78" t="s">
        <v>660</v>
      </c>
      <c r="Q78">
        <v>1</v>
      </c>
      <c r="X78">
        <v>0.85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85</v>
      </c>
      <c r="AG78">
        <v>1.0625</v>
      </c>
      <c r="AH78">
        <v>2</v>
      </c>
      <c r="AI78">
        <v>39097264</v>
      </c>
      <c r="AJ78">
        <v>67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ROW(Source!A47)</f>
        <v>47</v>
      </c>
      <c r="B79">
        <v>39097274</v>
      </c>
      <c r="C79">
        <v>39097262</v>
      </c>
      <c r="D79">
        <v>36882452</v>
      </c>
      <c r="E79">
        <v>1</v>
      </c>
      <c r="F79">
        <v>1</v>
      </c>
      <c r="G79">
        <v>1</v>
      </c>
      <c r="H79">
        <v>2</v>
      </c>
      <c r="I79" t="s">
        <v>663</v>
      </c>
      <c r="J79" t="s">
        <v>664</v>
      </c>
      <c r="K79" t="s">
        <v>665</v>
      </c>
      <c r="L79">
        <v>1368</v>
      </c>
      <c r="N79">
        <v>1011</v>
      </c>
      <c r="O79" t="s">
        <v>666</v>
      </c>
      <c r="P79" t="s">
        <v>666</v>
      </c>
      <c r="Q79">
        <v>1</v>
      </c>
      <c r="X79">
        <v>0.35</v>
      </c>
      <c r="Y79">
        <v>0</v>
      </c>
      <c r="Z79">
        <v>31.26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85</v>
      </c>
      <c r="AG79">
        <v>0.4375</v>
      </c>
      <c r="AH79">
        <v>2</v>
      </c>
      <c r="AI79">
        <v>39097265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ROW(Source!A47)</f>
        <v>47</v>
      </c>
      <c r="B80">
        <v>39097275</v>
      </c>
      <c r="C80">
        <v>39097262</v>
      </c>
      <c r="D80">
        <v>36883554</v>
      </c>
      <c r="E80">
        <v>1</v>
      </c>
      <c r="F80">
        <v>1</v>
      </c>
      <c r="G80">
        <v>1</v>
      </c>
      <c r="H80">
        <v>2</v>
      </c>
      <c r="I80" t="s">
        <v>679</v>
      </c>
      <c r="J80" t="s">
        <v>680</v>
      </c>
      <c r="K80" t="s">
        <v>681</v>
      </c>
      <c r="L80">
        <v>1368</v>
      </c>
      <c r="N80">
        <v>1011</v>
      </c>
      <c r="O80" t="s">
        <v>666</v>
      </c>
      <c r="P80" t="s">
        <v>666</v>
      </c>
      <c r="Q80">
        <v>1</v>
      </c>
      <c r="X80">
        <v>0.5</v>
      </c>
      <c r="Y80">
        <v>0</v>
      </c>
      <c r="Z80">
        <v>65.709999999999994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85</v>
      </c>
      <c r="AG80">
        <v>0.625</v>
      </c>
      <c r="AH80">
        <v>2</v>
      </c>
      <c r="AI80">
        <v>39097266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ROW(Source!A47)</f>
        <v>47</v>
      </c>
      <c r="B81">
        <v>39097276</v>
      </c>
      <c r="C81">
        <v>39097262</v>
      </c>
      <c r="D81">
        <v>36797243</v>
      </c>
      <c r="E81">
        <v>17</v>
      </c>
      <c r="F81">
        <v>1</v>
      </c>
      <c r="G81">
        <v>1</v>
      </c>
      <c r="H81">
        <v>3</v>
      </c>
      <c r="I81" t="s">
        <v>129</v>
      </c>
      <c r="J81" t="s">
        <v>3</v>
      </c>
      <c r="K81" t="s">
        <v>130</v>
      </c>
      <c r="L81">
        <v>1327</v>
      </c>
      <c r="N81">
        <v>1005</v>
      </c>
      <c r="O81" t="s">
        <v>83</v>
      </c>
      <c r="P81" t="s">
        <v>83</v>
      </c>
      <c r="Q81">
        <v>1</v>
      </c>
      <c r="X81">
        <v>102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102</v>
      </c>
      <c r="AH81">
        <v>2</v>
      </c>
      <c r="AI81">
        <v>39097267</v>
      </c>
      <c r="AJ81">
        <v>70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ROW(Source!A47)</f>
        <v>47</v>
      </c>
      <c r="B82">
        <v>39097277</v>
      </c>
      <c r="C82">
        <v>39097262</v>
      </c>
      <c r="D82">
        <v>36805524</v>
      </c>
      <c r="E82">
        <v>1</v>
      </c>
      <c r="F82">
        <v>1</v>
      </c>
      <c r="G82">
        <v>1</v>
      </c>
      <c r="H82">
        <v>3</v>
      </c>
      <c r="I82" t="s">
        <v>688</v>
      </c>
      <c r="J82" t="s">
        <v>689</v>
      </c>
      <c r="K82" t="s">
        <v>690</v>
      </c>
      <c r="L82">
        <v>1346</v>
      </c>
      <c r="N82">
        <v>1009</v>
      </c>
      <c r="O82" t="s">
        <v>138</v>
      </c>
      <c r="P82" t="s">
        <v>138</v>
      </c>
      <c r="Q82">
        <v>1</v>
      </c>
      <c r="X82">
        <v>0.5</v>
      </c>
      <c r="Y82">
        <v>1.82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0.5</v>
      </c>
      <c r="AH82">
        <v>2</v>
      </c>
      <c r="AI82">
        <v>39097269</v>
      </c>
      <c r="AJ82">
        <v>72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ROW(Source!A47)</f>
        <v>47</v>
      </c>
      <c r="B83">
        <v>39097278</v>
      </c>
      <c r="C83">
        <v>39097262</v>
      </c>
      <c r="D83">
        <v>36796764</v>
      </c>
      <c r="E83">
        <v>17</v>
      </c>
      <c r="F83">
        <v>1</v>
      </c>
      <c r="G83">
        <v>1</v>
      </c>
      <c r="H83">
        <v>3</v>
      </c>
      <c r="I83" t="s">
        <v>136</v>
      </c>
      <c r="J83" t="s">
        <v>3</v>
      </c>
      <c r="K83" t="s">
        <v>137</v>
      </c>
      <c r="L83">
        <v>1346</v>
      </c>
      <c r="N83">
        <v>1009</v>
      </c>
      <c r="O83" t="s">
        <v>138</v>
      </c>
      <c r="P83" t="s">
        <v>138</v>
      </c>
      <c r="Q83">
        <v>1</v>
      </c>
      <c r="X83">
        <v>50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 t="s">
        <v>3</v>
      </c>
      <c r="AG83">
        <v>50</v>
      </c>
      <c r="AH83">
        <v>2</v>
      </c>
      <c r="AI83">
        <v>39097271</v>
      </c>
      <c r="AJ83">
        <v>74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ROW(Source!A52)</f>
        <v>52</v>
      </c>
      <c r="B84">
        <v>39097302</v>
      </c>
      <c r="C84">
        <v>39097283</v>
      </c>
      <c r="D84">
        <v>37072767</v>
      </c>
      <c r="E84">
        <v>1</v>
      </c>
      <c r="F84">
        <v>1</v>
      </c>
      <c r="G84">
        <v>1</v>
      </c>
      <c r="H84">
        <v>1</v>
      </c>
      <c r="I84" t="s">
        <v>733</v>
      </c>
      <c r="J84" t="s">
        <v>3</v>
      </c>
      <c r="K84" t="s">
        <v>734</v>
      </c>
      <c r="L84">
        <v>1191</v>
      </c>
      <c r="N84">
        <v>1013</v>
      </c>
      <c r="O84" t="s">
        <v>660</v>
      </c>
      <c r="P84" t="s">
        <v>660</v>
      </c>
      <c r="Q84">
        <v>1</v>
      </c>
      <c r="X84">
        <v>6.68</v>
      </c>
      <c r="Y84">
        <v>0</v>
      </c>
      <c r="Z84">
        <v>0</v>
      </c>
      <c r="AA84">
        <v>0</v>
      </c>
      <c r="AB84">
        <v>9.18</v>
      </c>
      <c r="AC84">
        <v>0</v>
      </c>
      <c r="AD84">
        <v>1</v>
      </c>
      <c r="AE84">
        <v>1</v>
      </c>
      <c r="AF84" t="s">
        <v>86</v>
      </c>
      <c r="AG84">
        <v>7.6819999999999995</v>
      </c>
      <c r="AH84">
        <v>2</v>
      </c>
      <c r="AI84">
        <v>39097284</v>
      </c>
      <c r="AJ84">
        <v>75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ROW(Source!A52)</f>
        <v>52</v>
      </c>
      <c r="B85">
        <v>39097303</v>
      </c>
      <c r="C85">
        <v>39097283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661</v>
      </c>
      <c r="J85" t="s">
        <v>3</v>
      </c>
      <c r="K85" t="s">
        <v>662</v>
      </c>
      <c r="L85">
        <v>1191</v>
      </c>
      <c r="N85">
        <v>1013</v>
      </c>
      <c r="O85" t="s">
        <v>660</v>
      </c>
      <c r="P85" t="s">
        <v>660</v>
      </c>
      <c r="Q85">
        <v>1</v>
      </c>
      <c r="X85">
        <v>0.04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85</v>
      </c>
      <c r="AG85">
        <v>0.05</v>
      </c>
      <c r="AH85">
        <v>2</v>
      </c>
      <c r="AI85">
        <v>39097285</v>
      </c>
      <c r="AJ85">
        <v>76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ROW(Source!A52)</f>
        <v>52</v>
      </c>
      <c r="B86">
        <v>39097304</v>
      </c>
      <c r="C86">
        <v>39097283</v>
      </c>
      <c r="D86">
        <v>36882452</v>
      </c>
      <c r="E86">
        <v>1</v>
      </c>
      <c r="F86">
        <v>1</v>
      </c>
      <c r="G86">
        <v>1</v>
      </c>
      <c r="H86">
        <v>2</v>
      </c>
      <c r="I86" t="s">
        <v>663</v>
      </c>
      <c r="J86" t="s">
        <v>664</v>
      </c>
      <c r="K86" t="s">
        <v>665</v>
      </c>
      <c r="L86">
        <v>1368</v>
      </c>
      <c r="N86">
        <v>1011</v>
      </c>
      <c r="O86" t="s">
        <v>666</v>
      </c>
      <c r="P86" t="s">
        <v>666</v>
      </c>
      <c r="Q86">
        <v>1</v>
      </c>
      <c r="X86">
        <v>5.0000000000000001E-3</v>
      </c>
      <c r="Y86">
        <v>0</v>
      </c>
      <c r="Z86">
        <v>31.26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85</v>
      </c>
      <c r="AG86">
        <v>6.2500000000000003E-3</v>
      </c>
      <c r="AH86">
        <v>2</v>
      </c>
      <c r="AI86">
        <v>39097286</v>
      </c>
      <c r="AJ86">
        <v>77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ROW(Source!A52)</f>
        <v>52</v>
      </c>
      <c r="B87">
        <v>39097305</v>
      </c>
      <c r="C87">
        <v>39097283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679</v>
      </c>
      <c r="J87" t="s">
        <v>680</v>
      </c>
      <c r="K87" t="s">
        <v>681</v>
      </c>
      <c r="L87">
        <v>1368</v>
      </c>
      <c r="N87">
        <v>1011</v>
      </c>
      <c r="O87" t="s">
        <v>666</v>
      </c>
      <c r="P87" t="s">
        <v>666</v>
      </c>
      <c r="Q87">
        <v>1</v>
      </c>
      <c r="X87">
        <v>0.03</v>
      </c>
      <c r="Y87">
        <v>0</v>
      </c>
      <c r="Z87">
        <v>65.709999999999994</v>
      </c>
      <c r="AA87">
        <v>11.6</v>
      </c>
      <c r="AB87">
        <v>0</v>
      </c>
      <c r="AC87">
        <v>0</v>
      </c>
      <c r="AD87">
        <v>1</v>
      </c>
      <c r="AE87">
        <v>0</v>
      </c>
      <c r="AF87" t="s">
        <v>85</v>
      </c>
      <c r="AG87">
        <v>3.7499999999999999E-2</v>
      </c>
      <c r="AH87">
        <v>2</v>
      </c>
      <c r="AI87">
        <v>39097287</v>
      </c>
      <c r="AJ87">
        <v>78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ROW(Source!A52)</f>
        <v>52</v>
      </c>
      <c r="B88">
        <v>39097306</v>
      </c>
      <c r="C88">
        <v>39097283</v>
      </c>
      <c r="D88">
        <v>36804478</v>
      </c>
      <c r="E88">
        <v>1</v>
      </c>
      <c r="F88">
        <v>1</v>
      </c>
      <c r="G88">
        <v>1</v>
      </c>
      <c r="H88">
        <v>3</v>
      </c>
      <c r="I88" t="s">
        <v>735</v>
      </c>
      <c r="J88" t="s">
        <v>736</v>
      </c>
      <c r="K88" t="s">
        <v>737</v>
      </c>
      <c r="L88">
        <v>1355</v>
      </c>
      <c r="N88">
        <v>1010</v>
      </c>
      <c r="O88" t="s">
        <v>161</v>
      </c>
      <c r="P88" t="s">
        <v>161</v>
      </c>
      <c r="Q88">
        <v>100</v>
      </c>
      <c r="X88">
        <v>2.63</v>
      </c>
      <c r="Y88">
        <v>12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2.63</v>
      </c>
      <c r="AH88">
        <v>2</v>
      </c>
      <c r="AI88">
        <v>39097288</v>
      </c>
      <c r="AJ88">
        <v>79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ROW(Source!A52)</f>
        <v>52</v>
      </c>
      <c r="B89">
        <v>39097307</v>
      </c>
      <c r="C89">
        <v>39097283</v>
      </c>
      <c r="D89">
        <v>36804581</v>
      </c>
      <c r="E89">
        <v>1</v>
      </c>
      <c r="F89">
        <v>1</v>
      </c>
      <c r="G89">
        <v>1</v>
      </c>
      <c r="H89">
        <v>3</v>
      </c>
      <c r="I89" t="s">
        <v>738</v>
      </c>
      <c r="J89" t="s">
        <v>739</v>
      </c>
      <c r="K89" t="s">
        <v>740</v>
      </c>
      <c r="L89">
        <v>1356</v>
      </c>
      <c r="N89">
        <v>1010</v>
      </c>
      <c r="O89" t="s">
        <v>741</v>
      </c>
      <c r="P89" t="s">
        <v>741</v>
      </c>
      <c r="Q89">
        <v>1000</v>
      </c>
      <c r="X89">
        <v>0.26300000000000001</v>
      </c>
      <c r="Y89">
        <v>160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0.26300000000000001</v>
      </c>
      <c r="AH89">
        <v>2</v>
      </c>
      <c r="AI89">
        <v>39097289</v>
      </c>
      <c r="AJ89">
        <v>80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ROW(Source!A52)</f>
        <v>52</v>
      </c>
      <c r="B90">
        <v>39097308</v>
      </c>
      <c r="C90">
        <v>39097283</v>
      </c>
      <c r="D90">
        <v>36797263</v>
      </c>
      <c r="E90">
        <v>17</v>
      </c>
      <c r="F90">
        <v>1</v>
      </c>
      <c r="G90">
        <v>1</v>
      </c>
      <c r="H90">
        <v>3</v>
      </c>
      <c r="I90" t="s">
        <v>148</v>
      </c>
      <c r="J90" t="s">
        <v>3</v>
      </c>
      <c r="K90" t="s">
        <v>149</v>
      </c>
      <c r="L90">
        <v>1301</v>
      </c>
      <c r="N90">
        <v>1003</v>
      </c>
      <c r="O90" t="s">
        <v>150</v>
      </c>
      <c r="P90" t="s">
        <v>150</v>
      </c>
      <c r="Q90">
        <v>1</v>
      </c>
      <c r="X90">
        <v>101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 t="s">
        <v>3</v>
      </c>
      <c r="AG90">
        <v>101</v>
      </c>
      <c r="AH90">
        <v>2</v>
      </c>
      <c r="AI90">
        <v>39097290</v>
      </c>
      <c r="AJ90">
        <v>81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39097309</v>
      </c>
      <c r="C91">
        <v>39097283</v>
      </c>
      <c r="D91">
        <v>36797266</v>
      </c>
      <c r="E91">
        <v>17</v>
      </c>
      <c r="F91">
        <v>1</v>
      </c>
      <c r="G91">
        <v>1</v>
      </c>
      <c r="H91">
        <v>3</v>
      </c>
      <c r="I91" t="s">
        <v>156</v>
      </c>
      <c r="J91" t="s">
        <v>3</v>
      </c>
      <c r="K91" t="s">
        <v>157</v>
      </c>
      <c r="L91">
        <v>1354</v>
      </c>
      <c r="N91">
        <v>1010</v>
      </c>
      <c r="O91" t="s">
        <v>46</v>
      </c>
      <c r="P91" t="s">
        <v>46</v>
      </c>
      <c r="Q91">
        <v>1</v>
      </c>
      <c r="X91">
        <v>7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 t="s">
        <v>3</v>
      </c>
      <c r="AG91">
        <v>7</v>
      </c>
      <c r="AH91">
        <v>2</v>
      </c>
      <c r="AI91">
        <v>39097292</v>
      </c>
      <c r="AJ91">
        <v>83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39097310</v>
      </c>
      <c r="C92">
        <v>39097283</v>
      </c>
      <c r="D92">
        <v>36797266</v>
      </c>
      <c r="E92">
        <v>17</v>
      </c>
      <c r="F92">
        <v>1</v>
      </c>
      <c r="G92">
        <v>1</v>
      </c>
      <c r="H92">
        <v>3</v>
      </c>
      <c r="I92" t="s">
        <v>156</v>
      </c>
      <c r="J92" t="s">
        <v>3</v>
      </c>
      <c r="K92" t="s">
        <v>180</v>
      </c>
      <c r="L92">
        <v>1354</v>
      </c>
      <c r="N92">
        <v>1010</v>
      </c>
      <c r="O92" t="s">
        <v>46</v>
      </c>
      <c r="P92" t="s">
        <v>46</v>
      </c>
      <c r="Q92">
        <v>1</v>
      </c>
      <c r="X92">
        <v>7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3</v>
      </c>
      <c r="AG92">
        <v>7</v>
      </c>
      <c r="AH92">
        <v>2</v>
      </c>
      <c r="AI92">
        <v>39097293</v>
      </c>
      <c r="AJ92">
        <v>84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ROW(Source!A52)</f>
        <v>52</v>
      </c>
      <c r="B93">
        <v>39097311</v>
      </c>
      <c r="C93">
        <v>39097283</v>
      </c>
      <c r="D93">
        <v>36797266</v>
      </c>
      <c r="E93">
        <v>17</v>
      </c>
      <c r="F93">
        <v>1</v>
      </c>
      <c r="G93">
        <v>1</v>
      </c>
      <c r="H93">
        <v>3</v>
      </c>
      <c r="I93" t="s">
        <v>156</v>
      </c>
      <c r="J93" t="s">
        <v>3</v>
      </c>
      <c r="K93" t="s">
        <v>182</v>
      </c>
      <c r="L93">
        <v>1354</v>
      </c>
      <c r="N93">
        <v>1010</v>
      </c>
      <c r="O93" t="s">
        <v>46</v>
      </c>
      <c r="P93" t="s">
        <v>46</v>
      </c>
      <c r="Q93">
        <v>1</v>
      </c>
      <c r="X93">
        <v>40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40</v>
      </c>
      <c r="AH93">
        <v>2</v>
      </c>
      <c r="AI93">
        <v>39097294</v>
      </c>
      <c r="AJ93">
        <v>85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ROW(Source!A52)</f>
        <v>52</v>
      </c>
      <c r="B94">
        <v>39097312</v>
      </c>
      <c r="C94">
        <v>39097283</v>
      </c>
      <c r="D94">
        <v>36797266</v>
      </c>
      <c r="E94">
        <v>17</v>
      </c>
      <c r="F94">
        <v>1</v>
      </c>
      <c r="G94">
        <v>1</v>
      </c>
      <c r="H94">
        <v>3</v>
      </c>
      <c r="I94" t="s">
        <v>156</v>
      </c>
      <c r="J94" t="s">
        <v>3</v>
      </c>
      <c r="K94" t="s">
        <v>184</v>
      </c>
      <c r="L94">
        <v>1354</v>
      </c>
      <c r="N94">
        <v>1010</v>
      </c>
      <c r="O94" t="s">
        <v>46</v>
      </c>
      <c r="P94" t="s">
        <v>46</v>
      </c>
      <c r="Q94">
        <v>1</v>
      </c>
      <c r="X94">
        <v>8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3</v>
      </c>
      <c r="AG94">
        <v>8</v>
      </c>
      <c r="AH94">
        <v>2</v>
      </c>
      <c r="AI94">
        <v>39097295</v>
      </c>
      <c r="AJ94">
        <v>86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39097313</v>
      </c>
      <c r="C95">
        <v>39097283</v>
      </c>
      <c r="D95">
        <v>36797266</v>
      </c>
      <c r="E95">
        <v>17</v>
      </c>
      <c r="F95">
        <v>1</v>
      </c>
      <c r="G95">
        <v>1</v>
      </c>
      <c r="H95">
        <v>3</v>
      </c>
      <c r="I95" t="s">
        <v>156</v>
      </c>
      <c r="J95" t="s">
        <v>3</v>
      </c>
      <c r="K95" t="s">
        <v>186</v>
      </c>
      <c r="L95">
        <v>1354</v>
      </c>
      <c r="N95">
        <v>1010</v>
      </c>
      <c r="O95" t="s">
        <v>46</v>
      </c>
      <c r="P95" t="s">
        <v>46</v>
      </c>
      <c r="Q95">
        <v>1</v>
      </c>
      <c r="X95">
        <v>8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3</v>
      </c>
      <c r="AG95">
        <v>8</v>
      </c>
      <c r="AH95">
        <v>2</v>
      </c>
      <c r="AI95">
        <v>39097296</v>
      </c>
      <c r="AJ95">
        <v>87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ROW(Source!A65)</f>
        <v>65</v>
      </c>
      <c r="B96">
        <v>39097332</v>
      </c>
      <c r="C96">
        <v>39097326</v>
      </c>
      <c r="D96">
        <v>37070495</v>
      </c>
      <c r="E96">
        <v>1</v>
      </c>
      <c r="F96">
        <v>1</v>
      </c>
      <c r="G96">
        <v>1</v>
      </c>
      <c r="H96">
        <v>1</v>
      </c>
      <c r="I96" t="s">
        <v>742</v>
      </c>
      <c r="J96" t="s">
        <v>3</v>
      </c>
      <c r="K96" t="s">
        <v>743</v>
      </c>
      <c r="L96">
        <v>1191</v>
      </c>
      <c r="N96">
        <v>1013</v>
      </c>
      <c r="O96" t="s">
        <v>660</v>
      </c>
      <c r="P96" t="s">
        <v>660</v>
      </c>
      <c r="Q96">
        <v>1</v>
      </c>
      <c r="X96">
        <v>16.64</v>
      </c>
      <c r="Y96">
        <v>0</v>
      </c>
      <c r="Z96">
        <v>0</v>
      </c>
      <c r="AA96">
        <v>0</v>
      </c>
      <c r="AB96">
        <v>8.74</v>
      </c>
      <c r="AC96">
        <v>0</v>
      </c>
      <c r="AD96">
        <v>1</v>
      </c>
      <c r="AE96">
        <v>1</v>
      </c>
      <c r="AF96" t="s">
        <v>86</v>
      </c>
      <c r="AG96">
        <v>19.135999999999999</v>
      </c>
      <c r="AH96">
        <v>2</v>
      </c>
      <c r="AI96">
        <v>39097327</v>
      </c>
      <c r="AJ96">
        <v>93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ROW(Source!A65)</f>
        <v>65</v>
      </c>
      <c r="B97">
        <v>39097333</v>
      </c>
      <c r="C97">
        <v>39097326</v>
      </c>
      <c r="D97">
        <v>36804478</v>
      </c>
      <c r="E97">
        <v>1</v>
      </c>
      <c r="F97">
        <v>1</v>
      </c>
      <c r="G97">
        <v>1</v>
      </c>
      <c r="H97">
        <v>3</v>
      </c>
      <c r="I97" t="s">
        <v>735</v>
      </c>
      <c r="J97" t="s">
        <v>736</v>
      </c>
      <c r="K97" t="s">
        <v>737</v>
      </c>
      <c r="L97">
        <v>1355</v>
      </c>
      <c r="N97">
        <v>1010</v>
      </c>
      <c r="O97" t="s">
        <v>161</v>
      </c>
      <c r="P97" t="s">
        <v>161</v>
      </c>
      <c r="Q97">
        <v>100</v>
      </c>
      <c r="X97">
        <v>6.7</v>
      </c>
      <c r="Y97">
        <v>12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6.7</v>
      </c>
      <c r="AH97">
        <v>2</v>
      </c>
      <c r="AI97">
        <v>39097328</v>
      </c>
      <c r="AJ97">
        <v>94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ROW(Source!A65)</f>
        <v>65</v>
      </c>
      <c r="B98">
        <v>39097334</v>
      </c>
      <c r="C98">
        <v>39097326</v>
      </c>
      <c r="D98">
        <v>36797282</v>
      </c>
      <c r="E98">
        <v>17</v>
      </c>
      <c r="F98">
        <v>1</v>
      </c>
      <c r="G98">
        <v>1</v>
      </c>
      <c r="H98">
        <v>3</v>
      </c>
      <c r="I98" t="s">
        <v>200</v>
      </c>
      <c r="J98" t="s">
        <v>3</v>
      </c>
      <c r="K98" t="s">
        <v>201</v>
      </c>
      <c r="L98">
        <v>1301</v>
      </c>
      <c r="N98">
        <v>1003</v>
      </c>
      <c r="O98" t="s">
        <v>150</v>
      </c>
      <c r="P98" t="s">
        <v>150</v>
      </c>
      <c r="Q98">
        <v>1</v>
      </c>
      <c r="X98">
        <v>105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3</v>
      </c>
      <c r="AG98">
        <v>105</v>
      </c>
      <c r="AH98">
        <v>2</v>
      </c>
      <c r="AI98">
        <v>39097329</v>
      </c>
      <c r="AJ98">
        <v>95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ROW(Source!A69)</f>
        <v>69</v>
      </c>
      <c r="B99">
        <v>39101224</v>
      </c>
      <c r="C99">
        <v>39101223</v>
      </c>
      <c r="D99">
        <v>37064878</v>
      </c>
      <c r="E99">
        <v>1</v>
      </c>
      <c r="F99">
        <v>1</v>
      </c>
      <c r="G99">
        <v>1</v>
      </c>
      <c r="H99">
        <v>1</v>
      </c>
      <c r="I99" t="s">
        <v>744</v>
      </c>
      <c r="J99" t="s">
        <v>3</v>
      </c>
      <c r="K99" t="s">
        <v>745</v>
      </c>
      <c r="L99">
        <v>1191</v>
      </c>
      <c r="N99">
        <v>1013</v>
      </c>
      <c r="O99" t="s">
        <v>660</v>
      </c>
      <c r="P99" t="s">
        <v>660</v>
      </c>
      <c r="Q99">
        <v>1</v>
      </c>
      <c r="X99">
        <v>85.84</v>
      </c>
      <c r="Y99">
        <v>0</v>
      </c>
      <c r="Z99">
        <v>0</v>
      </c>
      <c r="AA99">
        <v>0</v>
      </c>
      <c r="AB99">
        <v>9.4</v>
      </c>
      <c r="AC99">
        <v>0</v>
      </c>
      <c r="AD99">
        <v>1</v>
      </c>
      <c r="AE99">
        <v>1</v>
      </c>
      <c r="AF99" t="s">
        <v>86</v>
      </c>
      <c r="AG99">
        <v>98.715999999999994</v>
      </c>
      <c r="AH99">
        <v>2</v>
      </c>
      <c r="AI99">
        <v>39101224</v>
      </c>
      <c r="AJ99">
        <v>98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ROW(Source!A69)</f>
        <v>69</v>
      </c>
      <c r="B100">
        <v>39101225</v>
      </c>
      <c r="C100">
        <v>39101223</v>
      </c>
      <c r="D100">
        <v>37064876</v>
      </c>
      <c r="E100">
        <v>1</v>
      </c>
      <c r="F100">
        <v>1</v>
      </c>
      <c r="G100">
        <v>1</v>
      </c>
      <c r="H100">
        <v>1</v>
      </c>
      <c r="I100" t="s">
        <v>661</v>
      </c>
      <c r="J100" t="s">
        <v>3</v>
      </c>
      <c r="K100" t="s">
        <v>662</v>
      </c>
      <c r="L100">
        <v>1191</v>
      </c>
      <c r="N100">
        <v>1013</v>
      </c>
      <c r="O100" t="s">
        <v>660</v>
      </c>
      <c r="P100" t="s">
        <v>660</v>
      </c>
      <c r="Q100">
        <v>1</v>
      </c>
      <c r="X100">
        <v>6.29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2</v>
      </c>
      <c r="AF100" t="s">
        <v>85</v>
      </c>
      <c r="AG100">
        <v>7.8624999999999998</v>
      </c>
      <c r="AH100">
        <v>2</v>
      </c>
      <c r="AI100">
        <v>39101225</v>
      </c>
      <c r="AJ100">
        <v>99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ROW(Source!A69)</f>
        <v>69</v>
      </c>
      <c r="B101">
        <v>39101226</v>
      </c>
      <c r="C101">
        <v>39101223</v>
      </c>
      <c r="D101">
        <v>36882452</v>
      </c>
      <c r="E101">
        <v>1</v>
      </c>
      <c r="F101">
        <v>1</v>
      </c>
      <c r="G101">
        <v>1</v>
      </c>
      <c r="H101">
        <v>2</v>
      </c>
      <c r="I101" t="s">
        <v>663</v>
      </c>
      <c r="J101" t="s">
        <v>664</v>
      </c>
      <c r="K101" t="s">
        <v>665</v>
      </c>
      <c r="L101">
        <v>1368</v>
      </c>
      <c r="N101">
        <v>1011</v>
      </c>
      <c r="O101" t="s">
        <v>666</v>
      </c>
      <c r="P101" t="s">
        <v>666</v>
      </c>
      <c r="Q101">
        <v>1</v>
      </c>
      <c r="X101">
        <v>0.84</v>
      </c>
      <c r="Y101">
        <v>0</v>
      </c>
      <c r="Z101">
        <v>31.26</v>
      </c>
      <c r="AA101">
        <v>13.5</v>
      </c>
      <c r="AB101">
        <v>0</v>
      </c>
      <c r="AC101">
        <v>0</v>
      </c>
      <c r="AD101">
        <v>1</v>
      </c>
      <c r="AE101">
        <v>0</v>
      </c>
      <c r="AF101" t="s">
        <v>85</v>
      </c>
      <c r="AG101">
        <v>1.05</v>
      </c>
      <c r="AH101">
        <v>2</v>
      </c>
      <c r="AI101">
        <v>39101226</v>
      </c>
      <c r="AJ101">
        <v>100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ROW(Source!A69)</f>
        <v>69</v>
      </c>
      <c r="B102">
        <v>39101227</v>
      </c>
      <c r="C102">
        <v>39101223</v>
      </c>
      <c r="D102">
        <v>36882608</v>
      </c>
      <c r="E102">
        <v>1</v>
      </c>
      <c r="F102">
        <v>1</v>
      </c>
      <c r="G102">
        <v>1</v>
      </c>
      <c r="H102">
        <v>2</v>
      </c>
      <c r="I102" t="s">
        <v>746</v>
      </c>
      <c r="J102" t="s">
        <v>747</v>
      </c>
      <c r="K102" t="s">
        <v>748</v>
      </c>
      <c r="L102">
        <v>1368</v>
      </c>
      <c r="N102">
        <v>1011</v>
      </c>
      <c r="O102" t="s">
        <v>666</v>
      </c>
      <c r="P102" t="s">
        <v>666</v>
      </c>
      <c r="Q102">
        <v>1</v>
      </c>
      <c r="X102">
        <v>5.45</v>
      </c>
      <c r="Y102">
        <v>0</v>
      </c>
      <c r="Z102">
        <v>14.15</v>
      </c>
      <c r="AA102">
        <v>8.91</v>
      </c>
      <c r="AB102">
        <v>0</v>
      </c>
      <c r="AC102">
        <v>0</v>
      </c>
      <c r="AD102">
        <v>1</v>
      </c>
      <c r="AE102">
        <v>0</v>
      </c>
      <c r="AF102" t="s">
        <v>85</v>
      </c>
      <c r="AG102">
        <v>6.8125</v>
      </c>
      <c r="AH102">
        <v>2</v>
      </c>
      <c r="AI102">
        <v>39101227</v>
      </c>
      <c r="AJ102">
        <v>101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ROW(Source!A69)</f>
        <v>69</v>
      </c>
      <c r="B103">
        <v>39101228</v>
      </c>
      <c r="C103">
        <v>39101223</v>
      </c>
      <c r="D103">
        <v>36804547</v>
      </c>
      <c r="E103">
        <v>1</v>
      </c>
      <c r="F103">
        <v>1</v>
      </c>
      <c r="G103">
        <v>1</v>
      </c>
      <c r="H103">
        <v>3</v>
      </c>
      <c r="I103" t="s">
        <v>749</v>
      </c>
      <c r="J103" t="s">
        <v>750</v>
      </c>
      <c r="K103" t="s">
        <v>751</v>
      </c>
      <c r="L103">
        <v>1348</v>
      </c>
      <c r="N103">
        <v>1009</v>
      </c>
      <c r="O103" t="s">
        <v>110</v>
      </c>
      <c r="P103" t="s">
        <v>110</v>
      </c>
      <c r="Q103">
        <v>1000</v>
      </c>
      <c r="X103">
        <v>1.2E-4</v>
      </c>
      <c r="Y103">
        <v>8475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1.2E-4</v>
      </c>
      <c r="AH103">
        <v>2</v>
      </c>
      <c r="AI103">
        <v>39101228</v>
      </c>
      <c r="AJ103">
        <v>102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ROW(Source!A69)</f>
        <v>69</v>
      </c>
      <c r="B104">
        <v>39101229</v>
      </c>
      <c r="C104">
        <v>39101223</v>
      </c>
      <c r="D104">
        <v>36806488</v>
      </c>
      <c r="E104">
        <v>1</v>
      </c>
      <c r="F104">
        <v>1</v>
      </c>
      <c r="G104">
        <v>1</v>
      </c>
      <c r="H104">
        <v>3</v>
      </c>
      <c r="I104" t="s">
        <v>674</v>
      </c>
      <c r="J104" t="s">
        <v>675</v>
      </c>
      <c r="K104" t="s">
        <v>676</v>
      </c>
      <c r="L104">
        <v>1348</v>
      </c>
      <c r="N104">
        <v>1009</v>
      </c>
      <c r="O104" t="s">
        <v>110</v>
      </c>
      <c r="P104" t="s">
        <v>110</v>
      </c>
      <c r="Q104">
        <v>1000</v>
      </c>
      <c r="X104">
        <v>6.0000000000000001E-3</v>
      </c>
      <c r="Y104">
        <v>729.98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6.0000000000000001E-3</v>
      </c>
      <c r="AH104">
        <v>2</v>
      </c>
      <c r="AI104">
        <v>39101229</v>
      </c>
      <c r="AJ104">
        <v>103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ROW(Source!A69)</f>
        <v>69</v>
      </c>
      <c r="B105">
        <v>39101230</v>
      </c>
      <c r="C105">
        <v>39101223</v>
      </c>
      <c r="D105">
        <v>36807381</v>
      </c>
      <c r="E105">
        <v>1</v>
      </c>
      <c r="F105">
        <v>1</v>
      </c>
      <c r="G105">
        <v>1</v>
      </c>
      <c r="H105">
        <v>3</v>
      </c>
      <c r="I105" t="s">
        <v>217</v>
      </c>
      <c r="J105" t="s">
        <v>219</v>
      </c>
      <c r="K105" t="s">
        <v>218</v>
      </c>
      <c r="L105">
        <v>1339</v>
      </c>
      <c r="N105">
        <v>1007</v>
      </c>
      <c r="O105" t="s">
        <v>106</v>
      </c>
      <c r="P105" t="s">
        <v>106</v>
      </c>
      <c r="Q105">
        <v>1</v>
      </c>
      <c r="X105">
        <v>1.87</v>
      </c>
      <c r="Y105">
        <v>517.91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1.87</v>
      </c>
      <c r="AH105">
        <v>2</v>
      </c>
      <c r="AI105">
        <v>39101230</v>
      </c>
      <c r="AJ105">
        <v>104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ROW(Source!A69)</f>
        <v>69</v>
      </c>
      <c r="B106">
        <v>39101231</v>
      </c>
      <c r="C106">
        <v>39101223</v>
      </c>
      <c r="D106">
        <v>36824423</v>
      </c>
      <c r="E106">
        <v>1</v>
      </c>
      <c r="F106">
        <v>1</v>
      </c>
      <c r="G106">
        <v>1</v>
      </c>
      <c r="H106">
        <v>3</v>
      </c>
      <c r="I106" t="s">
        <v>752</v>
      </c>
      <c r="J106" t="s">
        <v>753</v>
      </c>
      <c r="K106" t="s">
        <v>754</v>
      </c>
      <c r="L106">
        <v>1327</v>
      </c>
      <c r="N106">
        <v>1005</v>
      </c>
      <c r="O106" t="s">
        <v>83</v>
      </c>
      <c r="P106" t="s">
        <v>83</v>
      </c>
      <c r="Q106">
        <v>1</v>
      </c>
      <c r="X106">
        <v>5.54</v>
      </c>
      <c r="Y106">
        <v>28.25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5.54</v>
      </c>
      <c r="AH106">
        <v>2</v>
      </c>
      <c r="AI106">
        <v>39101231</v>
      </c>
      <c r="AJ106">
        <v>105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ROW(Source!A70)</f>
        <v>70</v>
      </c>
      <c r="B107">
        <v>39097356</v>
      </c>
      <c r="C107">
        <v>39097350</v>
      </c>
      <c r="D107">
        <v>37064878</v>
      </c>
      <c r="E107">
        <v>1</v>
      </c>
      <c r="F107">
        <v>1</v>
      </c>
      <c r="G107">
        <v>1</v>
      </c>
      <c r="H107">
        <v>1</v>
      </c>
      <c r="I107" t="s">
        <v>744</v>
      </c>
      <c r="J107" t="s">
        <v>3</v>
      </c>
      <c r="K107" t="s">
        <v>745</v>
      </c>
      <c r="L107">
        <v>1191</v>
      </c>
      <c r="N107">
        <v>1013</v>
      </c>
      <c r="O107" t="s">
        <v>660</v>
      </c>
      <c r="P107" t="s">
        <v>660</v>
      </c>
      <c r="Q107">
        <v>1</v>
      </c>
      <c r="X107">
        <v>102.46</v>
      </c>
      <c r="Y107">
        <v>0</v>
      </c>
      <c r="Z107">
        <v>0</v>
      </c>
      <c r="AA107">
        <v>0</v>
      </c>
      <c r="AB107">
        <v>9.4</v>
      </c>
      <c r="AC107">
        <v>0</v>
      </c>
      <c r="AD107">
        <v>1</v>
      </c>
      <c r="AE107">
        <v>1</v>
      </c>
      <c r="AF107" t="s">
        <v>86</v>
      </c>
      <c r="AG107">
        <v>117.82899999999998</v>
      </c>
      <c r="AH107">
        <v>2</v>
      </c>
      <c r="AI107">
        <v>39097351</v>
      </c>
      <c r="AJ107">
        <v>106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ROW(Source!A70)</f>
        <v>70</v>
      </c>
      <c r="B108">
        <v>39097357</v>
      </c>
      <c r="C108">
        <v>39097350</v>
      </c>
      <c r="D108">
        <v>37064876</v>
      </c>
      <c r="E108">
        <v>1</v>
      </c>
      <c r="F108">
        <v>1</v>
      </c>
      <c r="G108">
        <v>1</v>
      </c>
      <c r="H108">
        <v>1</v>
      </c>
      <c r="I108" t="s">
        <v>661</v>
      </c>
      <c r="J108" t="s">
        <v>3</v>
      </c>
      <c r="K108" t="s">
        <v>662</v>
      </c>
      <c r="L108">
        <v>1191</v>
      </c>
      <c r="N108">
        <v>1013</v>
      </c>
      <c r="O108" t="s">
        <v>660</v>
      </c>
      <c r="P108" t="s">
        <v>660</v>
      </c>
      <c r="Q108">
        <v>1</v>
      </c>
      <c r="X108">
        <v>5.34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85</v>
      </c>
      <c r="AG108">
        <v>6.6749999999999998</v>
      </c>
      <c r="AH108">
        <v>2</v>
      </c>
      <c r="AI108">
        <v>39097352</v>
      </c>
      <c r="AJ108">
        <v>107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ROW(Source!A70)</f>
        <v>70</v>
      </c>
      <c r="B109">
        <v>39097358</v>
      </c>
      <c r="C109">
        <v>39097350</v>
      </c>
      <c r="D109">
        <v>36882452</v>
      </c>
      <c r="E109">
        <v>1</v>
      </c>
      <c r="F109">
        <v>1</v>
      </c>
      <c r="G109">
        <v>1</v>
      </c>
      <c r="H109">
        <v>2</v>
      </c>
      <c r="I109" t="s">
        <v>663</v>
      </c>
      <c r="J109" t="s">
        <v>664</v>
      </c>
      <c r="K109" t="s">
        <v>665</v>
      </c>
      <c r="L109">
        <v>1368</v>
      </c>
      <c r="N109">
        <v>1011</v>
      </c>
      <c r="O109" t="s">
        <v>666</v>
      </c>
      <c r="P109" t="s">
        <v>666</v>
      </c>
      <c r="Q109">
        <v>1</v>
      </c>
      <c r="X109">
        <v>0.76</v>
      </c>
      <c r="Y109">
        <v>0</v>
      </c>
      <c r="Z109">
        <v>31.26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85</v>
      </c>
      <c r="AG109">
        <v>0.95</v>
      </c>
      <c r="AH109">
        <v>2</v>
      </c>
      <c r="AI109">
        <v>39097353</v>
      </c>
      <c r="AJ109">
        <v>108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ROW(Source!A70)</f>
        <v>70</v>
      </c>
      <c r="B110">
        <v>39097359</v>
      </c>
      <c r="C110">
        <v>39097350</v>
      </c>
      <c r="D110">
        <v>36883554</v>
      </c>
      <c r="E110">
        <v>1</v>
      </c>
      <c r="F110">
        <v>1</v>
      </c>
      <c r="G110">
        <v>1</v>
      </c>
      <c r="H110">
        <v>2</v>
      </c>
      <c r="I110" t="s">
        <v>679</v>
      </c>
      <c r="J110" t="s">
        <v>680</v>
      </c>
      <c r="K110" t="s">
        <v>681</v>
      </c>
      <c r="L110">
        <v>1368</v>
      </c>
      <c r="N110">
        <v>1011</v>
      </c>
      <c r="O110" t="s">
        <v>666</v>
      </c>
      <c r="P110" t="s">
        <v>666</v>
      </c>
      <c r="Q110">
        <v>1</v>
      </c>
      <c r="X110">
        <v>4.58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85</v>
      </c>
      <c r="AG110">
        <v>5.7249999999999996</v>
      </c>
      <c r="AH110">
        <v>2</v>
      </c>
      <c r="AI110">
        <v>39097354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ROW(Source!A70)</f>
        <v>70</v>
      </c>
      <c r="B111">
        <v>39097360</v>
      </c>
      <c r="C111">
        <v>39097350</v>
      </c>
      <c r="D111">
        <v>36801649</v>
      </c>
      <c r="E111">
        <v>1</v>
      </c>
      <c r="F111">
        <v>1</v>
      </c>
      <c r="G111">
        <v>1</v>
      </c>
      <c r="H111">
        <v>3</v>
      </c>
      <c r="I111" t="s">
        <v>755</v>
      </c>
      <c r="J111" t="s">
        <v>756</v>
      </c>
      <c r="K111" t="s">
        <v>757</v>
      </c>
      <c r="L111">
        <v>1327</v>
      </c>
      <c r="N111">
        <v>1005</v>
      </c>
      <c r="O111" t="s">
        <v>83</v>
      </c>
      <c r="P111" t="s">
        <v>83</v>
      </c>
      <c r="Q111">
        <v>1</v>
      </c>
      <c r="X111">
        <v>103</v>
      </c>
      <c r="Y111">
        <v>51.8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103</v>
      </c>
      <c r="AH111">
        <v>2</v>
      </c>
      <c r="AI111">
        <v>39097355</v>
      </c>
      <c r="AJ111">
        <v>110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ROW(Source!A71)</f>
        <v>71</v>
      </c>
      <c r="B112">
        <v>39097368</v>
      </c>
      <c r="C112">
        <v>39097361</v>
      </c>
      <c r="D112">
        <v>37066837</v>
      </c>
      <c r="E112">
        <v>1</v>
      </c>
      <c r="F112">
        <v>1</v>
      </c>
      <c r="G112">
        <v>1</v>
      </c>
      <c r="H112">
        <v>1</v>
      </c>
      <c r="I112" t="s">
        <v>731</v>
      </c>
      <c r="J112" t="s">
        <v>3</v>
      </c>
      <c r="K112" t="s">
        <v>732</v>
      </c>
      <c r="L112">
        <v>1191</v>
      </c>
      <c r="N112">
        <v>1013</v>
      </c>
      <c r="O112" t="s">
        <v>660</v>
      </c>
      <c r="P112" t="s">
        <v>660</v>
      </c>
      <c r="Q112">
        <v>1</v>
      </c>
      <c r="X112">
        <v>42.37</v>
      </c>
      <c r="Y112">
        <v>0</v>
      </c>
      <c r="Z112">
        <v>0</v>
      </c>
      <c r="AA112">
        <v>0</v>
      </c>
      <c r="AB112">
        <v>8.31</v>
      </c>
      <c r="AC112">
        <v>0</v>
      </c>
      <c r="AD112">
        <v>1</v>
      </c>
      <c r="AE112">
        <v>1</v>
      </c>
      <c r="AF112" t="s">
        <v>3</v>
      </c>
      <c r="AG112">
        <v>42.37</v>
      </c>
      <c r="AH112">
        <v>2</v>
      </c>
      <c r="AI112">
        <v>39097362</v>
      </c>
      <c r="AJ112">
        <v>111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ROW(Source!A71)</f>
        <v>71</v>
      </c>
      <c r="B113">
        <v>39097369</v>
      </c>
      <c r="C113">
        <v>39097361</v>
      </c>
      <c r="D113">
        <v>37064876</v>
      </c>
      <c r="E113">
        <v>1</v>
      </c>
      <c r="F113">
        <v>1</v>
      </c>
      <c r="G113">
        <v>1</v>
      </c>
      <c r="H113">
        <v>1</v>
      </c>
      <c r="I113" t="s">
        <v>661</v>
      </c>
      <c r="J113" t="s">
        <v>3</v>
      </c>
      <c r="K113" t="s">
        <v>662</v>
      </c>
      <c r="L113">
        <v>1191</v>
      </c>
      <c r="N113">
        <v>1013</v>
      </c>
      <c r="O113" t="s">
        <v>660</v>
      </c>
      <c r="P113" t="s">
        <v>660</v>
      </c>
      <c r="Q113">
        <v>1</v>
      </c>
      <c r="X113">
        <v>0.64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2</v>
      </c>
      <c r="AF113" t="s">
        <v>3</v>
      </c>
      <c r="AG113">
        <v>0.64</v>
      </c>
      <c r="AH113">
        <v>2</v>
      </c>
      <c r="AI113">
        <v>39097363</v>
      </c>
      <c r="AJ113">
        <v>112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ROW(Source!A71)</f>
        <v>71</v>
      </c>
      <c r="B114">
        <v>39097370</v>
      </c>
      <c r="C114">
        <v>39097361</v>
      </c>
      <c r="D114">
        <v>36882452</v>
      </c>
      <c r="E114">
        <v>1</v>
      </c>
      <c r="F114">
        <v>1</v>
      </c>
      <c r="G114">
        <v>1</v>
      </c>
      <c r="H114">
        <v>2</v>
      </c>
      <c r="I114" t="s">
        <v>663</v>
      </c>
      <c r="J114" t="s">
        <v>664</v>
      </c>
      <c r="K114" t="s">
        <v>665</v>
      </c>
      <c r="L114">
        <v>1368</v>
      </c>
      <c r="N114">
        <v>1011</v>
      </c>
      <c r="O114" t="s">
        <v>666</v>
      </c>
      <c r="P114" t="s">
        <v>666</v>
      </c>
      <c r="Q114">
        <v>1</v>
      </c>
      <c r="X114">
        <v>0.64</v>
      </c>
      <c r="Y114">
        <v>0</v>
      </c>
      <c r="Z114">
        <v>31.26</v>
      </c>
      <c r="AA114">
        <v>13.5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0.64</v>
      </c>
      <c r="AH114">
        <v>2</v>
      </c>
      <c r="AI114">
        <v>39097364</v>
      </c>
      <c r="AJ114">
        <v>113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ROW(Source!A71)</f>
        <v>71</v>
      </c>
      <c r="B115">
        <v>39097371</v>
      </c>
      <c r="C115">
        <v>39097361</v>
      </c>
      <c r="D115">
        <v>36801792</v>
      </c>
      <c r="E115">
        <v>1</v>
      </c>
      <c r="F115">
        <v>1</v>
      </c>
      <c r="G115">
        <v>1</v>
      </c>
      <c r="H115">
        <v>3</v>
      </c>
      <c r="I115" t="s">
        <v>671</v>
      </c>
      <c r="J115" t="s">
        <v>672</v>
      </c>
      <c r="K115" t="s">
        <v>673</v>
      </c>
      <c r="L115">
        <v>1339</v>
      </c>
      <c r="N115">
        <v>1007</v>
      </c>
      <c r="O115" t="s">
        <v>106</v>
      </c>
      <c r="P115" t="s">
        <v>106</v>
      </c>
      <c r="Q115">
        <v>1</v>
      </c>
      <c r="X115">
        <v>0.35</v>
      </c>
      <c r="Y115">
        <v>2.44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0.35</v>
      </c>
      <c r="AH115">
        <v>2</v>
      </c>
      <c r="AI115">
        <v>39097365</v>
      </c>
      <c r="AJ115">
        <v>114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ROW(Source!A71)</f>
        <v>71</v>
      </c>
      <c r="B116">
        <v>39097372</v>
      </c>
      <c r="C116">
        <v>39097361</v>
      </c>
      <c r="D116">
        <v>36807381</v>
      </c>
      <c r="E116">
        <v>1</v>
      </c>
      <c r="F116">
        <v>1</v>
      </c>
      <c r="G116">
        <v>1</v>
      </c>
      <c r="H116">
        <v>3</v>
      </c>
      <c r="I116" t="s">
        <v>217</v>
      </c>
      <c r="J116" t="s">
        <v>219</v>
      </c>
      <c r="K116" t="s">
        <v>218</v>
      </c>
      <c r="L116">
        <v>1339</v>
      </c>
      <c r="N116">
        <v>1007</v>
      </c>
      <c r="O116" t="s">
        <v>106</v>
      </c>
      <c r="P116" t="s">
        <v>106</v>
      </c>
      <c r="Q116">
        <v>1</v>
      </c>
      <c r="X116">
        <v>1.06</v>
      </c>
      <c r="Y116">
        <v>517.91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1.06</v>
      </c>
      <c r="AH116">
        <v>2</v>
      </c>
      <c r="AI116">
        <v>39097366</v>
      </c>
      <c r="AJ116">
        <v>115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ROW(Source!A74)</f>
        <v>74</v>
      </c>
      <c r="B117">
        <v>39097383</v>
      </c>
      <c r="C117">
        <v>39097375</v>
      </c>
      <c r="D117">
        <v>37071037</v>
      </c>
      <c r="E117">
        <v>1</v>
      </c>
      <c r="F117">
        <v>1</v>
      </c>
      <c r="G117">
        <v>1</v>
      </c>
      <c r="H117">
        <v>1</v>
      </c>
      <c r="I117" t="s">
        <v>697</v>
      </c>
      <c r="J117" t="s">
        <v>3</v>
      </c>
      <c r="K117" t="s">
        <v>698</v>
      </c>
      <c r="L117">
        <v>1191</v>
      </c>
      <c r="N117">
        <v>1013</v>
      </c>
      <c r="O117" t="s">
        <v>660</v>
      </c>
      <c r="P117" t="s">
        <v>660</v>
      </c>
      <c r="Q117">
        <v>1</v>
      </c>
      <c r="X117">
        <v>16.32</v>
      </c>
      <c r="Y117">
        <v>0</v>
      </c>
      <c r="Z117">
        <v>0</v>
      </c>
      <c r="AA117">
        <v>0</v>
      </c>
      <c r="AB117">
        <v>9.6199999999999992</v>
      </c>
      <c r="AC117">
        <v>0</v>
      </c>
      <c r="AD117">
        <v>1</v>
      </c>
      <c r="AE117">
        <v>1</v>
      </c>
      <c r="AF117" t="s">
        <v>86</v>
      </c>
      <c r="AG117">
        <v>18.767999999999997</v>
      </c>
      <c r="AH117">
        <v>2</v>
      </c>
      <c r="AI117">
        <v>39097376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ROW(Source!A74)</f>
        <v>74</v>
      </c>
      <c r="B118">
        <v>39097384</v>
      </c>
      <c r="C118">
        <v>39097375</v>
      </c>
      <c r="D118">
        <v>37064876</v>
      </c>
      <c r="E118">
        <v>1</v>
      </c>
      <c r="F118">
        <v>1</v>
      </c>
      <c r="G118">
        <v>1</v>
      </c>
      <c r="H118">
        <v>1</v>
      </c>
      <c r="I118" t="s">
        <v>661</v>
      </c>
      <c r="J118" t="s">
        <v>3</v>
      </c>
      <c r="K118" t="s">
        <v>662</v>
      </c>
      <c r="L118">
        <v>1191</v>
      </c>
      <c r="N118">
        <v>1013</v>
      </c>
      <c r="O118" t="s">
        <v>660</v>
      </c>
      <c r="P118" t="s">
        <v>660</v>
      </c>
      <c r="Q118">
        <v>1</v>
      </c>
      <c r="X118">
        <v>0.03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85</v>
      </c>
      <c r="AG118">
        <v>3.7499999999999999E-2</v>
      </c>
      <c r="AH118">
        <v>2</v>
      </c>
      <c r="AI118">
        <v>39097377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ROW(Source!A74)</f>
        <v>74</v>
      </c>
      <c r="B119">
        <v>39097385</v>
      </c>
      <c r="C119">
        <v>39097375</v>
      </c>
      <c r="D119">
        <v>36882452</v>
      </c>
      <c r="E119">
        <v>1</v>
      </c>
      <c r="F119">
        <v>1</v>
      </c>
      <c r="G119">
        <v>1</v>
      </c>
      <c r="H119">
        <v>2</v>
      </c>
      <c r="I119" t="s">
        <v>663</v>
      </c>
      <c r="J119" t="s">
        <v>664</v>
      </c>
      <c r="K119" t="s">
        <v>665</v>
      </c>
      <c r="L119">
        <v>1368</v>
      </c>
      <c r="N119">
        <v>1011</v>
      </c>
      <c r="O119" t="s">
        <v>666</v>
      </c>
      <c r="P119" t="s">
        <v>666</v>
      </c>
      <c r="Q119">
        <v>1</v>
      </c>
      <c r="X119">
        <v>0.01</v>
      </c>
      <c r="Y119">
        <v>0</v>
      </c>
      <c r="Z119">
        <v>31.26</v>
      </c>
      <c r="AA119">
        <v>13.5</v>
      </c>
      <c r="AB119">
        <v>0</v>
      </c>
      <c r="AC119">
        <v>0</v>
      </c>
      <c r="AD119">
        <v>1</v>
      </c>
      <c r="AE119">
        <v>0</v>
      </c>
      <c r="AF119" t="s">
        <v>85</v>
      </c>
      <c r="AG119">
        <v>1.2500000000000001E-2</v>
      </c>
      <c r="AH119">
        <v>2</v>
      </c>
      <c r="AI119">
        <v>39097378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ROW(Source!A74)</f>
        <v>74</v>
      </c>
      <c r="B120">
        <v>39097386</v>
      </c>
      <c r="C120">
        <v>39097375</v>
      </c>
      <c r="D120">
        <v>36883554</v>
      </c>
      <c r="E120">
        <v>1</v>
      </c>
      <c r="F120">
        <v>1</v>
      </c>
      <c r="G120">
        <v>1</v>
      </c>
      <c r="H120">
        <v>2</v>
      </c>
      <c r="I120" t="s">
        <v>679</v>
      </c>
      <c r="J120" t="s">
        <v>680</v>
      </c>
      <c r="K120" t="s">
        <v>681</v>
      </c>
      <c r="L120">
        <v>1368</v>
      </c>
      <c r="N120">
        <v>1011</v>
      </c>
      <c r="O120" t="s">
        <v>666</v>
      </c>
      <c r="P120" t="s">
        <v>666</v>
      </c>
      <c r="Q120">
        <v>1</v>
      </c>
      <c r="X120">
        <v>0.02</v>
      </c>
      <c r="Y120">
        <v>0</v>
      </c>
      <c r="Z120">
        <v>65.709999999999994</v>
      </c>
      <c r="AA120">
        <v>11.6</v>
      </c>
      <c r="AB120">
        <v>0</v>
      </c>
      <c r="AC120">
        <v>0</v>
      </c>
      <c r="AD120">
        <v>1</v>
      </c>
      <c r="AE120">
        <v>0</v>
      </c>
      <c r="AF120" t="s">
        <v>85</v>
      </c>
      <c r="AG120">
        <v>2.5000000000000001E-2</v>
      </c>
      <c r="AH120">
        <v>2</v>
      </c>
      <c r="AI120">
        <v>39097379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39097387</v>
      </c>
      <c r="C121">
        <v>39097375</v>
      </c>
      <c r="D121">
        <v>36805524</v>
      </c>
      <c r="E121">
        <v>1</v>
      </c>
      <c r="F121">
        <v>1</v>
      </c>
      <c r="G121">
        <v>1</v>
      </c>
      <c r="H121">
        <v>3</v>
      </c>
      <c r="I121" t="s">
        <v>688</v>
      </c>
      <c r="J121" t="s">
        <v>689</v>
      </c>
      <c r="K121" t="s">
        <v>690</v>
      </c>
      <c r="L121">
        <v>1346</v>
      </c>
      <c r="N121">
        <v>1009</v>
      </c>
      <c r="O121" t="s">
        <v>138</v>
      </c>
      <c r="P121" t="s">
        <v>138</v>
      </c>
      <c r="Q121">
        <v>1</v>
      </c>
      <c r="X121">
        <v>0.2</v>
      </c>
      <c r="Y121">
        <v>1.82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0.2</v>
      </c>
      <c r="AH121">
        <v>2</v>
      </c>
      <c r="AI121">
        <v>39097380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ROW(Source!A74)</f>
        <v>74</v>
      </c>
      <c r="B122">
        <v>39097388</v>
      </c>
      <c r="C122">
        <v>39097375</v>
      </c>
      <c r="D122">
        <v>36797079</v>
      </c>
      <c r="E122">
        <v>17</v>
      </c>
      <c r="F122">
        <v>1</v>
      </c>
      <c r="G122">
        <v>1</v>
      </c>
      <c r="H122">
        <v>3</v>
      </c>
      <c r="I122" t="s">
        <v>229</v>
      </c>
      <c r="J122" t="s">
        <v>3</v>
      </c>
      <c r="K122" t="s">
        <v>230</v>
      </c>
      <c r="L122">
        <v>1348</v>
      </c>
      <c r="N122">
        <v>1009</v>
      </c>
      <c r="O122" t="s">
        <v>110</v>
      </c>
      <c r="P122" t="s">
        <v>110</v>
      </c>
      <c r="Q122">
        <v>1000</v>
      </c>
      <c r="X122">
        <v>0.02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0.02</v>
      </c>
      <c r="AH122">
        <v>2</v>
      </c>
      <c r="AI122">
        <v>39097382</v>
      </c>
      <c r="AJ122">
        <v>123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ROW(Source!A77)</f>
        <v>77</v>
      </c>
      <c r="B123">
        <v>39097401</v>
      </c>
      <c r="C123">
        <v>39097391</v>
      </c>
      <c r="D123">
        <v>37070090</v>
      </c>
      <c r="E123">
        <v>1</v>
      </c>
      <c r="F123">
        <v>1</v>
      </c>
      <c r="G123">
        <v>1</v>
      </c>
      <c r="H123">
        <v>1</v>
      </c>
      <c r="I123" t="s">
        <v>758</v>
      </c>
      <c r="J123" t="s">
        <v>3</v>
      </c>
      <c r="K123" t="s">
        <v>759</v>
      </c>
      <c r="L123">
        <v>1191</v>
      </c>
      <c r="N123">
        <v>1013</v>
      </c>
      <c r="O123" t="s">
        <v>660</v>
      </c>
      <c r="P123" t="s">
        <v>660</v>
      </c>
      <c r="Q123">
        <v>1</v>
      </c>
      <c r="X123">
        <v>42.9</v>
      </c>
      <c r="Y123">
        <v>0</v>
      </c>
      <c r="Z123">
        <v>0</v>
      </c>
      <c r="AA123">
        <v>0</v>
      </c>
      <c r="AB123">
        <v>8.9700000000000006</v>
      </c>
      <c r="AC123">
        <v>0</v>
      </c>
      <c r="AD123">
        <v>1</v>
      </c>
      <c r="AE123">
        <v>1</v>
      </c>
      <c r="AF123" t="s">
        <v>86</v>
      </c>
      <c r="AG123">
        <v>49.334999999999994</v>
      </c>
      <c r="AH123">
        <v>2</v>
      </c>
      <c r="AI123">
        <v>39097392</v>
      </c>
      <c r="AJ123">
        <v>124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ROW(Source!A77)</f>
        <v>77</v>
      </c>
      <c r="B124">
        <v>39097402</v>
      </c>
      <c r="C124">
        <v>39097391</v>
      </c>
      <c r="D124">
        <v>37064876</v>
      </c>
      <c r="E124">
        <v>1</v>
      </c>
      <c r="F124">
        <v>1</v>
      </c>
      <c r="G124">
        <v>1</v>
      </c>
      <c r="H124">
        <v>1</v>
      </c>
      <c r="I124" t="s">
        <v>661</v>
      </c>
      <c r="J124" t="s">
        <v>3</v>
      </c>
      <c r="K124" t="s">
        <v>662</v>
      </c>
      <c r="L124">
        <v>1191</v>
      </c>
      <c r="N124">
        <v>1013</v>
      </c>
      <c r="O124" t="s">
        <v>660</v>
      </c>
      <c r="P124" t="s">
        <v>660</v>
      </c>
      <c r="Q124">
        <v>1</v>
      </c>
      <c r="X124">
        <v>0.17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85</v>
      </c>
      <c r="AG124">
        <v>0.21250000000000002</v>
      </c>
      <c r="AH124">
        <v>2</v>
      </c>
      <c r="AI124">
        <v>39097393</v>
      </c>
      <c r="AJ124">
        <v>125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ROW(Source!A77)</f>
        <v>77</v>
      </c>
      <c r="B125">
        <v>39097403</v>
      </c>
      <c r="C125">
        <v>39097391</v>
      </c>
      <c r="D125">
        <v>36882452</v>
      </c>
      <c r="E125">
        <v>1</v>
      </c>
      <c r="F125">
        <v>1</v>
      </c>
      <c r="G125">
        <v>1</v>
      </c>
      <c r="H125">
        <v>2</v>
      </c>
      <c r="I125" t="s">
        <v>663</v>
      </c>
      <c r="J125" t="s">
        <v>664</v>
      </c>
      <c r="K125" t="s">
        <v>665</v>
      </c>
      <c r="L125">
        <v>1368</v>
      </c>
      <c r="N125">
        <v>1011</v>
      </c>
      <c r="O125" t="s">
        <v>666</v>
      </c>
      <c r="P125" t="s">
        <v>666</v>
      </c>
      <c r="Q125">
        <v>1</v>
      </c>
      <c r="X125">
        <v>0.02</v>
      </c>
      <c r="Y125">
        <v>0</v>
      </c>
      <c r="Z125">
        <v>31.26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85</v>
      </c>
      <c r="AG125">
        <v>2.5000000000000001E-2</v>
      </c>
      <c r="AH125">
        <v>2</v>
      </c>
      <c r="AI125">
        <v>39097394</v>
      </c>
      <c r="AJ125">
        <v>126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ROW(Source!A77)</f>
        <v>77</v>
      </c>
      <c r="B126">
        <v>39097404</v>
      </c>
      <c r="C126">
        <v>39097391</v>
      </c>
      <c r="D126">
        <v>36883554</v>
      </c>
      <c r="E126">
        <v>1</v>
      </c>
      <c r="F126">
        <v>1</v>
      </c>
      <c r="G126">
        <v>1</v>
      </c>
      <c r="H126">
        <v>2</v>
      </c>
      <c r="I126" t="s">
        <v>679</v>
      </c>
      <c r="J126" t="s">
        <v>680</v>
      </c>
      <c r="K126" t="s">
        <v>681</v>
      </c>
      <c r="L126">
        <v>1368</v>
      </c>
      <c r="N126">
        <v>1011</v>
      </c>
      <c r="O126" t="s">
        <v>666</v>
      </c>
      <c r="P126" t="s">
        <v>666</v>
      </c>
      <c r="Q126">
        <v>1</v>
      </c>
      <c r="X126">
        <v>0.15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85</v>
      </c>
      <c r="AG126">
        <v>0.1875</v>
      </c>
      <c r="AH126">
        <v>2</v>
      </c>
      <c r="AI126">
        <v>39097395</v>
      </c>
      <c r="AJ126">
        <v>127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ROW(Source!A77)</f>
        <v>77</v>
      </c>
      <c r="B127">
        <v>39097405</v>
      </c>
      <c r="C127">
        <v>39097391</v>
      </c>
      <c r="D127">
        <v>36805188</v>
      </c>
      <c r="E127">
        <v>1</v>
      </c>
      <c r="F127">
        <v>1</v>
      </c>
      <c r="G127">
        <v>1</v>
      </c>
      <c r="H127">
        <v>3</v>
      </c>
      <c r="I127" t="s">
        <v>760</v>
      </c>
      <c r="J127" t="s">
        <v>761</v>
      </c>
      <c r="K127" t="s">
        <v>762</v>
      </c>
      <c r="L127">
        <v>1327</v>
      </c>
      <c r="N127">
        <v>1005</v>
      </c>
      <c r="O127" t="s">
        <v>83</v>
      </c>
      <c r="P127" t="s">
        <v>83</v>
      </c>
      <c r="Q127">
        <v>1</v>
      </c>
      <c r="X127">
        <v>0.84</v>
      </c>
      <c r="Y127">
        <v>72.319999999999993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0.84</v>
      </c>
      <c r="AH127">
        <v>2</v>
      </c>
      <c r="AI127">
        <v>39097396</v>
      </c>
      <c r="AJ127">
        <v>128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ROW(Source!A77)</f>
        <v>77</v>
      </c>
      <c r="B128">
        <v>39097406</v>
      </c>
      <c r="C128">
        <v>39097391</v>
      </c>
      <c r="D128">
        <v>36805524</v>
      </c>
      <c r="E128">
        <v>1</v>
      </c>
      <c r="F128">
        <v>1</v>
      </c>
      <c r="G128">
        <v>1</v>
      </c>
      <c r="H128">
        <v>3</v>
      </c>
      <c r="I128" t="s">
        <v>688</v>
      </c>
      <c r="J128" t="s">
        <v>689</v>
      </c>
      <c r="K128" t="s">
        <v>690</v>
      </c>
      <c r="L128">
        <v>1346</v>
      </c>
      <c r="N128">
        <v>1009</v>
      </c>
      <c r="O128" t="s">
        <v>138</v>
      </c>
      <c r="P128" t="s">
        <v>138</v>
      </c>
      <c r="Q128">
        <v>1</v>
      </c>
      <c r="X128">
        <v>0.31</v>
      </c>
      <c r="Y128">
        <v>1.82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0.31</v>
      </c>
      <c r="AH128">
        <v>2</v>
      </c>
      <c r="AI128">
        <v>39097397</v>
      </c>
      <c r="AJ128">
        <v>129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ROW(Source!A77)</f>
        <v>77</v>
      </c>
      <c r="B129">
        <v>39097407</v>
      </c>
      <c r="C129">
        <v>39097391</v>
      </c>
      <c r="D129">
        <v>36797561</v>
      </c>
      <c r="E129">
        <v>17</v>
      </c>
      <c r="F129">
        <v>1</v>
      </c>
      <c r="G129">
        <v>1</v>
      </c>
      <c r="H129">
        <v>3</v>
      </c>
      <c r="I129" t="s">
        <v>240</v>
      </c>
      <c r="J129" t="s">
        <v>3</v>
      </c>
      <c r="K129" t="s">
        <v>241</v>
      </c>
      <c r="L129">
        <v>1348</v>
      </c>
      <c r="N129">
        <v>1009</v>
      </c>
      <c r="O129" t="s">
        <v>110</v>
      </c>
      <c r="P129" t="s">
        <v>110</v>
      </c>
      <c r="Q129">
        <v>1000</v>
      </c>
      <c r="X129">
        <v>6.3E-2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3</v>
      </c>
      <c r="AG129">
        <v>6.3E-2</v>
      </c>
      <c r="AH129">
        <v>2</v>
      </c>
      <c r="AI129">
        <v>39097398</v>
      </c>
      <c r="AJ129">
        <v>130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ROW(Source!A77)</f>
        <v>77</v>
      </c>
      <c r="B130">
        <v>39097408</v>
      </c>
      <c r="C130">
        <v>39097391</v>
      </c>
      <c r="D130">
        <v>36839212</v>
      </c>
      <c r="E130">
        <v>1</v>
      </c>
      <c r="F130">
        <v>1</v>
      </c>
      <c r="G130">
        <v>1</v>
      </c>
      <c r="H130">
        <v>3</v>
      </c>
      <c r="I130" t="s">
        <v>763</v>
      </c>
      <c r="J130" t="s">
        <v>764</v>
      </c>
      <c r="K130" t="s">
        <v>765</v>
      </c>
      <c r="L130">
        <v>1348</v>
      </c>
      <c r="N130">
        <v>1009</v>
      </c>
      <c r="O130" t="s">
        <v>110</v>
      </c>
      <c r="P130" t="s">
        <v>110</v>
      </c>
      <c r="Q130">
        <v>1000</v>
      </c>
      <c r="X130">
        <v>5.0999999999999997E-2</v>
      </c>
      <c r="Y130">
        <v>4294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5.0999999999999997E-2</v>
      </c>
      <c r="AH130">
        <v>2</v>
      </c>
      <c r="AI130">
        <v>39097400</v>
      </c>
      <c r="AJ130">
        <v>132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ROW(Source!A80)</f>
        <v>80</v>
      </c>
      <c r="B131">
        <v>39097417</v>
      </c>
      <c r="C131">
        <v>39097411</v>
      </c>
      <c r="D131">
        <v>37070164</v>
      </c>
      <c r="E131">
        <v>1</v>
      </c>
      <c r="F131">
        <v>1</v>
      </c>
      <c r="G131">
        <v>1</v>
      </c>
      <c r="H131">
        <v>1</v>
      </c>
      <c r="I131" t="s">
        <v>766</v>
      </c>
      <c r="J131" t="s">
        <v>3</v>
      </c>
      <c r="K131" t="s">
        <v>767</v>
      </c>
      <c r="L131">
        <v>1191</v>
      </c>
      <c r="N131">
        <v>1013</v>
      </c>
      <c r="O131" t="s">
        <v>660</v>
      </c>
      <c r="P131" t="s">
        <v>660</v>
      </c>
      <c r="Q131">
        <v>1</v>
      </c>
      <c r="X131">
        <v>204.06</v>
      </c>
      <c r="Y131">
        <v>0</v>
      </c>
      <c r="Z131">
        <v>0</v>
      </c>
      <c r="AA131">
        <v>0</v>
      </c>
      <c r="AB131">
        <v>9.2899999999999991</v>
      </c>
      <c r="AC131">
        <v>0</v>
      </c>
      <c r="AD131">
        <v>1</v>
      </c>
      <c r="AE131">
        <v>1</v>
      </c>
      <c r="AF131" t="s">
        <v>86</v>
      </c>
      <c r="AG131">
        <v>234.66899999999998</v>
      </c>
      <c r="AH131">
        <v>2</v>
      </c>
      <c r="AI131">
        <v>39097412</v>
      </c>
      <c r="AJ131">
        <v>133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ROW(Source!A80)</f>
        <v>80</v>
      </c>
      <c r="B132">
        <v>39097418</v>
      </c>
      <c r="C132">
        <v>39097411</v>
      </c>
      <c r="D132">
        <v>37064876</v>
      </c>
      <c r="E132">
        <v>1</v>
      </c>
      <c r="F132">
        <v>1</v>
      </c>
      <c r="G132">
        <v>1</v>
      </c>
      <c r="H132">
        <v>1</v>
      </c>
      <c r="I132" t="s">
        <v>661</v>
      </c>
      <c r="J132" t="s">
        <v>3</v>
      </c>
      <c r="K132" t="s">
        <v>662</v>
      </c>
      <c r="L132">
        <v>1191</v>
      </c>
      <c r="N132">
        <v>1013</v>
      </c>
      <c r="O132" t="s">
        <v>660</v>
      </c>
      <c r="P132" t="s">
        <v>660</v>
      </c>
      <c r="Q132">
        <v>1</v>
      </c>
      <c r="X132">
        <v>2.06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85</v>
      </c>
      <c r="AG132">
        <v>2.5750000000000002</v>
      </c>
      <c r="AH132">
        <v>2</v>
      </c>
      <c r="AI132">
        <v>39097413</v>
      </c>
      <c r="AJ132">
        <v>134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ROW(Source!A80)</f>
        <v>80</v>
      </c>
      <c r="B133">
        <v>39097419</v>
      </c>
      <c r="C133">
        <v>39097411</v>
      </c>
      <c r="D133">
        <v>36882452</v>
      </c>
      <c r="E133">
        <v>1</v>
      </c>
      <c r="F133">
        <v>1</v>
      </c>
      <c r="G133">
        <v>1</v>
      </c>
      <c r="H133">
        <v>2</v>
      </c>
      <c r="I133" t="s">
        <v>663</v>
      </c>
      <c r="J133" t="s">
        <v>664</v>
      </c>
      <c r="K133" t="s">
        <v>665</v>
      </c>
      <c r="L133">
        <v>1368</v>
      </c>
      <c r="N133">
        <v>1011</v>
      </c>
      <c r="O133" t="s">
        <v>666</v>
      </c>
      <c r="P133" t="s">
        <v>666</v>
      </c>
      <c r="Q133">
        <v>1</v>
      </c>
      <c r="X133">
        <v>2.06</v>
      </c>
      <c r="Y133">
        <v>0</v>
      </c>
      <c r="Z133">
        <v>31.26</v>
      </c>
      <c r="AA133">
        <v>13.5</v>
      </c>
      <c r="AB133">
        <v>0</v>
      </c>
      <c r="AC133">
        <v>0</v>
      </c>
      <c r="AD133">
        <v>1</v>
      </c>
      <c r="AE133">
        <v>0</v>
      </c>
      <c r="AF133" t="s">
        <v>85</v>
      </c>
      <c r="AG133">
        <v>2.5750000000000002</v>
      </c>
      <c r="AH133">
        <v>2</v>
      </c>
      <c r="AI133">
        <v>39097414</v>
      </c>
      <c r="AJ133">
        <v>135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ROW(Source!A80)</f>
        <v>80</v>
      </c>
      <c r="B134">
        <v>39097420</v>
      </c>
      <c r="C134">
        <v>39097411</v>
      </c>
      <c r="D134">
        <v>36807325</v>
      </c>
      <c r="E134">
        <v>1</v>
      </c>
      <c r="F134">
        <v>1</v>
      </c>
      <c r="G134">
        <v>1</v>
      </c>
      <c r="H134">
        <v>3</v>
      </c>
      <c r="I134" t="s">
        <v>768</v>
      </c>
      <c r="J134" t="s">
        <v>769</v>
      </c>
      <c r="K134" t="s">
        <v>770</v>
      </c>
      <c r="L134">
        <v>1339</v>
      </c>
      <c r="N134">
        <v>1007</v>
      </c>
      <c r="O134" t="s">
        <v>106</v>
      </c>
      <c r="P134" t="s">
        <v>106</v>
      </c>
      <c r="Q134">
        <v>1</v>
      </c>
      <c r="X134">
        <v>4.3</v>
      </c>
      <c r="Y134">
        <v>510.4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4.3</v>
      </c>
      <c r="AH134">
        <v>2</v>
      </c>
      <c r="AI134">
        <v>39097415</v>
      </c>
      <c r="AJ134">
        <v>136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ROW(Source!A80)</f>
        <v>80</v>
      </c>
      <c r="B135">
        <v>39097421</v>
      </c>
      <c r="C135">
        <v>39097411</v>
      </c>
      <c r="D135">
        <v>36807381</v>
      </c>
      <c r="E135">
        <v>1</v>
      </c>
      <c r="F135">
        <v>1</v>
      </c>
      <c r="G135">
        <v>1</v>
      </c>
      <c r="H135">
        <v>3</v>
      </c>
      <c r="I135" t="s">
        <v>217</v>
      </c>
      <c r="J135" t="s">
        <v>219</v>
      </c>
      <c r="K135" t="s">
        <v>218</v>
      </c>
      <c r="L135">
        <v>1339</v>
      </c>
      <c r="N135">
        <v>1007</v>
      </c>
      <c r="O135" t="s">
        <v>106</v>
      </c>
      <c r="P135" t="s">
        <v>106</v>
      </c>
      <c r="Q135">
        <v>1</v>
      </c>
      <c r="X135">
        <v>0.1</v>
      </c>
      <c r="Y135">
        <v>517.91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0.1</v>
      </c>
      <c r="AH135">
        <v>2</v>
      </c>
      <c r="AI135">
        <v>39097416</v>
      </c>
      <c r="AJ135">
        <v>137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ROW(Source!A81)</f>
        <v>81</v>
      </c>
      <c r="B136">
        <v>39493571</v>
      </c>
      <c r="C136">
        <v>39493570</v>
      </c>
      <c r="D136">
        <v>37064928</v>
      </c>
      <c r="E136">
        <v>1</v>
      </c>
      <c r="F136">
        <v>1</v>
      </c>
      <c r="G136">
        <v>1</v>
      </c>
      <c r="H136">
        <v>1</v>
      </c>
      <c r="I136" t="s">
        <v>771</v>
      </c>
      <c r="J136" t="s">
        <v>3</v>
      </c>
      <c r="K136" t="s">
        <v>772</v>
      </c>
      <c r="L136">
        <v>1191</v>
      </c>
      <c r="N136">
        <v>1013</v>
      </c>
      <c r="O136" t="s">
        <v>660</v>
      </c>
      <c r="P136" t="s">
        <v>660</v>
      </c>
      <c r="Q136">
        <v>1</v>
      </c>
      <c r="X136">
        <v>505</v>
      </c>
      <c r="Y136">
        <v>0</v>
      </c>
      <c r="Z136">
        <v>0</v>
      </c>
      <c r="AA136">
        <v>0</v>
      </c>
      <c r="AB136">
        <v>9.07</v>
      </c>
      <c r="AC136">
        <v>0</v>
      </c>
      <c r="AD136">
        <v>1</v>
      </c>
      <c r="AE136">
        <v>1</v>
      </c>
      <c r="AF136" t="s">
        <v>3</v>
      </c>
      <c r="AG136">
        <v>505</v>
      </c>
      <c r="AH136">
        <v>2</v>
      </c>
      <c r="AI136">
        <v>39493571</v>
      </c>
      <c r="AJ136">
        <v>138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ROW(Source!A81)</f>
        <v>81</v>
      </c>
      <c r="B137">
        <v>39493572</v>
      </c>
      <c r="C137">
        <v>39493570</v>
      </c>
      <c r="D137">
        <v>37064876</v>
      </c>
      <c r="E137">
        <v>1</v>
      </c>
      <c r="F137">
        <v>1</v>
      </c>
      <c r="G137">
        <v>1</v>
      </c>
      <c r="H137">
        <v>1</v>
      </c>
      <c r="I137" t="s">
        <v>661</v>
      </c>
      <c r="J137" t="s">
        <v>3</v>
      </c>
      <c r="K137" t="s">
        <v>662</v>
      </c>
      <c r="L137">
        <v>1191</v>
      </c>
      <c r="N137">
        <v>1013</v>
      </c>
      <c r="O137" t="s">
        <v>660</v>
      </c>
      <c r="P137" t="s">
        <v>660</v>
      </c>
      <c r="Q137">
        <v>1</v>
      </c>
      <c r="X137">
        <v>0.13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2</v>
      </c>
      <c r="AF137" t="s">
        <v>3</v>
      </c>
      <c r="AG137">
        <v>0.13</v>
      </c>
      <c r="AH137">
        <v>2</v>
      </c>
      <c r="AI137">
        <v>39493572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ROW(Source!A81)</f>
        <v>81</v>
      </c>
      <c r="B138">
        <v>39493573</v>
      </c>
      <c r="C138">
        <v>39493570</v>
      </c>
      <c r="D138">
        <v>36883554</v>
      </c>
      <c r="E138">
        <v>1</v>
      </c>
      <c r="F138">
        <v>1</v>
      </c>
      <c r="G138">
        <v>1</v>
      </c>
      <c r="H138">
        <v>2</v>
      </c>
      <c r="I138" t="s">
        <v>679</v>
      </c>
      <c r="J138" t="s">
        <v>680</v>
      </c>
      <c r="K138" t="s">
        <v>681</v>
      </c>
      <c r="L138">
        <v>1368</v>
      </c>
      <c r="N138">
        <v>1011</v>
      </c>
      <c r="O138" t="s">
        <v>666</v>
      </c>
      <c r="P138" t="s">
        <v>666</v>
      </c>
      <c r="Q138">
        <v>1</v>
      </c>
      <c r="X138">
        <v>0.13</v>
      </c>
      <c r="Y138">
        <v>0</v>
      </c>
      <c r="Z138">
        <v>65.709999999999994</v>
      </c>
      <c r="AA138">
        <v>11.6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0.13</v>
      </c>
      <c r="AH138">
        <v>2</v>
      </c>
      <c r="AI138">
        <v>39493573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ROW(Source!A81)</f>
        <v>81</v>
      </c>
      <c r="B139">
        <v>39493574</v>
      </c>
      <c r="C139">
        <v>39493570</v>
      </c>
      <c r="D139">
        <v>36799896</v>
      </c>
      <c r="E139">
        <v>1</v>
      </c>
      <c r="F139">
        <v>1</v>
      </c>
      <c r="G139">
        <v>1</v>
      </c>
      <c r="H139">
        <v>3</v>
      </c>
      <c r="I139" t="s">
        <v>773</v>
      </c>
      <c r="J139" t="s">
        <v>774</v>
      </c>
      <c r="K139" t="s">
        <v>775</v>
      </c>
      <c r="L139">
        <v>1348</v>
      </c>
      <c r="N139">
        <v>1009</v>
      </c>
      <c r="O139" t="s">
        <v>110</v>
      </c>
      <c r="P139" t="s">
        <v>110</v>
      </c>
      <c r="Q139">
        <v>1000</v>
      </c>
      <c r="X139">
        <v>2E-3</v>
      </c>
      <c r="Y139">
        <v>3390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2E-3</v>
      </c>
      <c r="AH139">
        <v>2</v>
      </c>
      <c r="AI139">
        <v>39493574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ROW(Source!A81)</f>
        <v>81</v>
      </c>
      <c r="B140">
        <v>39493575</v>
      </c>
      <c r="C140">
        <v>39493570</v>
      </c>
      <c r="D140">
        <v>36801792</v>
      </c>
      <c r="E140">
        <v>1</v>
      </c>
      <c r="F140">
        <v>1</v>
      </c>
      <c r="G140">
        <v>1</v>
      </c>
      <c r="H140">
        <v>3</v>
      </c>
      <c r="I140" t="s">
        <v>671</v>
      </c>
      <c r="J140" t="s">
        <v>672</v>
      </c>
      <c r="K140" t="s">
        <v>673</v>
      </c>
      <c r="L140">
        <v>1339</v>
      </c>
      <c r="N140">
        <v>1007</v>
      </c>
      <c r="O140" t="s">
        <v>106</v>
      </c>
      <c r="P140" t="s">
        <v>106</v>
      </c>
      <c r="Q140">
        <v>1</v>
      </c>
      <c r="X140">
        <v>0.17</v>
      </c>
      <c r="Y140">
        <v>2.44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0.17</v>
      </c>
      <c r="AH140">
        <v>2</v>
      </c>
      <c r="AI140">
        <v>39493575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ROW(Source!A81)</f>
        <v>81</v>
      </c>
      <c r="B141">
        <v>39493576</v>
      </c>
      <c r="C141">
        <v>39493570</v>
      </c>
      <c r="D141">
        <v>36799072</v>
      </c>
      <c r="E141">
        <v>17</v>
      </c>
      <c r="F141">
        <v>1</v>
      </c>
      <c r="G141">
        <v>1</v>
      </c>
      <c r="H141">
        <v>3</v>
      </c>
      <c r="I141" t="s">
        <v>257</v>
      </c>
      <c r="J141" t="s">
        <v>3</v>
      </c>
      <c r="K141" t="s">
        <v>258</v>
      </c>
      <c r="L141">
        <v>1348</v>
      </c>
      <c r="N141">
        <v>1009</v>
      </c>
      <c r="O141" t="s">
        <v>110</v>
      </c>
      <c r="P141" t="s">
        <v>110</v>
      </c>
      <c r="Q141">
        <v>1000</v>
      </c>
      <c r="X141">
        <v>0.59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 t="s">
        <v>3</v>
      </c>
      <c r="AG141">
        <v>0.59</v>
      </c>
      <c r="AH141">
        <v>2</v>
      </c>
      <c r="AI141">
        <v>39493576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ROW(Source!A81)</f>
        <v>81</v>
      </c>
      <c r="B142">
        <v>39493577</v>
      </c>
      <c r="C142">
        <v>39493570</v>
      </c>
      <c r="D142">
        <v>36804545</v>
      </c>
      <c r="E142">
        <v>1</v>
      </c>
      <c r="F142">
        <v>1</v>
      </c>
      <c r="G142">
        <v>1</v>
      </c>
      <c r="H142">
        <v>3</v>
      </c>
      <c r="I142" t="s">
        <v>776</v>
      </c>
      <c r="J142" t="s">
        <v>777</v>
      </c>
      <c r="K142" t="s">
        <v>778</v>
      </c>
      <c r="L142">
        <v>1348</v>
      </c>
      <c r="N142">
        <v>1009</v>
      </c>
      <c r="O142" t="s">
        <v>110</v>
      </c>
      <c r="P142" t="s">
        <v>110</v>
      </c>
      <c r="Q142">
        <v>1000</v>
      </c>
      <c r="X142">
        <v>4.0000000000000001E-3</v>
      </c>
      <c r="Y142">
        <v>11978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4.0000000000000001E-3</v>
      </c>
      <c r="AH142">
        <v>2</v>
      </c>
      <c r="AI142">
        <v>39493577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ROW(Source!A81)</f>
        <v>81</v>
      </c>
      <c r="B143">
        <v>39493578</v>
      </c>
      <c r="C143">
        <v>39493570</v>
      </c>
      <c r="D143">
        <v>36804943</v>
      </c>
      <c r="E143">
        <v>1</v>
      </c>
      <c r="F143">
        <v>1</v>
      </c>
      <c r="G143">
        <v>1</v>
      </c>
      <c r="H143">
        <v>3</v>
      </c>
      <c r="I143" t="s">
        <v>779</v>
      </c>
      <c r="J143" t="s">
        <v>780</v>
      </c>
      <c r="K143" t="s">
        <v>781</v>
      </c>
      <c r="L143">
        <v>1348</v>
      </c>
      <c r="N143">
        <v>1009</v>
      </c>
      <c r="O143" t="s">
        <v>110</v>
      </c>
      <c r="P143" t="s">
        <v>110</v>
      </c>
      <c r="Q143">
        <v>1000</v>
      </c>
      <c r="X143">
        <v>2.2399999999999998E-3</v>
      </c>
      <c r="Y143">
        <v>16974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2.2399999999999998E-3</v>
      </c>
      <c r="AH143">
        <v>2</v>
      </c>
      <c r="AI143">
        <v>39493578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ROW(Source!A81)</f>
        <v>81</v>
      </c>
      <c r="B144">
        <v>39493579</v>
      </c>
      <c r="C144">
        <v>39493570</v>
      </c>
      <c r="D144">
        <v>36806488</v>
      </c>
      <c r="E144">
        <v>1</v>
      </c>
      <c r="F144">
        <v>1</v>
      </c>
      <c r="G144">
        <v>1</v>
      </c>
      <c r="H144">
        <v>3</v>
      </c>
      <c r="I144" t="s">
        <v>674</v>
      </c>
      <c r="J144" t="s">
        <v>675</v>
      </c>
      <c r="K144" t="s">
        <v>676</v>
      </c>
      <c r="L144">
        <v>1348</v>
      </c>
      <c r="N144">
        <v>1009</v>
      </c>
      <c r="O144" t="s">
        <v>110</v>
      </c>
      <c r="P144" t="s">
        <v>110</v>
      </c>
      <c r="Q144">
        <v>1000</v>
      </c>
      <c r="X144">
        <v>0.16500000000000001</v>
      </c>
      <c r="Y144">
        <v>729.98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0.16500000000000001</v>
      </c>
      <c r="AH144">
        <v>2</v>
      </c>
      <c r="AI144">
        <v>39493579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ROW(Source!A81)</f>
        <v>81</v>
      </c>
      <c r="B145">
        <v>39493580</v>
      </c>
      <c r="C145">
        <v>39493570</v>
      </c>
      <c r="D145">
        <v>36830298</v>
      </c>
      <c r="E145">
        <v>1</v>
      </c>
      <c r="F145">
        <v>1</v>
      </c>
      <c r="G145">
        <v>1</v>
      </c>
      <c r="H145">
        <v>3</v>
      </c>
      <c r="I145" t="s">
        <v>782</v>
      </c>
      <c r="J145" t="s">
        <v>783</v>
      </c>
      <c r="K145" t="s">
        <v>784</v>
      </c>
      <c r="L145">
        <v>1339</v>
      </c>
      <c r="N145">
        <v>1007</v>
      </c>
      <c r="O145" t="s">
        <v>106</v>
      </c>
      <c r="P145" t="s">
        <v>106</v>
      </c>
      <c r="Q145">
        <v>1</v>
      </c>
      <c r="X145">
        <v>0.54</v>
      </c>
      <c r="Y145">
        <v>1436.2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0.54</v>
      </c>
      <c r="AH145">
        <v>2</v>
      </c>
      <c r="AI145">
        <v>39493580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ROW(Source!A81)</f>
        <v>81</v>
      </c>
      <c r="B146">
        <v>39493581</v>
      </c>
      <c r="C146">
        <v>39493570</v>
      </c>
      <c r="D146">
        <v>36832948</v>
      </c>
      <c r="E146">
        <v>1</v>
      </c>
      <c r="F146">
        <v>1</v>
      </c>
      <c r="G146">
        <v>1</v>
      </c>
      <c r="H146">
        <v>3</v>
      </c>
      <c r="I146" t="s">
        <v>785</v>
      </c>
      <c r="J146" t="s">
        <v>786</v>
      </c>
      <c r="K146" t="s">
        <v>787</v>
      </c>
      <c r="L146">
        <v>1327</v>
      </c>
      <c r="N146">
        <v>1005</v>
      </c>
      <c r="O146" t="s">
        <v>83</v>
      </c>
      <c r="P146" t="s">
        <v>83</v>
      </c>
      <c r="Q146">
        <v>1</v>
      </c>
      <c r="X146">
        <v>31.3</v>
      </c>
      <c r="Y146">
        <v>5.71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31.3</v>
      </c>
      <c r="AH146">
        <v>2</v>
      </c>
      <c r="AI146">
        <v>39493581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ROW(Source!A81)</f>
        <v>81</v>
      </c>
      <c r="B147">
        <v>39493582</v>
      </c>
      <c r="C147">
        <v>39493570</v>
      </c>
      <c r="D147">
        <v>36836929</v>
      </c>
      <c r="E147">
        <v>1</v>
      </c>
      <c r="F147">
        <v>1</v>
      </c>
      <c r="G147">
        <v>1</v>
      </c>
      <c r="H147">
        <v>3</v>
      </c>
      <c r="I147" t="s">
        <v>788</v>
      </c>
      <c r="J147" t="s">
        <v>789</v>
      </c>
      <c r="K147" t="s">
        <v>790</v>
      </c>
      <c r="L147">
        <v>1346</v>
      </c>
      <c r="N147">
        <v>1009</v>
      </c>
      <c r="O147" t="s">
        <v>138</v>
      </c>
      <c r="P147" t="s">
        <v>138</v>
      </c>
      <c r="Q147">
        <v>1</v>
      </c>
      <c r="X147">
        <v>0.2</v>
      </c>
      <c r="Y147">
        <v>16.95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0.2</v>
      </c>
      <c r="AH147">
        <v>2</v>
      </c>
      <c r="AI147">
        <v>39493582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ROW(Source!A81)</f>
        <v>81</v>
      </c>
      <c r="B148">
        <v>39493583</v>
      </c>
      <c r="C148">
        <v>39493570</v>
      </c>
      <c r="D148">
        <v>36838798</v>
      </c>
      <c r="E148">
        <v>1</v>
      </c>
      <c r="F148">
        <v>1</v>
      </c>
      <c r="G148">
        <v>1</v>
      </c>
      <c r="H148">
        <v>3</v>
      </c>
      <c r="I148" t="s">
        <v>791</v>
      </c>
      <c r="J148" t="s">
        <v>792</v>
      </c>
      <c r="K148" t="s">
        <v>793</v>
      </c>
      <c r="L148">
        <v>1296</v>
      </c>
      <c r="N148">
        <v>1002</v>
      </c>
      <c r="O148" t="s">
        <v>794</v>
      </c>
      <c r="P148" t="s">
        <v>794</v>
      </c>
      <c r="Q148">
        <v>1</v>
      </c>
      <c r="X148">
        <v>13.89</v>
      </c>
      <c r="Y148">
        <v>46.86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13.89</v>
      </c>
      <c r="AH148">
        <v>2</v>
      </c>
      <c r="AI148">
        <v>39493583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ROW(Source!A83)</f>
        <v>83</v>
      </c>
      <c r="B149">
        <v>39097471</v>
      </c>
      <c r="C149">
        <v>39097468</v>
      </c>
      <c r="D149">
        <v>37068110</v>
      </c>
      <c r="E149">
        <v>1</v>
      </c>
      <c r="F149">
        <v>1</v>
      </c>
      <c r="G149">
        <v>1</v>
      </c>
      <c r="H149">
        <v>1</v>
      </c>
      <c r="I149" t="s">
        <v>795</v>
      </c>
      <c r="J149" t="s">
        <v>3</v>
      </c>
      <c r="K149" t="s">
        <v>796</v>
      </c>
      <c r="L149">
        <v>1191</v>
      </c>
      <c r="N149">
        <v>1013</v>
      </c>
      <c r="O149" t="s">
        <v>660</v>
      </c>
      <c r="P149" t="s">
        <v>660</v>
      </c>
      <c r="Q149">
        <v>1</v>
      </c>
      <c r="X149">
        <v>1.03</v>
      </c>
      <c r="Y149">
        <v>0</v>
      </c>
      <c r="Z149">
        <v>0</v>
      </c>
      <c r="AA149">
        <v>0</v>
      </c>
      <c r="AB149">
        <v>7.19</v>
      </c>
      <c r="AC149">
        <v>0</v>
      </c>
      <c r="AD149">
        <v>1</v>
      </c>
      <c r="AE149">
        <v>1</v>
      </c>
      <c r="AF149" t="s">
        <v>3</v>
      </c>
      <c r="AG149">
        <v>1.03</v>
      </c>
      <c r="AH149">
        <v>2</v>
      </c>
      <c r="AI149">
        <v>39097469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ROW(Source!A83)</f>
        <v>83</v>
      </c>
      <c r="B150">
        <v>39097472</v>
      </c>
      <c r="C150">
        <v>39097468</v>
      </c>
      <c r="D150">
        <v>36805490</v>
      </c>
      <c r="E150">
        <v>1</v>
      </c>
      <c r="F150">
        <v>1</v>
      </c>
      <c r="G150">
        <v>1</v>
      </c>
      <c r="H150">
        <v>3</v>
      </c>
      <c r="I150" t="s">
        <v>797</v>
      </c>
      <c r="J150" t="s">
        <v>798</v>
      </c>
      <c r="K150" t="s">
        <v>799</v>
      </c>
      <c r="L150">
        <v>1355</v>
      </c>
      <c r="N150">
        <v>1010</v>
      </c>
      <c r="O150" t="s">
        <v>161</v>
      </c>
      <c r="P150" t="s">
        <v>161</v>
      </c>
      <c r="Q150">
        <v>100</v>
      </c>
      <c r="X150">
        <v>0.2</v>
      </c>
      <c r="Y150">
        <v>82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0.2</v>
      </c>
      <c r="AH150">
        <v>2</v>
      </c>
      <c r="AI150">
        <v>39097470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ROW(Source!A120)</f>
        <v>120</v>
      </c>
      <c r="B151">
        <v>39101870</v>
      </c>
      <c r="C151">
        <v>39101866</v>
      </c>
      <c r="D151">
        <v>37065946</v>
      </c>
      <c r="E151">
        <v>1</v>
      </c>
      <c r="F151">
        <v>1</v>
      </c>
      <c r="G151">
        <v>1</v>
      </c>
      <c r="H151">
        <v>1</v>
      </c>
      <c r="I151" t="s">
        <v>800</v>
      </c>
      <c r="J151" t="s">
        <v>3</v>
      </c>
      <c r="K151" t="s">
        <v>801</v>
      </c>
      <c r="L151">
        <v>1191</v>
      </c>
      <c r="N151">
        <v>1013</v>
      </c>
      <c r="O151" t="s">
        <v>660</v>
      </c>
      <c r="P151" t="s">
        <v>660</v>
      </c>
      <c r="Q151">
        <v>1</v>
      </c>
      <c r="X151">
        <v>110</v>
      </c>
      <c r="Y151">
        <v>0</v>
      </c>
      <c r="Z151">
        <v>0</v>
      </c>
      <c r="AA151">
        <v>0</v>
      </c>
      <c r="AB151">
        <v>7.87</v>
      </c>
      <c r="AC151">
        <v>0</v>
      </c>
      <c r="AD151">
        <v>1</v>
      </c>
      <c r="AE151">
        <v>1</v>
      </c>
      <c r="AF151" t="s">
        <v>3</v>
      </c>
      <c r="AG151">
        <v>110</v>
      </c>
      <c r="AH151">
        <v>2</v>
      </c>
      <c r="AI151">
        <v>39101867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ROW(Source!A120)</f>
        <v>120</v>
      </c>
      <c r="B152">
        <v>39101871</v>
      </c>
      <c r="C152">
        <v>39101866</v>
      </c>
      <c r="D152">
        <v>37064876</v>
      </c>
      <c r="E152">
        <v>1</v>
      </c>
      <c r="F152">
        <v>1</v>
      </c>
      <c r="G152">
        <v>1</v>
      </c>
      <c r="H152">
        <v>1</v>
      </c>
      <c r="I152" t="s">
        <v>661</v>
      </c>
      <c r="J152" t="s">
        <v>3</v>
      </c>
      <c r="K152" t="s">
        <v>662</v>
      </c>
      <c r="L152">
        <v>1191</v>
      </c>
      <c r="N152">
        <v>1013</v>
      </c>
      <c r="O152" t="s">
        <v>660</v>
      </c>
      <c r="P152" t="s">
        <v>660</v>
      </c>
      <c r="Q152">
        <v>1</v>
      </c>
      <c r="X152">
        <v>2.2400000000000002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3</v>
      </c>
      <c r="AG152">
        <v>2.2400000000000002</v>
      </c>
      <c r="AH152">
        <v>2</v>
      </c>
      <c r="AI152">
        <v>39101868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ROW(Source!A120)</f>
        <v>120</v>
      </c>
      <c r="B153">
        <v>39101872</v>
      </c>
      <c r="C153">
        <v>39101866</v>
      </c>
      <c r="D153">
        <v>36882452</v>
      </c>
      <c r="E153">
        <v>1</v>
      </c>
      <c r="F153">
        <v>1</v>
      </c>
      <c r="G153">
        <v>1</v>
      </c>
      <c r="H153">
        <v>2</v>
      </c>
      <c r="I153" t="s">
        <v>663</v>
      </c>
      <c r="J153" t="s">
        <v>664</v>
      </c>
      <c r="K153" t="s">
        <v>665</v>
      </c>
      <c r="L153">
        <v>1368</v>
      </c>
      <c r="N153">
        <v>1011</v>
      </c>
      <c r="O153" t="s">
        <v>666</v>
      </c>
      <c r="P153" t="s">
        <v>666</v>
      </c>
      <c r="Q153">
        <v>1</v>
      </c>
      <c r="X153">
        <v>2.2400000000000002</v>
      </c>
      <c r="Y153">
        <v>0</v>
      </c>
      <c r="Z153">
        <v>31.26</v>
      </c>
      <c r="AA153">
        <v>13.5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2.2400000000000002</v>
      </c>
      <c r="AH153">
        <v>2</v>
      </c>
      <c r="AI153">
        <v>39101869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ROW(Source!A121)</f>
        <v>121</v>
      </c>
      <c r="B154">
        <v>39101885</v>
      </c>
      <c r="C154">
        <v>39101873</v>
      </c>
      <c r="D154">
        <v>37070090</v>
      </c>
      <c r="E154">
        <v>1</v>
      </c>
      <c r="F154">
        <v>1</v>
      </c>
      <c r="G154">
        <v>1</v>
      </c>
      <c r="H154">
        <v>1</v>
      </c>
      <c r="I154" t="s">
        <v>758</v>
      </c>
      <c r="J154" t="s">
        <v>3</v>
      </c>
      <c r="K154" t="s">
        <v>759</v>
      </c>
      <c r="L154">
        <v>1191</v>
      </c>
      <c r="N154">
        <v>1013</v>
      </c>
      <c r="O154" t="s">
        <v>660</v>
      </c>
      <c r="P154" t="s">
        <v>660</v>
      </c>
      <c r="Q154">
        <v>1</v>
      </c>
      <c r="X154">
        <v>65.599999999999994</v>
      </c>
      <c r="Y154">
        <v>0</v>
      </c>
      <c r="Z154">
        <v>0</v>
      </c>
      <c r="AA154">
        <v>0</v>
      </c>
      <c r="AB154">
        <v>8.9700000000000006</v>
      </c>
      <c r="AC154">
        <v>0</v>
      </c>
      <c r="AD154">
        <v>1</v>
      </c>
      <c r="AE154">
        <v>1</v>
      </c>
      <c r="AF154" t="s">
        <v>3</v>
      </c>
      <c r="AG154">
        <v>65.599999999999994</v>
      </c>
      <c r="AH154">
        <v>2</v>
      </c>
      <c r="AI154">
        <v>39101874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ROW(Source!A121)</f>
        <v>121</v>
      </c>
      <c r="B155">
        <v>39101886</v>
      </c>
      <c r="C155">
        <v>39101873</v>
      </c>
      <c r="D155">
        <v>37064876</v>
      </c>
      <c r="E155">
        <v>1</v>
      </c>
      <c r="F155">
        <v>1</v>
      </c>
      <c r="G155">
        <v>1</v>
      </c>
      <c r="H155">
        <v>1</v>
      </c>
      <c r="I155" t="s">
        <v>661</v>
      </c>
      <c r="J155" t="s">
        <v>3</v>
      </c>
      <c r="K155" t="s">
        <v>662</v>
      </c>
      <c r="L155">
        <v>1191</v>
      </c>
      <c r="N155">
        <v>1013</v>
      </c>
      <c r="O155" t="s">
        <v>660</v>
      </c>
      <c r="P155" t="s">
        <v>660</v>
      </c>
      <c r="Q155">
        <v>1</v>
      </c>
      <c r="X155">
        <v>3.13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2</v>
      </c>
      <c r="AF155" t="s">
        <v>3</v>
      </c>
      <c r="AG155">
        <v>3.13</v>
      </c>
      <c r="AH155">
        <v>2</v>
      </c>
      <c r="AI155">
        <v>39101875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ROW(Source!A121)</f>
        <v>121</v>
      </c>
      <c r="B156">
        <v>39101887</v>
      </c>
      <c r="C156">
        <v>39101873</v>
      </c>
      <c r="D156">
        <v>36882159</v>
      </c>
      <c r="E156">
        <v>1</v>
      </c>
      <c r="F156">
        <v>1</v>
      </c>
      <c r="G156">
        <v>1</v>
      </c>
      <c r="H156">
        <v>2</v>
      </c>
      <c r="I156" t="s">
        <v>802</v>
      </c>
      <c r="J156" t="s">
        <v>803</v>
      </c>
      <c r="K156" t="s">
        <v>804</v>
      </c>
      <c r="L156">
        <v>1368</v>
      </c>
      <c r="N156">
        <v>1011</v>
      </c>
      <c r="O156" t="s">
        <v>666</v>
      </c>
      <c r="P156" t="s">
        <v>666</v>
      </c>
      <c r="Q156">
        <v>1</v>
      </c>
      <c r="X156">
        <v>0.09</v>
      </c>
      <c r="Y156">
        <v>0</v>
      </c>
      <c r="Z156">
        <v>111.99</v>
      </c>
      <c r="AA156">
        <v>13.5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0.09</v>
      </c>
      <c r="AH156">
        <v>2</v>
      </c>
      <c r="AI156">
        <v>39101876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ROW(Source!A121)</f>
        <v>121</v>
      </c>
      <c r="B157">
        <v>39101888</v>
      </c>
      <c r="C157">
        <v>39101873</v>
      </c>
      <c r="D157">
        <v>36882452</v>
      </c>
      <c r="E157">
        <v>1</v>
      </c>
      <c r="F157">
        <v>1</v>
      </c>
      <c r="G157">
        <v>1</v>
      </c>
      <c r="H157">
        <v>2</v>
      </c>
      <c r="I157" t="s">
        <v>663</v>
      </c>
      <c r="J157" t="s">
        <v>664</v>
      </c>
      <c r="K157" t="s">
        <v>665</v>
      </c>
      <c r="L157">
        <v>1368</v>
      </c>
      <c r="N157">
        <v>1011</v>
      </c>
      <c r="O157" t="s">
        <v>666</v>
      </c>
      <c r="P157" t="s">
        <v>666</v>
      </c>
      <c r="Q157">
        <v>1</v>
      </c>
      <c r="X157">
        <v>1.19</v>
      </c>
      <c r="Y157">
        <v>0</v>
      </c>
      <c r="Z157">
        <v>31.26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1.19</v>
      </c>
      <c r="AH157">
        <v>2</v>
      </c>
      <c r="AI157">
        <v>39101877</v>
      </c>
      <c r="AJ157">
        <v>159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ROW(Source!A121)</f>
        <v>121</v>
      </c>
      <c r="B158">
        <v>39101889</v>
      </c>
      <c r="C158">
        <v>39101873</v>
      </c>
      <c r="D158">
        <v>36883274</v>
      </c>
      <c r="E158">
        <v>1</v>
      </c>
      <c r="F158">
        <v>1</v>
      </c>
      <c r="G158">
        <v>1</v>
      </c>
      <c r="H158">
        <v>2</v>
      </c>
      <c r="I158" t="s">
        <v>805</v>
      </c>
      <c r="J158" t="s">
        <v>806</v>
      </c>
      <c r="K158" t="s">
        <v>807</v>
      </c>
      <c r="L158">
        <v>1368</v>
      </c>
      <c r="N158">
        <v>1011</v>
      </c>
      <c r="O158" t="s">
        <v>666</v>
      </c>
      <c r="P158" t="s">
        <v>666</v>
      </c>
      <c r="Q158">
        <v>1</v>
      </c>
      <c r="X158">
        <v>0.8</v>
      </c>
      <c r="Y158">
        <v>0</v>
      </c>
      <c r="Z158">
        <v>29.67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0.8</v>
      </c>
      <c r="AH158">
        <v>2</v>
      </c>
      <c r="AI158">
        <v>39101878</v>
      </c>
      <c r="AJ158">
        <v>160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ROW(Source!A121)</f>
        <v>121</v>
      </c>
      <c r="B159">
        <v>39101890</v>
      </c>
      <c r="C159">
        <v>39101873</v>
      </c>
      <c r="D159">
        <v>36883554</v>
      </c>
      <c r="E159">
        <v>1</v>
      </c>
      <c r="F159">
        <v>1</v>
      </c>
      <c r="G159">
        <v>1</v>
      </c>
      <c r="H159">
        <v>2</v>
      </c>
      <c r="I159" t="s">
        <v>679</v>
      </c>
      <c r="J159" t="s">
        <v>680</v>
      </c>
      <c r="K159" t="s">
        <v>681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X159">
        <v>1.85</v>
      </c>
      <c r="Y159">
        <v>0</v>
      </c>
      <c r="Z159">
        <v>65.709999999999994</v>
      </c>
      <c r="AA159">
        <v>11.6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1.85</v>
      </c>
      <c r="AH159">
        <v>2</v>
      </c>
      <c r="AI159">
        <v>39101879</v>
      </c>
      <c r="AJ159">
        <v>161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ROW(Source!A121)</f>
        <v>121</v>
      </c>
      <c r="B160">
        <v>39101891</v>
      </c>
      <c r="C160">
        <v>39101873</v>
      </c>
      <c r="D160">
        <v>36800590</v>
      </c>
      <c r="E160">
        <v>1</v>
      </c>
      <c r="F160">
        <v>1</v>
      </c>
      <c r="G160">
        <v>1</v>
      </c>
      <c r="H160">
        <v>3</v>
      </c>
      <c r="I160" t="s">
        <v>808</v>
      </c>
      <c r="J160" t="s">
        <v>809</v>
      </c>
      <c r="K160" t="s">
        <v>810</v>
      </c>
      <c r="L160">
        <v>1339</v>
      </c>
      <c r="N160">
        <v>1007</v>
      </c>
      <c r="O160" t="s">
        <v>106</v>
      </c>
      <c r="P160" t="s">
        <v>106</v>
      </c>
      <c r="Q160">
        <v>1</v>
      </c>
      <c r="X160">
        <v>0.67</v>
      </c>
      <c r="Y160">
        <v>45.83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0.67</v>
      </c>
      <c r="AH160">
        <v>2</v>
      </c>
      <c r="AI160">
        <v>39101880</v>
      </c>
      <c r="AJ160">
        <v>162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ROW(Source!A121)</f>
        <v>121</v>
      </c>
      <c r="B161">
        <v>39101892</v>
      </c>
      <c r="C161">
        <v>39101873</v>
      </c>
      <c r="D161">
        <v>36801792</v>
      </c>
      <c r="E161">
        <v>1</v>
      </c>
      <c r="F161">
        <v>1</v>
      </c>
      <c r="G161">
        <v>1</v>
      </c>
      <c r="H161">
        <v>3</v>
      </c>
      <c r="I161" t="s">
        <v>671</v>
      </c>
      <c r="J161" t="s">
        <v>672</v>
      </c>
      <c r="K161" t="s">
        <v>673</v>
      </c>
      <c r="L161">
        <v>1339</v>
      </c>
      <c r="N161">
        <v>1007</v>
      </c>
      <c r="O161" t="s">
        <v>106</v>
      </c>
      <c r="P161" t="s">
        <v>106</v>
      </c>
      <c r="Q161">
        <v>1</v>
      </c>
      <c r="X161">
        <v>15</v>
      </c>
      <c r="Y161">
        <v>2.44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15</v>
      </c>
      <c r="AH161">
        <v>2</v>
      </c>
      <c r="AI161">
        <v>39101881</v>
      </c>
      <c r="AJ161">
        <v>163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ROW(Source!A121)</f>
        <v>121</v>
      </c>
      <c r="B162">
        <v>39101893</v>
      </c>
      <c r="C162">
        <v>39101873</v>
      </c>
      <c r="D162">
        <v>36797518</v>
      </c>
      <c r="E162">
        <v>17</v>
      </c>
      <c r="F162">
        <v>1</v>
      </c>
      <c r="G162">
        <v>1</v>
      </c>
      <c r="H162">
        <v>3</v>
      </c>
      <c r="I162" t="s">
        <v>954</v>
      </c>
      <c r="J162" t="s">
        <v>3</v>
      </c>
      <c r="K162" t="s">
        <v>955</v>
      </c>
      <c r="L162">
        <v>1358</v>
      </c>
      <c r="N162">
        <v>1010</v>
      </c>
      <c r="O162" t="s">
        <v>436</v>
      </c>
      <c r="P162" t="s">
        <v>436</v>
      </c>
      <c r="Q162">
        <v>10</v>
      </c>
      <c r="X162">
        <v>8.9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8.9</v>
      </c>
      <c r="AH162">
        <v>3</v>
      </c>
      <c r="AI162">
        <v>-1</v>
      </c>
      <c r="AJ162" t="s">
        <v>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ROW(Source!A121)</f>
        <v>121</v>
      </c>
      <c r="B163">
        <v>39101894</v>
      </c>
      <c r="C163">
        <v>39101873</v>
      </c>
      <c r="D163">
        <v>36796579</v>
      </c>
      <c r="E163">
        <v>17</v>
      </c>
      <c r="F163">
        <v>1</v>
      </c>
      <c r="G163">
        <v>1</v>
      </c>
      <c r="H163">
        <v>3</v>
      </c>
      <c r="I163" t="s">
        <v>956</v>
      </c>
      <c r="J163" t="s">
        <v>3</v>
      </c>
      <c r="K163" t="s">
        <v>957</v>
      </c>
      <c r="L163">
        <v>1348</v>
      </c>
      <c r="N163">
        <v>1009</v>
      </c>
      <c r="O163" t="s">
        <v>110</v>
      </c>
      <c r="P163" t="s">
        <v>110</v>
      </c>
      <c r="Q163">
        <v>1000</v>
      </c>
      <c r="X163">
        <v>4.4999999999999997E-3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3</v>
      </c>
      <c r="AG163">
        <v>4.4999999999999997E-3</v>
      </c>
      <c r="AH163">
        <v>3</v>
      </c>
      <c r="AI163">
        <v>-1</v>
      </c>
      <c r="AJ163" t="s">
        <v>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ROW(Source!A121)</f>
        <v>121</v>
      </c>
      <c r="B164">
        <v>39101895</v>
      </c>
      <c r="C164">
        <v>39101873</v>
      </c>
      <c r="D164">
        <v>36847310</v>
      </c>
      <c r="E164">
        <v>1</v>
      </c>
      <c r="F164">
        <v>1</v>
      </c>
      <c r="G164">
        <v>1</v>
      </c>
      <c r="H164">
        <v>3</v>
      </c>
      <c r="I164" t="s">
        <v>811</v>
      </c>
      <c r="J164" t="s">
        <v>812</v>
      </c>
      <c r="K164" t="s">
        <v>813</v>
      </c>
      <c r="L164">
        <v>1035</v>
      </c>
      <c r="N164">
        <v>1013</v>
      </c>
      <c r="O164" t="s">
        <v>814</v>
      </c>
      <c r="P164" t="s">
        <v>814</v>
      </c>
      <c r="Q164">
        <v>1</v>
      </c>
      <c r="X164">
        <v>44.2</v>
      </c>
      <c r="Y164">
        <v>24.75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44.2</v>
      </c>
      <c r="AH164">
        <v>2</v>
      </c>
      <c r="AI164">
        <v>39101882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ROW(Source!A121)</f>
        <v>121</v>
      </c>
      <c r="B165">
        <v>39101896</v>
      </c>
      <c r="C165">
        <v>39101873</v>
      </c>
      <c r="D165">
        <v>36797746</v>
      </c>
      <c r="E165">
        <v>17</v>
      </c>
      <c r="F165">
        <v>1</v>
      </c>
      <c r="G165">
        <v>1</v>
      </c>
      <c r="H165">
        <v>3</v>
      </c>
      <c r="I165" t="s">
        <v>350</v>
      </c>
      <c r="J165" t="s">
        <v>3</v>
      </c>
      <c r="K165" t="s">
        <v>351</v>
      </c>
      <c r="L165">
        <v>1033</v>
      </c>
      <c r="N165">
        <v>1013</v>
      </c>
      <c r="O165" t="s">
        <v>352</v>
      </c>
      <c r="P165" t="s">
        <v>352</v>
      </c>
      <c r="Q165">
        <v>1</v>
      </c>
      <c r="X165">
        <v>100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3</v>
      </c>
      <c r="AG165">
        <v>100</v>
      </c>
      <c r="AH165">
        <v>2</v>
      </c>
      <c r="AI165">
        <v>39101884</v>
      </c>
      <c r="AJ165">
        <v>166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ROW(Source!A124)</f>
        <v>124</v>
      </c>
      <c r="B166">
        <v>39101908</v>
      </c>
      <c r="C166">
        <v>39101899</v>
      </c>
      <c r="D166">
        <v>37064928</v>
      </c>
      <c r="E166">
        <v>1</v>
      </c>
      <c r="F166">
        <v>1</v>
      </c>
      <c r="G166">
        <v>1</v>
      </c>
      <c r="H166">
        <v>1</v>
      </c>
      <c r="I166" t="s">
        <v>771</v>
      </c>
      <c r="J166" t="s">
        <v>3</v>
      </c>
      <c r="K166" t="s">
        <v>772</v>
      </c>
      <c r="L166">
        <v>1191</v>
      </c>
      <c r="N166">
        <v>1013</v>
      </c>
      <c r="O166" t="s">
        <v>660</v>
      </c>
      <c r="P166" t="s">
        <v>660</v>
      </c>
      <c r="Q166">
        <v>1</v>
      </c>
      <c r="X166">
        <v>1.47</v>
      </c>
      <c r="Y166">
        <v>0</v>
      </c>
      <c r="Z166">
        <v>0</v>
      </c>
      <c r="AA166">
        <v>0</v>
      </c>
      <c r="AB166">
        <v>9.07</v>
      </c>
      <c r="AC166">
        <v>0</v>
      </c>
      <c r="AD166">
        <v>1</v>
      </c>
      <c r="AE166">
        <v>1</v>
      </c>
      <c r="AF166" t="s">
        <v>3</v>
      </c>
      <c r="AG166">
        <v>1.47</v>
      </c>
      <c r="AH166">
        <v>2</v>
      </c>
      <c r="AI166">
        <v>39101900</v>
      </c>
      <c r="AJ166">
        <v>167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ROW(Source!A124)</f>
        <v>124</v>
      </c>
      <c r="B167">
        <v>39101909</v>
      </c>
      <c r="C167">
        <v>39101899</v>
      </c>
      <c r="D167">
        <v>37064876</v>
      </c>
      <c r="E167">
        <v>1</v>
      </c>
      <c r="F167">
        <v>1</v>
      </c>
      <c r="G167">
        <v>1</v>
      </c>
      <c r="H167">
        <v>1</v>
      </c>
      <c r="I167" t="s">
        <v>661</v>
      </c>
      <c r="J167" t="s">
        <v>3</v>
      </c>
      <c r="K167" t="s">
        <v>662</v>
      </c>
      <c r="L167">
        <v>1191</v>
      </c>
      <c r="N167">
        <v>1013</v>
      </c>
      <c r="O167" t="s">
        <v>660</v>
      </c>
      <c r="P167" t="s">
        <v>660</v>
      </c>
      <c r="Q167">
        <v>1</v>
      </c>
      <c r="X167">
        <v>0.01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2</v>
      </c>
      <c r="AF167" t="s">
        <v>3</v>
      </c>
      <c r="AG167">
        <v>0.01</v>
      </c>
      <c r="AH167">
        <v>2</v>
      </c>
      <c r="AI167">
        <v>39101901</v>
      </c>
      <c r="AJ167">
        <v>168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ROW(Source!A124)</f>
        <v>124</v>
      </c>
      <c r="B168">
        <v>39101910</v>
      </c>
      <c r="C168">
        <v>39101899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679</v>
      </c>
      <c r="J168" t="s">
        <v>680</v>
      </c>
      <c r="K168" t="s">
        <v>681</v>
      </c>
      <c r="L168">
        <v>1368</v>
      </c>
      <c r="N168">
        <v>1011</v>
      </c>
      <c r="O168" t="s">
        <v>666</v>
      </c>
      <c r="P168" t="s">
        <v>666</v>
      </c>
      <c r="Q168">
        <v>1</v>
      </c>
      <c r="X168">
        <v>0.01</v>
      </c>
      <c r="Y168">
        <v>0</v>
      </c>
      <c r="Z168">
        <v>65.709999999999994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0.01</v>
      </c>
      <c r="AH168">
        <v>2</v>
      </c>
      <c r="AI168">
        <v>39101902</v>
      </c>
      <c r="AJ168">
        <v>169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ROW(Source!A124)</f>
        <v>124</v>
      </c>
      <c r="B169">
        <v>39101911</v>
      </c>
      <c r="C169">
        <v>39101899</v>
      </c>
      <c r="D169">
        <v>36883858</v>
      </c>
      <c r="E169">
        <v>1</v>
      </c>
      <c r="F169">
        <v>1</v>
      </c>
      <c r="G169">
        <v>1</v>
      </c>
      <c r="H169">
        <v>2</v>
      </c>
      <c r="I169" t="s">
        <v>704</v>
      </c>
      <c r="J169" t="s">
        <v>705</v>
      </c>
      <c r="K169" t="s">
        <v>706</v>
      </c>
      <c r="L169">
        <v>1368</v>
      </c>
      <c r="N169">
        <v>1011</v>
      </c>
      <c r="O169" t="s">
        <v>666</v>
      </c>
      <c r="P169" t="s">
        <v>666</v>
      </c>
      <c r="Q169">
        <v>1</v>
      </c>
      <c r="X169">
        <v>0.35</v>
      </c>
      <c r="Y169">
        <v>0</v>
      </c>
      <c r="Z169">
        <v>8.1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0.35</v>
      </c>
      <c r="AH169">
        <v>2</v>
      </c>
      <c r="AI169">
        <v>39101903</v>
      </c>
      <c r="AJ169">
        <v>170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ROW(Source!A124)</f>
        <v>124</v>
      </c>
      <c r="B170">
        <v>39101912</v>
      </c>
      <c r="C170">
        <v>39101899</v>
      </c>
      <c r="D170">
        <v>36799773</v>
      </c>
      <c r="E170">
        <v>1</v>
      </c>
      <c r="F170">
        <v>1</v>
      </c>
      <c r="G170">
        <v>1</v>
      </c>
      <c r="H170">
        <v>3</v>
      </c>
      <c r="I170" t="s">
        <v>815</v>
      </c>
      <c r="J170" t="s">
        <v>816</v>
      </c>
      <c r="K170" t="s">
        <v>817</v>
      </c>
      <c r="L170">
        <v>1356</v>
      </c>
      <c r="N170">
        <v>1010</v>
      </c>
      <c r="O170" t="s">
        <v>741</v>
      </c>
      <c r="P170" t="s">
        <v>741</v>
      </c>
      <c r="Q170">
        <v>1000</v>
      </c>
      <c r="X170">
        <v>2E-3</v>
      </c>
      <c r="Y170">
        <v>3450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2E-3</v>
      </c>
      <c r="AH170">
        <v>2</v>
      </c>
      <c r="AI170">
        <v>39101904</v>
      </c>
      <c r="AJ170">
        <v>171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ROW(Source!A124)</f>
        <v>124</v>
      </c>
      <c r="B171">
        <v>39101913</v>
      </c>
      <c r="C171">
        <v>39101899</v>
      </c>
      <c r="D171">
        <v>36803269</v>
      </c>
      <c r="E171">
        <v>1</v>
      </c>
      <c r="F171">
        <v>1</v>
      </c>
      <c r="G171">
        <v>1</v>
      </c>
      <c r="H171">
        <v>3</v>
      </c>
      <c r="I171" t="s">
        <v>818</v>
      </c>
      <c r="J171" t="s">
        <v>819</v>
      </c>
      <c r="K171" t="s">
        <v>820</v>
      </c>
      <c r="L171">
        <v>1348</v>
      </c>
      <c r="N171">
        <v>1009</v>
      </c>
      <c r="O171" t="s">
        <v>110</v>
      </c>
      <c r="P171" t="s">
        <v>110</v>
      </c>
      <c r="Q171">
        <v>1000</v>
      </c>
      <c r="X171">
        <v>1.3999999999999999E-4</v>
      </c>
      <c r="Y171">
        <v>10362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1.3999999999999999E-4</v>
      </c>
      <c r="AH171">
        <v>2</v>
      </c>
      <c r="AI171">
        <v>39101905</v>
      </c>
      <c r="AJ171">
        <v>172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ROW(Source!A124)</f>
        <v>124</v>
      </c>
      <c r="B172">
        <v>39101914</v>
      </c>
      <c r="C172">
        <v>39101899</v>
      </c>
      <c r="D172">
        <v>36804429</v>
      </c>
      <c r="E172">
        <v>1</v>
      </c>
      <c r="F172">
        <v>1</v>
      </c>
      <c r="G172">
        <v>1</v>
      </c>
      <c r="H172">
        <v>3</v>
      </c>
      <c r="I172" t="s">
        <v>821</v>
      </c>
      <c r="J172" t="s">
        <v>822</v>
      </c>
      <c r="K172" t="s">
        <v>823</v>
      </c>
      <c r="L172">
        <v>1348</v>
      </c>
      <c r="N172">
        <v>1009</v>
      </c>
      <c r="O172" t="s">
        <v>110</v>
      </c>
      <c r="P172" t="s">
        <v>110</v>
      </c>
      <c r="Q172">
        <v>1000</v>
      </c>
      <c r="X172">
        <v>1.1000000000000001E-3</v>
      </c>
      <c r="Y172">
        <v>15323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1.1000000000000001E-3</v>
      </c>
      <c r="AH172">
        <v>2</v>
      </c>
      <c r="AI172">
        <v>39101906</v>
      </c>
      <c r="AJ172">
        <v>173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ROW(Source!A124)</f>
        <v>124</v>
      </c>
      <c r="B173">
        <v>39101915</v>
      </c>
      <c r="C173">
        <v>39101899</v>
      </c>
      <c r="D173">
        <v>36797390</v>
      </c>
      <c r="E173">
        <v>17</v>
      </c>
      <c r="F173">
        <v>1</v>
      </c>
      <c r="G173">
        <v>1</v>
      </c>
      <c r="H173">
        <v>3</v>
      </c>
      <c r="I173" t="s">
        <v>966</v>
      </c>
      <c r="J173" t="s">
        <v>3</v>
      </c>
      <c r="K173" t="s">
        <v>967</v>
      </c>
      <c r="L173">
        <v>1354</v>
      </c>
      <c r="N173">
        <v>1010</v>
      </c>
      <c r="O173" t="s">
        <v>46</v>
      </c>
      <c r="P173" t="s">
        <v>46</v>
      </c>
      <c r="Q173">
        <v>1</v>
      </c>
      <c r="X173">
        <v>1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3</v>
      </c>
      <c r="AG173">
        <v>1</v>
      </c>
      <c r="AH173">
        <v>3</v>
      </c>
      <c r="AI173">
        <v>-1</v>
      </c>
      <c r="AJ173" t="s">
        <v>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ROW(Source!A124)</f>
        <v>124</v>
      </c>
      <c r="B174">
        <v>39101916</v>
      </c>
      <c r="C174">
        <v>39101899</v>
      </c>
      <c r="D174">
        <v>36796239</v>
      </c>
      <c r="E174">
        <v>17</v>
      </c>
      <c r="F174">
        <v>1</v>
      </c>
      <c r="G174">
        <v>1</v>
      </c>
      <c r="H174">
        <v>3</v>
      </c>
      <c r="I174" t="s">
        <v>968</v>
      </c>
      <c r="J174" t="s">
        <v>3</v>
      </c>
      <c r="K174" t="s">
        <v>969</v>
      </c>
      <c r="L174">
        <v>1354</v>
      </c>
      <c r="N174">
        <v>1010</v>
      </c>
      <c r="O174" t="s">
        <v>46</v>
      </c>
      <c r="P174" t="s">
        <v>46</v>
      </c>
      <c r="Q174">
        <v>1</v>
      </c>
      <c r="X174">
        <v>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3</v>
      </c>
      <c r="AG174">
        <v>2</v>
      </c>
      <c r="AH174">
        <v>3</v>
      </c>
      <c r="AI174">
        <v>-1</v>
      </c>
      <c r="AJ174" t="s">
        <v>3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ROW(Source!A126)</f>
        <v>126</v>
      </c>
      <c r="B175">
        <v>39101927</v>
      </c>
      <c r="C175">
        <v>39101918</v>
      </c>
      <c r="D175">
        <v>37064978</v>
      </c>
      <c r="E175">
        <v>1</v>
      </c>
      <c r="F175">
        <v>1</v>
      </c>
      <c r="G175">
        <v>1</v>
      </c>
      <c r="H175">
        <v>1</v>
      </c>
      <c r="I175" t="s">
        <v>824</v>
      </c>
      <c r="J175" t="s">
        <v>3</v>
      </c>
      <c r="K175" t="s">
        <v>825</v>
      </c>
      <c r="L175">
        <v>1191</v>
      </c>
      <c r="N175">
        <v>1013</v>
      </c>
      <c r="O175" t="s">
        <v>660</v>
      </c>
      <c r="P175" t="s">
        <v>660</v>
      </c>
      <c r="Q175">
        <v>1</v>
      </c>
      <c r="X175">
        <v>71.06</v>
      </c>
      <c r="Y175">
        <v>0</v>
      </c>
      <c r="Z175">
        <v>0</v>
      </c>
      <c r="AA175">
        <v>0</v>
      </c>
      <c r="AB175">
        <v>8.86</v>
      </c>
      <c r="AC175">
        <v>0</v>
      </c>
      <c r="AD175">
        <v>1</v>
      </c>
      <c r="AE175">
        <v>1</v>
      </c>
      <c r="AF175" t="s">
        <v>3</v>
      </c>
      <c r="AG175">
        <v>71.06</v>
      </c>
      <c r="AH175">
        <v>2</v>
      </c>
      <c r="AI175">
        <v>39101919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ROW(Source!A126)</f>
        <v>126</v>
      </c>
      <c r="B176">
        <v>39101928</v>
      </c>
      <c r="C176">
        <v>39101918</v>
      </c>
      <c r="D176">
        <v>37064876</v>
      </c>
      <c r="E176">
        <v>1</v>
      </c>
      <c r="F176">
        <v>1</v>
      </c>
      <c r="G176">
        <v>1</v>
      </c>
      <c r="H176">
        <v>1</v>
      </c>
      <c r="I176" t="s">
        <v>661</v>
      </c>
      <c r="J176" t="s">
        <v>3</v>
      </c>
      <c r="K176" t="s">
        <v>662</v>
      </c>
      <c r="L176">
        <v>1191</v>
      </c>
      <c r="N176">
        <v>1013</v>
      </c>
      <c r="O176" t="s">
        <v>660</v>
      </c>
      <c r="P176" t="s">
        <v>660</v>
      </c>
      <c r="Q176">
        <v>1</v>
      </c>
      <c r="X176">
        <v>0.04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3</v>
      </c>
      <c r="AG176">
        <v>0.04</v>
      </c>
      <c r="AH176">
        <v>2</v>
      </c>
      <c r="AI176">
        <v>39101920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ROW(Source!A126)</f>
        <v>126</v>
      </c>
      <c r="B177">
        <v>39101929</v>
      </c>
      <c r="C177">
        <v>39101918</v>
      </c>
      <c r="D177">
        <v>36882452</v>
      </c>
      <c r="E177">
        <v>1</v>
      </c>
      <c r="F177">
        <v>1</v>
      </c>
      <c r="G177">
        <v>1</v>
      </c>
      <c r="H177">
        <v>2</v>
      </c>
      <c r="I177" t="s">
        <v>663</v>
      </c>
      <c r="J177" t="s">
        <v>664</v>
      </c>
      <c r="K177" t="s">
        <v>665</v>
      </c>
      <c r="L177">
        <v>1368</v>
      </c>
      <c r="N177">
        <v>1011</v>
      </c>
      <c r="O177" t="s">
        <v>666</v>
      </c>
      <c r="P177" t="s">
        <v>666</v>
      </c>
      <c r="Q177">
        <v>1</v>
      </c>
      <c r="X177">
        <v>0.01</v>
      </c>
      <c r="Y177">
        <v>0</v>
      </c>
      <c r="Z177">
        <v>31.26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0.01</v>
      </c>
      <c r="AH177">
        <v>2</v>
      </c>
      <c r="AI177">
        <v>39101921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ROW(Source!A126)</f>
        <v>126</v>
      </c>
      <c r="B178">
        <v>39101930</v>
      </c>
      <c r="C178">
        <v>39101918</v>
      </c>
      <c r="D178">
        <v>36883554</v>
      </c>
      <c r="E178">
        <v>1</v>
      </c>
      <c r="F178">
        <v>1</v>
      </c>
      <c r="G178">
        <v>1</v>
      </c>
      <c r="H178">
        <v>2</v>
      </c>
      <c r="I178" t="s">
        <v>679</v>
      </c>
      <c r="J178" t="s">
        <v>680</v>
      </c>
      <c r="K178" t="s">
        <v>681</v>
      </c>
      <c r="L178">
        <v>1368</v>
      </c>
      <c r="N178">
        <v>1011</v>
      </c>
      <c r="O178" t="s">
        <v>666</v>
      </c>
      <c r="P178" t="s">
        <v>666</v>
      </c>
      <c r="Q178">
        <v>1</v>
      </c>
      <c r="X178">
        <v>0.03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0.03</v>
      </c>
      <c r="AH178">
        <v>2</v>
      </c>
      <c r="AI178">
        <v>39101922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ROW(Source!A126)</f>
        <v>126</v>
      </c>
      <c r="B179">
        <v>39101931</v>
      </c>
      <c r="C179">
        <v>39101918</v>
      </c>
      <c r="D179">
        <v>36805524</v>
      </c>
      <c r="E179">
        <v>1</v>
      </c>
      <c r="F179">
        <v>1</v>
      </c>
      <c r="G179">
        <v>1</v>
      </c>
      <c r="H179">
        <v>3</v>
      </c>
      <c r="I179" t="s">
        <v>688</v>
      </c>
      <c r="J179" t="s">
        <v>689</v>
      </c>
      <c r="K179" t="s">
        <v>690</v>
      </c>
      <c r="L179">
        <v>1346</v>
      </c>
      <c r="N179">
        <v>1009</v>
      </c>
      <c r="O179" t="s">
        <v>138</v>
      </c>
      <c r="P179" t="s">
        <v>138</v>
      </c>
      <c r="Q179">
        <v>1</v>
      </c>
      <c r="X179">
        <v>0.3</v>
      </c>
      <c r="Y179">
        <v>1.82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0.3</v>
      </c>
      <c r="AH179">
        <v>2</v>
      </c>
      <c r="AI179">
        <v>39101923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ROW(Source!A126)</f>
        <v>126</v>
      </c>
      <c r="B180">
        <v>39101932</v>
      </c>
      <c r="C180">
        <v>39101918</v>
      </c>
      <c r="D180">
        <v>36797575</v>
      </c>
      <c r="E180">
        <v>17</v>
      </c>
      <c r="F180">
        <v>1</v>
      </c>
      <c r="G180">
        <v>1</v>
      </c>
      <c r="H180">
        <v>3</v>
      </c>
      <c r="I180" t="s">
        <v>369</v>
      </c>
      <c r="J180" t="s">
        <v>3</v>
      </c>
      <c r="K180" t="s">
        <v>370</v>
      </c>
      <c r="L180">
        <v>1348</v>
      </c>
      <c r="N180">
        <v>1009</v>
      </c>
      <c r="O180" t="s">
        <v>110</v>
      </c>
      <c r="P180" t="s">
        <v>110</v>
      </c>
      <c r="Q180">
        <v>1000</v>
      </c>
      <c r="X180">
        <v>2.46E-2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3</v>
      </c>
      <c r="AG180">
        <v>2.46E-2</v>
      </c>
      <c r="AH180">
        <v>2</v>
      </c>
      <c r="AI180">
        <v>39101924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ROW(Source!A126)</f>
        <v>126</v>
      </c>
      <c r="B181">
        <v>39101933</v>
      </c>
      <c r="C181">
        <v>39101918</v>
      </c>
      <c r="D181">
        <v>36838954</v>
      </c>
      <c r="E181">
        <v>1</v>
      </c>
      <c r="F181">
        <v>1</v>
      </c>
      <c r="G181">
        <v>1</v>
      </c>
      <c r="H181">
        <v>3</v>
      </c>
      <c r="I181" t="s">
        <v>826</v>
      </c>
      <c r="J181" t="s">
        <v>827</v>
      </c>
      <c r="K181" t="s">
        <v>828</v>
      </c>
      <c r="L181">
        <v>1346</v>
      </c>
      <c r="N181">
        <v>1009</v>
      </c>
      <c r="O181" t="s">
        <v>138</v>
      </c>
      <c r="P181" t="s">
        <v>138</v>
      </c>
      <c r="Q181">
        <v>1</v>
      </c>
      <c r="X181">
        <v>2.7</v>
      </c>
      <c r="Y181">
        <v>32.6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2.7</v>
      </c>
      <c r="AH181">
        <v>2</v>
      </c>
      <c r="AI181">
        <v>39101926</v>
      </c>
      <c r="AJ181">
        <v>182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ROW(Source!A129)</f>
        <v>129</v>
      </c>
      <c r="B182">
        <v>39101938</v>
      </c>
      <c r="C182">
        <v>39101936</v>
      </c>
      <c r="D182">
        <v>37065248</v>
      </c>
      <c r="E182">
        <v>1</v>
      </c>
      <c r="F182">
        <v>1</v>
      </c>
      <c r="G182">
        <v>1</v>
      </c>
      <c r="H182">
        <v>1</v>
      </c>
      <c r="I182" t="s">
        <v>669</v>
      </c>
      <c r="J182" t="s">
        <v>3</v>
      </c>
      <c r="K182" t="s">
        <v>670</v>
      </c>
      <c r="L182">
        <v>1191</v>
      </c>
      <c r="N182">
        <v>1013</v>
      </c>
      <c r="O182" t="s">
        <v>660</v>
      </c>
      <c r="P182" t="s">
        <v>660</v>
      </c>
      <c r="Q182">
        <v>1</v>
      </c>
      <c r="X182">
        <v>15.73</v>
      </c>
      <c r="Y182">
        <v>0</v>
      </c>
      <c r="Z182">
        <v>0</v>
      </c>
      <c r="AA182">
        <v>0</v>
      </c>
      <c r="AB182">
        <v>8.5299999999999994</v>
      </c>
      <c r="AC182">
        <v>0</v>
      </c>
      <c r="AD182">
        <v>1</v>
      </c>
      <c r="AE182">
        <v>1</v>
      </c>
      <c r="AF182" t="s">
        <v>3</v>
      </c>
      <c r="AG182">
        <v>15.73</v>
      </c>
      <c r="AH182">
        <v>2</v>
      </c>
      <c r="AI182">
        <v>39101937</v>
      </c>
      <c r="AJ182">
        <v>183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ROW(Source!A165)</f>
        <v>165</v>
      </c>
      <c r="B183">
        <v>39488883</v>
      </c>
      <c r="C183">
        <v>39488882</v>
      </c>
      <c r="D183">
        <v>37070202</v>
      </c>
      <c r="E183">
        <v>1</v>
      </c>
      <c r="F183">
        <v>1</v>
      </c>
      <c r="G183">
        <v>1</v>
      </c>
      <c r="H183">
        <v>1</v>
      </c>
      <c r="I183" t="s">
        <v>677</v>
      </c>
      <c r="J183" t="s">
        <v>3</v>
      </c>
      <c r="K183" t="s">
        <v>678</v>
      </c>
      <c r="L183">
        <v>1191</v>
      </c>
      <c r="N183">
        <v>1013</v>
      </c>
      <c r="O183" t="s">
        <v>660</v>
      </c>
      <c r="P183" t="s">
        <v>660</v>
      </c>
      <c r="Q183">
        <v>1</v>
      </c>
      <c r="X183">
        <v>16.29</v>
      </c>
      <c r="Y183">
        <v>0</v>
      </c>
      <c r="Z183">
        <v>0</v>
      </c>
      <c r="AA183">
        <v>0</v>
      </c>
      <c r="AB183">
        <v>9.51</v>
      </c>
      <c r="AC183">
        <v>0</v>
      </c>
      <c r="AD183">
        <v>1</v>
      </c>
      <c r="AE183">
        <v>1</v>
      </c>
      <c r="AF183" t="s">
        <v>390</v>
      </c>
      <c r="AG183">
        <v>4.8869999999999996</v>
      </c>
      <c r="AH183">
        <v>2</v>
      </c>
      <c r="AI183">
        <v>39488883</v>
      </c>
      <c r="AJ183">
        <v>184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ROW(Source!A165)</f>
        <v>165</v>
      </c>
      <c r="B184">
        <v>39488884</v>
      </c>
      <c r="C184">
        <v>39488882</v>
      </c>
      <c r="D184">
        <v>37064876</v>
      </c>
      <c r="E184">
        <v>1</v>
      </c>
      <c r="F184">
        <v>1</v>
      </c>
      <c r="G184">
        <v>1</v>
      </c>
      <c r="H184">
        <v>1</v>
      </c>
      <c r="I184" t="s">
        <v>661</v>
      </c>
      <c r="J184" t="s">
        <v>3</v>
      </c>
      <c r="K184" t="s">
        <v>662</v>
      </c>
      <c r="L184">
        <v>1191</v>
      </c>
      <c r="N184">
        <v>1013</v>
      </c>
      <c r="O184" t="s">
        <v>660</v>
      </c>
      <c r="P184" t="s">
        <v>660</v>
      </c>
      <c r="Q184">
        <v>1</v>
      </c>
      <c r="X184">
        <v>0.01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2</v>
      </c>
      <c r="AF184" t="s">
        <v>390</v>
      </c>
      <c r="AG184">
        <v>3.0000000000000001E-3</v>
      </c>
      <c r="AH184">
        <v>2</v>
      </c>
      <c r="AI184">
        <v>39488884</v>
      </c>
      <c r="AJ184">
        <v>185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ROW(Source!A165)</f>
        <v>165</v>
      </c>
      <c r="B185">
        <v>39488885</v>
      </c>
      <c r="C185">
        <v>39488882</v>
      </c>
      <c r="D185">
        <v>36882452</v>
      </c>
      <c r="E185">
        <v>1</v>
      </c>
      <c r="F185">
        <v>1</v>
      </c>
      <c r="G185">
        <v>1</v>
      </c>
      <c r="H185">
        <v>2</v>
      </c>
      <c r="I185" t="s">
        <v>663</v>
      </c>
      <c r="J185" t="s">
        <v>664</v>
      </c>
      <c r="K185" t="s">
        <v>665</v>
      </c>
      <c r="L185">
        <v>1368</v>
      </c>
      <c r="N185">
        <v>1011</v>
      </c>
      <c r="O185" t="s">
        <v>666</v>
      </c>
      <c r="P185" t="s">
        <v>666</v>
      </c>
      <c r="Q185">
        <v>1</v>
      </c>
      <c r="X185">
        <v>0.01</v>
      </c>
      <c r="Y185">
        <v>0</v>
      </c>
      <c r="Z185">
        <v>31.26</v>
      </c>
      <c r="AA185">
        <v>13.5</v>
      </c>
      <c r="AB185">
        <v>0</v>
      </c>
      <c r="AC185">
        <v>0</v>
      </c>
      <c r="AD185">
        <v>1</v>
      </c>
      <c r="AE185">
        <v>0</v>
      </c>
      <c r="AF185" t="s">
        <v>390</v>
      </c>
      <c r="AG185">
        <v>3.0000000000000001E-3</v>
      </c>
      <c r="AH185">
        <v>2</v>
      </c>
      <c r="AI185">
        <v>39488885</v>
      </c>
      <c r="AJ185">
        <v>186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ROW(Source!A165)</f>
        <v>165</v>
      </c>
      <c r="B186">
        <v>39488886</v>
      </c>
      <c r="C186">
        <v>39488882</v>
      </c>
      <c r="D186">
        <v>36804582</v>
      </c>
      <c r="E186">
        <v>1</v>
      </c>
      <c r="F186">
        <v>1</v>
      </c>
      <c r="G186">
        <v>1</v>
      </c>
      <c r="H186">
        <v>3</v>
      </c>
      <c r="I186" t="s">
        <v>829</v>
      </c>
      <c r="J186" t="s">
        <v>830</v>
      </c>
      <c r="K186" t="s">
        <v>831</v>
      </c>
      <c r="L186">
        <v>1356</v>
      </c>
      <c r="N186">
        <v>1010</v>
      </c>
      <c r="O186" t="s">
        <v>741</v>
      </c>
      <c r="P186" t="s">
        <v>741</v>
      </c>
      <c r="Q186">
        <v>1000</v>
      </c>
      <c r="X186">
        <v>0.2</v>
      </c>
      <c r="Y186">
        <v>180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57</v>
      </c>
      <c r="AG186">
        <v>0</v>
      </c>
      <c r="AH186">
        <v>2</v>
      </c>
      <c r="AI186">
        <v>39488886</v>
      </c>
      <c r="AJ186">
        <v>187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ROW(Source!A165)</f>
        <v>165</v>
      </c>
      <c r="B187">
        <v>39488887</v>
      </c>
      <c r="C187">
        <v>39488882</v>
      </c>
      <c r="D187">
        <v>36804944</v>
      </c>
      <c r="E187">
        <v>1</v>
      </c>
      <c r="F187">
        <v>1</v>
      </c>
      <c r="G187">
        <v>1</v>
      </c>
      <c r="H187">
        <v>3</v>
      </c>
      <c r="I187" t="s">
        <v>832</v>
      </c>
      <c r="J187" t="s">
        <v>833</v>
      </c>
      <c r="K187" t="s">
        <v>834</v>
      </c>
      <c r="L187">
        <v>1348</v>
      </c>
      <c r="N187">
        <v>1009</v>
      </c>
      <c r="O187" t="s">
        <v>110</v>
      </c>
      <c r="P187" t="s">
        <v>110</v>
      </c>
      <c r="Q187">
        <v>1000</v>
      </c>
      <c r="X187">
        <v>1E-3</v>
      </c>
      <c r="Y187">
        <v>12430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57</v>
      </c>
      <c r="AG187">
        <v>0</v>
      </c>
      <c r="AH187">
        <v>2</v>
      </c>
      <c r="AI187">
        <v>39488887</v>
      </c>
      <c r="AJ187">
        <v>188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ROW(Source!A165)</f>
        <v>165</v>
      </c>
      <c r="B188">
        <v>39488888</v>
      </c>
      <c r="C188">
        <v>39488882</v>
      </c>
      <c r="D188">
        <v>36799065</v>
      </c>
      <c r="E188">
        <v>17</v>
      </c>
      <c r="F188">
        <v>1</v>
      </c>
      <c r="G188">
        <v>1</v>
      </c>
      <c r="H188">
        <v>3</v>
      </c>
      <c r="I188" t="s">
        <v>835</v>
      </c>
      <c r="J188" t="s">
        <v>3</v>
      </c>
      <c r="K188" t="s">
        <v>836</v>
      </c>
      <c r="L188">
        <v>1374</v>
      </c>
      <c r="N188">
        <v>1013</v>
      </c>
      <c r="O188" t="s">
        <v>837</v>
      </c>
      <c r="P188" t="s">
        <v>837</v>
      </c>
      <c r="Q188">
        <v>1</v>
      </c>
      <c r="X188">
        <v>3.1</v>
      </c>
      <c r="Y188">
        <v>1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57</v>
      </c>
      <c r="AG188">
        <v>0</v>
      </c>
      <c r="AH188">
        <v>2</v>
      </c>
      <c r="AI188">
        <v>39488888</v>
      </c>
      <c r="AJ188">
        <v>189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ROW(Source!A166)</f>
        <v>166</v>
      </c>
      <c r="B189">
        <v>39488872</v>
      </c>
      <c r="C189">
        <v>39488871</v>
      </c>
      <c r="D189">
        <v>37080781</v>
      </c>
      <c r="E189">
        <v>1</v>
      </c>
      <c r="F189">
        <v>1</v>
      </c>
      <c r="G189">
        <v>1</v>
      </c>
      <c r="H189">
        <v>1</v>
      </c>
      <c r="I189" t="s">
        <v>702</v>
      </c>
      <c r="J189" t="s">
        <v>3</v>
      </c>
      <c r="K189" t="s">
        <v>703</v>
      </c>
      <c r="L189">
        <v>1191</v>
      </c>
      <c r="N189">
        <v>1013</v>
      </c>
      <c r="O189" t="s">
        <v>660</v>
      </c>
      <c r="P189" t="s">
        <v>660</v>
      </c>
      <c r="Q189">
        <v>1</v>
      </c>
      <c r="X189">
        <v>148</v>
      </c>
      <c r="Y189">
        <v>0</v>
      </c>
      <c r="Z189">
        <v>0</v>
      </c>
      <c r="AA189">
        <v>0</v>
      </c>
      <c r="AB189">
        <v>9.92</v>
      </c>
      <c r="AC189">
        <v>0</v>
      </c>
      <c r="AD189">
        <v>1</v>
      </c>
      <c r="AE189">
        <v>1</v>
      </c>
      <c r="AF189" t="s">
        <v>399</v>
      </c>
      <c r="AG189">
        <v>103.6</v>
      </c>
      <c r="AH189">
        <v>2</v>
      </c>
      <c r="AI189">
        <v>39488872</v>
      </c>
      <c r="AJ189">
        <v>190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ROW(Source!A166)</f>
        <v>166</v>
      </c>
      <c r="B190">
        <v>39488873</v>
      </c>
      <c r="C190">
        <v>39488871</v>
      </c>
      <c r="D190">
        <v>37064876</v>
      </c>
      <c r="E190">
        <v>1</v>
      </c>
      <c r="F190">
        <v>1</v>
      </c>
      <c r="G190">
        <v>1</v>
      </c>
      <c r="H190">
        <v>1</v>
      </c>
      <c r="I190" t="s">
        <v>661</v>
      </c>
      <c r="J190" t="s">
        <v>3</v>
      </c>
      <c r="K190" t="s">
        <v>662</v>
      </c>
      <c r="L190">
        <v>1191</v>
      </c>
      <c r="N190">
        <v>1013</v>
      </c>
      <c r="O190" t="s">
        <v>660</v>
      </c>
      <c r="P190" t="s">
        <v>660</v>
      </c>
      <c r="Q190">
        <v>1</v>
      </c>
      <c r="X190">
        <v>0.6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2</v>
      </c>
      <c r="AF190" t="s">
        <v>399</v>
      </c>
      <c r="AG190">
        <v>0.42</v>
      </c>
      <c r="AH190">
        <v>2</v>
      </c>
      <c r="AI190">
        <v>39488873</v>
      </c>
      <c r="AJ190">
        <v>191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ROW(Source!A166)</f>
        <v>166</v>
      </c>
      <c r="B191">
        <v>39488874</v>
      </c>
      <c r="C191">
        <v>39488871</v>
      </c>
      <c r="D191">
        <v>36882159</v>
      </c>
      <c r="E191">
        <v>1</v>
      </c>
      <c r="F191">
        <v>1</v>
      </c>
      <c r="G191">
        <v>1</v>
      </c>
      <c r="H191">
        <v>2</v>
      </c>
      <c r="I191" t="s">
        <v>802</v>
      </c>
      <c r="J191" t="s">
        <v>803</v>
      </c>
      <c r="K191" t="s">
        <v>804</v>
      </c>
      <c r="L191">
        <v>1368</v>
      </c>
      <c r="N191">
        <v>1011</v>
      </c>
      <c r="O191" t="s">
        <v>666</v>
      </c>
      <c r="P191" t="s">
        <v>666</v>
      </c>
      <c r="Q191">
        <v>1</v>
      </c>
      <c r="X191">
        <v>0.3</v>
      </c>
      <c r="Y191">
        <v>0</v>
      </c>
      <c r="Z191">
        <v>111.99</v>
      </c>
      <c r="AA191">
        <v>13.5</v>
      </c>
      <c r="AB191">
        <v>0</v>
      </c>
      <c r="AC191">
        <v>0</v>
      </c>
      <c r="AD191">
        <v>1</v>
      </c>
      <c r="AE191">
        <v>0</v>
      </c>
      <c r="AF191" t="s">
        <v>399</v>
      </c>
      <c r="AG191">
        <v>0.21</v>
      </c>
      <c r="AH191">
        <v>2</v>
      </c>
      <c r="AI191">
        <v>39488874</v>
      </c>
      <c r="AJ191">
        <v>192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ROW(Source!A166)</f>
        <v>166</v>
      </c>
      <c r="B192">
        <v>39488875</v>
      </c>
      <c r="C192">
        <v>39488871</v>
      </c>
      <c r="D192">
        <v>36883554</v>
      </c>
      <c r="E192">
        <v>1</v>
      </c>
      <c r="F192">
        <v>1</v>
      </c>
      <c r="G192">
        <v>1</v>
      </c>
      <c r="H192">
        <v>2</v>
      </c>
      <c r="I192" t="s">
        <v>679</v>
      </c>
      <c r="J192" t="s">
        <v>680</v>
      </c>
      <c r="K192" t="s">
        <v>681</v>
      </c>
      <c r="L192">
        <v>1368</v>
      </c>
      <c r="N192">
        <v>1011</v>
      </c>
      <c r="O192" t="s">
        <v>666</v>
      </c>
      <c r="P192" t="s">
        <v>666</v>
      </c>
      <c r="Q192">
        <v>1</v>
      </c>
      <c r="X192">
        <v>0.3</v>
      </c>
      <c r="Y192">
        <v>0</v>
      </c>
      <c r="Z192">
        <v>65.709999999999994</v>
      </c>
      <c r="AA192">
        <v>11.6</v>
      </c>
      <c r="AB192">
        <v>0</v>
      </c>
      <c r="AC192">
        <v>0</v>
      </c>
      <c r="AD192">
        <v>1</v>
      </c>
      <c r="AE192">
        <v>0</v>
      </c>
      <c r="AF192" t="s">
        <v>399</v>
      </c>
      <c r="AG192">
        <v>0.21</v>
      </c>
      <c r="AH192">
        <v>2</v>
      </c>
      <c r="AI192">
        <v>39488875</v>
      </c>
      <c r="AJ192">
        <v>193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ROW(Source!A166)</f>
        <v>166</v>
      </c>
      <c r="B193">
        <v>39488876</v>
      </c>
      <c r="C193">
        <v>39488871</v>
      </c>
      <c r="D193">
        <v>36806488</v>
      </c>
      <c r="E193">
        <v>1</v>
      </c>
      <c r="F193">
        <v>1</v>
      </c>
      <c r="G193">
        <v>1</v>
      </c>
      <c r="H193">
        <v>3</v>
      </c>
      <c r="I193" t="s">
        <v>674</v>
      </c>
      <c r="J193" t="s">
        <v>675</v>
      </c>
      <c r="K193" t="s">
        <v>676</v>
      </c>
      <c r="L193">
        <v>1348</v>
      </c>
      <c r="N193">
        <v>1009</v>
      </c>
      <c r="O193" t="s">
        <v>110</v>
      </c>
      <c r="P193" t="s">
        <v>110</v>
      </c>
      <c r="Q193">
        <v>1000</v>
      </c>
      <c r="X193">
        <v>3.15E-3</v>
      </c>
      <c r="Y193">
        <v>729.98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57</v>
      </c>
      <c r="AG193">
        <v>0</v>
      </c>
      <c r="AH193">
        <v>2</v>
      </c>
      <c r="AI193">
        <v>39488876</v>
      </c>
      <c r="AJ193">
        <v>194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ROW(Source!A166)</f>
        <v>166</v>
      </c>
      <c r="B194">
        <v>39488877</v>
      </c>
      <c r="C194">
        <v>39488871</v>
      </c>
      <c r="D194">
        <v>36867794</v>
      </c>
      <c r="E194">
        <v>1</v>
      </c>
      <c r="F194">
        <v>1</v>
      </c>
      <c r="G194">
        <v>1</v>
      </c>
      <c r="H194">
        <v>3</v>
      </c>
      <c r="I194" t="s">
        <v>838</v>
      </c>
      <c r="J194" t="s">
        <v>839</v>
      </c>
      <c r="K194" t="s">
        <v>840</v>
      </c>
      <c r="L194">
        <v>1346</v>
      </c>
      <c r="N194">
        <v>1009</v>
      </c>
      <c r="O194" t="s">
        <v>138</v>
      </c>
      <c r="P194" t="s">
        <v>138</v>
      </c>
      <c r="Q194">
        <v>1</v>
      </c>
      <c r="X194">
        <v>3.09</v>
      </c>
      <c r="Y194">
        <v>35.700000000000003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57</v>
      </c>
      <c r="AG194">
        <v>0</v>
      </c>
      <c r="AH194">
        <v>2</v>
      </c>
      <c r="AI194">
        <v>39488877</v>
      </c>
      <c r="AJ194">
        <v>195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ROW(Source!A166)</f>
        <v>166</v>
      </c>
      <c r="B195">
        <v>39488878</v>
      </c>
      <c r="C195">
        <v>39488871</v>
      </c>
      <c r="D195">
        <v>36799065</v>
      </c>
      <c r="E195">
        <v>17</v>
      </c>
      <c r="F195">
        <v>1</v>
      </c>
      <c r="G195">
        <v>1</v>
      </c>
      <c r="H195">
        <v>3</v>
      </c>
      <c r="I195" t="s">
        <v>835</v>
      </c>
      <c r="J195" t="s">
        <v>3</v>
      </c>
      <c r="K195" t="s">
        <v>836</v>
      </c>
      <c r="L195">
        <v>1374</v>
      </c>
      <c r="N195">
        <v>1013</v>
      </c>
      <c r="O195" t="s">
        <v>837</v>
      </c>
      <c r="P195" t="s">
        <v>837</v>
      </c>
      <c r="Q195">
        <v>1</v>
      </c>
      <c r="X195">
        <v>29.36</v>
      </c>
      <c r="Y195">
        <v>1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57</v>
      </c>
      <c r="AG195">
        <v>0</v>
      </c>
      <c r="AH195">
        <v>2</v>
      </c>
      <c r="AI195">
        <v>39488878</v>
      </c>
      <c r="AJ195">
        <v>196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ROW(Source!A167)</f>
        <v>167</v>
      </c>
      <c r="B196">
        <v>39488891</v>
      </c>
      <c r="C196">
        <v>39488890</v>
      </c>
      <c r="D196">
        <v>37070244</v>
      </c>
      <c r="E196">
        <v>1</v>
      </c>
      <c r="F196">
        <v>1</v>
      </c>
      <c r="G196">
        <v>1</v>
      </c>
      <c r="H196">
        <v>1</v>
      </c>
      <c r="I196" t="s">
        <v>841</v>
      </c>
      <c r="J196" t="s">
        <v>3</v>
      </c>
      <c r="K196" t="s">
        <v>842</v>
      </c>
      <c r="L196">
        <v>1191</v>
      </c>
      <c r="N196">
        <v>1013</v>
      </c>
      <c r="O196" t="s">
        <v>660</v>
      </c>
      <c r="P196" t="s">
        <v>660</v>
      </c>
      <c r="Q196">
        <v>1</v>
      </c>
      <c r="X196">
        <v>2.09</v>
      </c>
      <c r="Y196">
        <v>0</v>
      </c>
      <c r="Z196">
        <v>0</v>
      </c>
      <c r="AA196">
        <v>0</v>
      </c>
      <c r="AB196">
        <v>10.35</v>
      </c>
      <c r="AC196">
        <v>0</v>
      </c>
      <c r="AD196">
        <v>1</v>
      </c>
      <c r="AE196">
        <v>1</v>
      </c>
      <c r="AF196" t="s">
        <v>406</v>
      </c>
      <c r="AG196">
        <v>1.2539999999999998</v>
      </c>
      <c r="AH196">
        <v>2</v>
      </c>
      <c r="AI196">
        <v>39488891</v>
      </c>
      <c r="AJ196">
        <v>197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ROW(Source!A167)</f>
        <v>167</v>
      </c>
      <c r="B197">
        <v>39488892</v>
      </c>
      <c r="C197">
        <v>39488890</v>
      </c>
      <c r="D197">
        <v>36883858</v>
      </c>
      <c r="E197">
        <v>1</v>
      </c>
      <c r="F197">
        <v>1</v>
      </c>
      <c r="G197">
        <v>1</v>
      </c>
      <c r="H197">
        <v>2</v>
      </c>
      <c r="I197" t="s">
        <v>704</v>
      </c>
      <c r="J197" t="s">
        <v>705</v>
      </c>
      <c r="K197" t="s">
        <v>706</v>
      </c>
      <c r="L197">
        <v>1368</v>
      </c>
      <c r="N197">
        <v>1011</v>
      </c>
      <c r="O197" t="s">
        <v>666</v>
      </c>
      <c r="P197" t="s">
        <v>666</v>
      </c>
      <c r="Q197">
        <v>1</v>
      </c>
      <c r="X197">
        <v>0.06</v>
      </c>
      <c r="Y197">
        <v>0</v>
      </c>
      <c r="Z197">
        <v>8.1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406</v>
      </c>
      <c r="AG197">
        <v>3.5999999999999997E-2</v>
      </c>
      <c r="AH197">
        <v>2</v>
      </c>
      <c r="AI197">
        <v>39488892</v>
      </c>
      <c r="AJ197">
        <v>198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ROW(Source!A167)</f>
        <v>167</v>
      </c>
      <c r="B198">
        <v>39488893</v>
      </c>
      <c r="C198">
        <v>39488890</v>
      </c>
      <c r="D198">
        <v>36884526</v>
      </c>
      <c r="E198">
        <v>1</v>
      </c>
      <c r="F198">
        <v>1</v>
      </c>
      <c r="G198">
        <v>1</v>
      </c>
      <c r="H198">
        <v>2</v>
      </c>
      <c r="I198" t="s">
        <v>843</v>
      </c>
      <c r="J198" t="s">
        <v>844</v>
      </c>
      <c r="K198" t="s">
        <v>845</v>
      </c>
      <c r="L198">
        <v>1368</v>
      </c>
      <c r="N198">
        <v>1011</v>
      </c>
      <c r="O198" t="s">
        <v>666</v>
      </c>
      <c r="P198" t="s">
        <v>666</v>
      </c>
      <c r="Q198">
        <v>1</v>
      </c>
      <c r="X198">
        <v>0.09</v>
      </c>
      <c r="Y198">
        <v>0</v>
      </c>
      <c r="Z198">
        <v>1.1100000000000001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406</v>
      </c>
      <c r="AG198">
        <v>5.3999999999999999E-2</v>
      </c>
      <c r="AH198">
        <v>2</v>
      </c>
      <c r="AI198">
        <v>39488893</v>
      </c>
      <c r="AJ198">
        <v>199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ROW(Source!A167)</f>
        <v>167</v>
      </c>
      <c r="B199">
        <v>39488894</v>
      </c>
      <c r="C199">
        <v>39488890</v>
      </c>
      <c r="D199">
        <v>36800043</v>
      </c>
      <c r="E199">
        <v>1</v>
      </c>
      <c r="F199">
        <v>1</v>
      </c>
      <c r="G199">
        <v>1</v>
      </c>
      <c r="H199">
        <v>3</v>
      </c>
      <c r="I199" t="s">
        <v>846</v>
      </c>
      <c r="J199" t="s">
        <v>847</v>
      </c>
      <c r="K199" t="s">
        <v>848</v>
      </c>
      <c r="L199">
        <v>1346</v>
      </c>
      <c r="N199">
        <v>1009</v>
      </c>
      <c r="O199" t="s">
        <v>138</v>
      </c>
      <c r="P199" t="s">
        <v>138</v>
      </c>
      <c r="Q199">
        <v>1</v>
      </c>
      <c r="X199">
        <v>6.0000000000000001E-3</v>
      </c>
      <c r="Y199">
        <v>44.97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57</v>
      </c>
      <c r="AG199">
        <v>0</v>
      </c>
      <c r="AH199">
        <v>2</v>
      </c>
      <c r="AI199">
        <v>39488894</v>
      </c>
      <c r="AJ199">
        <v>200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ROW(Source!A167)</f>
        <v>167</v>
      </c>
      <c r="B200">
        <v>39488895</v>
      </c>
      <c r="C200">
        <v>39488890</v>
      </c>
      <c r="D200">
        <v>36801775</v>
      </c>
      <c r="E200">
        <v>1</v>
      </c>
      <c r="F200">
        <v>1</v>
      </c>
      <c r="G200">
        <v>1</v>
      </c>
      <c r="H200">
        <v>3</v>
      </c>
      <c r="I200" t="s">
        <v>849</v>
      </c>
      <c r="J200" t="s">
        <v>850</v>
      </c>
      <c r="K200" t="s">
        <v>851</v>
      </c>
      <c r="L200">
        <v>1346</v>
      </c>
      <c r="N200">
        <v>1009</v>
      </c>
      <c r="O200" t="s">
        <v>138</v>
      </c>
      <c r="P200" t="s">
        <v>138</v>
      </c>
      <c r="Q200">
        <v>1</v>
      </c>
      <c r="X200">
        <v>2E-3</v>
      </c>
      <c r="Y200">
        <v>11.5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57</v>
      </c>
      <c r="AG200">
        <v>0</v>
      </c>
      <c r="AH200">
        <v>2</v>
      </c>
      <c r="AI200">
        <v>39488895</v>
      </c>
      <c r="AJ200">
        <v>201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ROW(Source!A167)</f>
        <v>167</v>
      </c>
      <c r="B201">
        <v>39488896</v>
      </c>
      <c r="C201">
        <v>39488890</v>
      </c>
      <c r="D201">
        <v>36802094</v>
      </c>
      <c r="E201">
        <v>1</v>
      </c>
      <c r="F201">
        <v>1</v>
      </c>
      <c r="G201">
        <v>1</v>
      </c>
      <c r="H201">
        <v>3</v>
      </c>
      <c r="I201" t="s">
        <v>852</v>
      </c>
      <c r="J201" t="s">
        <v>853</v>
      </c>
      <c r="K201" t="s">
        <v>854</v>
      </c>
      <c r="L201">
        <v>1346</v>
      </c>
      <c r="N201">
        <v>1009</v>
      </c>
      <c r="O201" t="s">
        <v>138</v>
      </c>
      <c r="P201" t="s">
        <v>138</v>
      </c>
      <c r="Q201">
        <v>1</v>
      </c>
      <c r="X201">
        <v>2.4E-2</v>
      </c>
      <c r="Y201">
        <v>30.4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57</v>
      </c>
      <c r="AG201">
        <v>0</v>
      </c>
      <c r="AH201">
        <v>2</v>
      </c>
      <c r="AI201">
        <v>39488896</v>
      </c>
      <c r="AJ201">
        <v>202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ROW(Source!A167)</f>
        <v>167</v>
      </c>
      <c r="B202">
        <v>39488897</v>
      </c>
      <c r="C202">
        <v>39488890</v>
      </c>
      <c r="D202">
        <v>36803258</v>
      </c>
      <c r="E202">
        <v>1</v>
      </c>
      <c r="F202">
        <v>1</v>
      </c>
      <c r="G202">
        <v>1</v>
      </c>
      <c r="H202">
        <v>3</v>
      </c>
      <c r="I202" t="s">
        <v>855</v>
      </c>
      <c r="J202" t="s">
        <v>856</v>
      </c>
      <c r="K202" t="s">
        <v>857</v>
      </c>
      <c r="L202">
        <v>1346</v>
      </c>
      <c r="N202">
        <v>1009</v>
      </c>
      <c r="O202" t="s">
        <v>138</v>
      </c>
      <c r="P202" t="s">
        <v>138</v>
      </c>
      <c r="Q202">
        <v>1</v>
      </c>
      <c r="X202">
        <v>7.0000000000000007E-2</v>
      </c>
      <c r="Y202">
        <v>10.57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57</v>
      </c>
      <c r="AG202">
        <v>0</v>
      </c>
      <c r="AH202">
        <v>2</v>
      </c>
      <c r="AI202">
        <v>39488897</v>
      </c>
      <c r="AJ202">
        <v>203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ROW(Source!A167)</f>
        <v>167</v>
      </c>
      <c r="B203">
        <v>39488898</v>
      </c>
      <c r="C203">
        <v>39488890</v>
      </c>
      <c r="D203">
        <v>36804448</v>
      </c>
      <c r="E203">
        <v>1</v>
      </c>
      <c r="F203">
        <v>1</v>
      </c>
      <c r="G203">
        <v>1</v>
      </c>
      <c r="H203">
        <v>3</v>
      </c>
      <c r="I203" t="s">
        <v>858</v>
      </c>
      <c r="J203" t="s">
        <v>859</v>
      </c>
      <c r="K203" t="s">
        <v>860</v>
      </c>
      <c r="L203">
        <v>1346</v>
      </c>
      <c r="N203">
        <v>1009</v>
      </c>
      <c r="O203" t="s">
        <v>138</v>
      </c>
      <c r="P203" t="s">
        <v>138</v>
      </c>
      <c r="Q203">
        <v>1</v>
      </c>
      <c r="X203">
        <v>0.14000000000000001</v>
      </c>
      <c r="Y203">
        <v>9.0399999999999991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57</v>
      </c>
      <c r="AG203">
        <v>0</v>
      </c>
      <c r="AH203">
        <v>2</v>
      </c>
      <c r="AI203">
        <v>39488898</v>
      </c>
      <c r="AJ203">
        <v>204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ROW(Source!A167)</f>
        <v>167</v>
      </c>
      <c r="B204">
        <v>39488899</v>
      </c>
      <c r="C204">
        <v>39488890</v>
      </c>
      <c r="D204">
        <v>36804580</v>
      </c>
      <c r="E204">
        <v>1</v>
      </c>
      <c r="F204">
        <v>1</v>
      </c>
      <c r="G204">
        <v>1</v>
      </c>
      <c r="H204">
        <v>3</v>
      </c>
      <c r="I204" t="s">
        <v>861</v>
      </c>
      <c r="J204" t="s">
        <v>862</v>
      </c>
      <c r="K204" t="s">
        <v>863</v>
      </c>
      <c r="L204">
        <v>1355</v>
      </c>
      <c r="N204">
        <v>1010</v>
      </c>
      <c r="O204" t="s">
        <v>161</v>
      </c>
      <c r="P204" t="s">
        <v>161</v>
      </c>
      <c r="Q204">
        <v>100</v>
      </c>
      <c r="X204">
        <v>7.0000000000000001E-3</v>
      </c>
      <c r="Y204">
        <v>86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57</v>
      </c>
      <c r="AG204">
        <v>0</v>
      </c>
      <c r="AH204">
        <v>2</v>
      </c>
      <c r="AI204">
        <v>39488899</v>
      </c>
      <c r="AJ204">
        <v>205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ROW(Source!A167)</f>
        <v>167</v>
      </c>
      <c r="B205">
        <v>39488900</v>
      </c>
      <c r="C205">
        <v>39488890</v>
      </c>
      <c r="D205">
        <v>36805500</v>
      </c>
      <c r="E205">
        <v>1</v>
      </c>
      <c r="F205">
        <v>1</v>
      </c>
      <c r="G205">
        <v>1</v>
      </c>
      <c r="H205">
        <v>3</v>
      </c>
      <c r="I205" t="s">
        <v>864</v>
      </c>
      <c r="J205" t="s">
        <v>865</v>
      </c>
      <c r="K205" t="s">
        <v>866</v>
      </c>
      <c r="L205">
        <v>1346</v>
      </c>
      <c r="N205">
        <v>1009</v>
      </c>
      <c r="O205" t="s">
        <v>138</v>
      </c>
      <c r="P205" t="s">
        <v>138</v>
      </c>
      <c r="Q205">
        <v>1</v>
      </c>
      <c r="X205">
        <v>2E-3</v>
      </c>
      <c r="Y205">
        <v>133.05000000000001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57</v>
      </c>
      <c r="AG205">
        <v>0</v>
      </c>
      <c r="AH205">
        <v>2</v>
      </c>
      <c r="AI205">
        <v>39488900</v>
      </c>
      <c r="AJ205">
        <v>206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ROW(Source!A167)</f>
        <v>167</v>
      </c>
      <c r="B206">
        <v>39488901</v>
      </c>
      <c r="C206">
        <v>39488890</v>
      </c>
      <c r="D206">
        <v>36823140</v>
      </c>
      <c r="E206">
        <v>1</v>
      </c>
      <c r="F206">
        <v>1</v>
      </c>
      <c r="G206">
        <v>1</v>
      </c>
      <c r="H206">
        <v>3</v>
      </c>
      <c r="I206" t="s">
        <v>867</v>
      </c>
      <c r="J206" t="s">
        <v>868</v>
      </c>
      <c r="K206" t="s">
        <v>869</v>
      </c>
      <c r="L206">
        <v>1348</v>
      </c>
      <c r="N206">
        <v>1009</v>
      </c>
      <c r="O206" t="s">
        <v>110</v>
      </c>
      <c r="P206" t="s">
        <v>110</v>
      </c>
      <c r="Q206">
        <v>1000</v>
      </c>
      <c r="X206">
        <v>3.0000000000000001E-3</v>
      </c>
      <c r="Y206">
        <v>11500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57</v>
      </c>
      <c r="AG206">
        <v>0</v>
      </c>
      <c r="AH206">
        <v>2</v>
      </c>
      <c r="AI206">
        <v>39488901</v>
      </c>
      <c r="AJ206">
        <v>207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ROW(Source!A167)</f>
        <v>167</v>
      </c>
      <c r="B207">
        <v>39488902</v>
      </c>
      <c r="C207">
        <v>39488890</v>
      </c>
      <c r="D207">
        <v>36838317</v>
      </c>
      <c r="E207">
        <v>1</v>
      </c>
      <c r="F207">
        <v>1</v>
      </c>
      <c r="G207">
        <v>1</v>
      </c>
      <c r="H207">
        <v>3</v>
      </c>
      <c r="I207" t="s">
        <v>870</v>
      </c>
      <c r="J207" t="s">
        <v>871</v>
      </c>
      <c r="K207" t="s">
        <v>872</v>
      </c>
      <c r="L207">
        <v>1346</v>
      </c>
      <c r="N207">
        <v>1009</v>
      </c>
      <c r="O207" t="s">
        <v>138</v>
      </c>
      <c r="P207" t="s">
        <v>138</v>
      </c>
      <c r="Q207">
        <v>1</v>
      </c>
      <c r="X207">
        <v>1.7999999999999999E-2</v>
      </c>
      <c r="Y207">
        <v>28.6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57</v>
      </c>
      <c r="AG207">
        <v>0</v>
      </c>
      <c r="AH207">
        <v>2</v>
      </c>
      <c r="AI207">
        <v>39488902</v>
      </c>
      <c r="AJ207">
        <v>208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ROW(Source!A167)</f>
        <v>167</v>
      </c>
      <c r="B208">
        <v>39488903</v>
      </c>
      <c r="C208">
        <v>39488890</v>
      </c>
      <c r="D208">
        <v>36838470</v>
      </c>
      <c r="E208">
        <v>1</v>
      </c>
      <c r="F208">
        <v>1</v>
      </c>
      <c r="G208">
        <v>1</v>
      </c>
      <c r="H208">
        <v>3</v>
      </c>
      <c r="I208" t="s">
        <v>873</v>
      </c>
      <c r="J208" t="s">
        <v>874</v>
      </c>
      <c r="K208" t="s">
        <v>875</v>
      </c>
      <c r="L208">
        <v>1346</v>
      </c>
      <c r="N208">
        <v>1009</v>
      </c>
      <c r="O208" t="s">
        <v>138</v>
      </c>
      <c r="P208" t="s">
        <v>138</v>
      </c>
      <c r="Q208">
        <v>1</v>
      </c>
      <c r="X208">
        <v>8.9999999999999993E-3</v>
      </c>
      <c r="Y208">
        <v>35.630000000000003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57</v>
      </c>
      <c r="AG208">
        <v>0</v>
      </c>
      <c r="AH208">
        <v>2</v>
      </c>
      <c r="AI208">
        <v>39488903</v>
      </c>
      <c r="AJ208">
        <v>209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ROW(Source!A167)</f>
        <v>167</v>
      </c>
      <c r="B209">
        <v>39488904</v>
      </c>
      <c r="C209">
        <v>39488890</v>
      </c>
      <c r="D209">
        <v>36851945</v>
      </c>
      <c r="E209">
        <v>1</v>
      </c>
      <c r="F209">
        <v>1</v>
      </c>
      <c r="G209">
        <v>1</v>
      </c>
      <c r="H209">
        <v>3</v>
      </c>
      <c r="I209" t="s">
        <v>876</v>
      </c>
      <c r="J209" t="s">
        <v>877</v>
      </c>
      <c r="K209" t="s">
        <v>878</v>
      </c>
      <c r="L209">
        <v>1358</v>
      </c>
      <c r="N209">
        <v>1010</v>
      </c>
      <c r="O209" t="s">
        <v>436</v>
      </c>
      <c r="P209" t="s">
        <v>436</v>
      </c>
      <c r="Q209">
        <v>10</v>
      </c>
      <c r="X209">
        <v>0.1</v>
      </c>
      <c r="Y209">
        <v>39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57</v>
      </c>
      <c r="AG209">
        <v>0</v>
      </c>
      <c r="AH209">
        <v>2</v>
      </c>
      <c r="AI209">
        <v>39488904</v>
      </c>
      <c r="AJ209">
        <v>210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ROW(Source!A167)</f>
        <v>167</v>
      </c>
      <c r="B210">
        <v>39488905</v>
      </c>
      <c r="C210">
        <v>39488890</v>
      </c>
      <c r="D210">
        <v>36799065</v>
      </c>
      <c r="E210">
        <v>17</v>
      </c>
      <c r="F210">
        <v>1</v>
      </c>
      <c r="G210">
        <v>1</v>
      </c>
      <c r="H210">
        <v>3</v>
      </c>
      <c r="I210" t="s">
        <v>835</v>
      </c>
      <c r="J210" t="s">
        <v>3</v>
      </c>
      <c r="K210" t="s">
        <v>836</v>
      </c>
      <c r="L210">
        <v>1374</v>
      </c>
      <c r="N210">
        <v>1013</v>
      </c>
      <c r="O210" t="s">
        <v>837</v>
      </c>
      <c r="P210" t="s">
        <v>837</v>
      </c>
      <c r="Q210">
        <v>1</v>
      </c>
      <c r="X210">
        <v>0.43</v>
      </c>
      <c r="Y210">
        <v>1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57</v>
      </c>
      <c r="AG210">
        <v>0</v>
      </c>
      <c r="AH210">
        <v>2</v>
      </c>
      <c r="AI210">
        <v>39488905</v>
      </c>
      <c r="AJ210">
        <v>211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ROW(Source!A168)</f>
        <v>168</v>
      </c>
      <c r="B211">
        <v>39488908</v>
      </c>
      <c r="C211">
        <v>39097831</v>
      </c>
      <c r="D211">
        <v>37070244</v>
      </c>
      <c r="E211">
        <v>1</v>
      </c>
      <c r="F211">
        <v>1</v>
      </c>
      <c r="G211">
        <v>1</v>
      </c>
      <c r="H211">
        <v>1</v>
      </c>
      <c r="I211" t="s">
        <v>841</v>
      </c>
      <c r="J211" t="s">
        <v>3</v>
      </c>
      <c r="K211" t="s">
        <v>842</v>
      </c>
      <c r="L211">
        <v>1191</v>
      </c>
      <c r="N211">
        <v>1013</v>
      </c>
      <c r="O211" t="s">
        <v>660</v>
      </c>
      <c r="P211" t="s">
        <v>660</v>
      </c>
      <c r="Q211">
        <v>1</v>
      </c>
      <c r="X211">
        <v>2.09</v>
      </c>
      <c r="Y211">
        <v>0</v>
      </c>
      <c r="Z211">
        <v>0</v>
      </c>
      <c r="AA211">
        <v>0</v>
      </c>
      <c r="AB211">
        <v>10.35</v>
      </c>
      <c r="AC211">
        <v>0</v>
      </c>
      <c r="AD211">
        <v>1</v>
      </c>
      <c r="AE211">
        <v>1</v>
      </c>
      <c r="AF211" t="s">
        <v>3</v>
      </c>
      <c r="AG211">
        <v>2.09</v>
      </c>
      <c r="AH211">
        <v>2</v>
      </c>
      <c r="AI211">
        <v>39488908</v>
      </c>
      <c r="AJ211">
        <v>212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ROW(Source!A168)</f>
        <v>168</v>
      </c>
      <c r="B212">
        <v>39488909</v>
      </c>
      <c r="C212">
        <v>39097831</v>
      </c>
      <c r="D212">
        <v>36883858</v>
      </c>
      <c r="E212">
        <v>1</v>
      </c>
      <c r="F212">
        <v>1</v>
      </c>
      <c r="G212">
        <v>1</v>
      </c>
      <c r="H212">
        <v>2</v>
      </c>
      <c r="I212" t="s">
        <v>704</v>
      </c>
      <c r="J212" t="s">
        <v>705</v>
      </c>
      <c r="K212" t="s">
        <v>706</v>
      </c>
      <c r="L212">
        <v>1368</v>
      </c>
      <c r="N212">
        <v>1011</v>
      </c>
      <c r="O212" t="s">
        <v>666</v>
      </c>
      <c r="P212" t="s">
        <v>666</v>
      </c>
      <c r="Q212">
        <v>1</v>
      </c>
      <c r="X212">
        <v>0.06</v>
      </c>
      <c r="Y212">
        <v>0</v>
      </c>
      <c r="Z212">
        <v>8.1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0.06</v>
      </c>
      <c r="AH212">
        <v>2</v>
      </c>
      <c r="AI212">
        <v>39488909</v>
      </c>
      <c r="AJ212">
        <v>213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ROW(Source!A168)</f>
        <v>168</v>
      </c>
      <c r="B213">
        <v>39488910</v>
      </c>
      <c r="C213">
        <v>39097831</v>
      </c>
      <c r="D213">
        <v>36884526</v>
      </c>
      <c r="E213">
        <v>1</v>
      </c>
      <c r="F213">
        <v>1</v>
      </c>
      <c r="G213">
        <v>1</v>
      </c>
      <c r="H213">
        <v>2</v>
      </c>
      <c r="I213" t="s">
        <v>843</v>
      </c>
      <c r="J213" t="s">
        <v>844</v>
      </c>
      <c r="K213" t="s">
        <v>845</v>
      </c>
      <c r="L213">
        <v>1368</v>
      </c>
      <c r="N213">
        <v>1011</v>
      </c>
      <c r="O213" t="s">
        <v>666</v>
      </c>
      <c r="P213" t="s">
        <v>666</v>
      </c>
      <c r="Q213">
        <v>1</v>
      </c>
      <c r="X213">
        <v>0.09</v>
      </c>
      <c r="Y213">
        <v>0</v>
      </c>
      <c r="Z213">
        <v>1.1100000000000001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0.09</v>
      </c>
      <c r="AH213">
        <v>2</v>
      </c>
      <c r="AI213">
        <v>39488910</v>
      </c>
      <c r="AJ213">
        <v>214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ROW(Source!A168)</f>
        <v>168</v>
      </c>
      <c r="B214">
        <v>39488911</v>
      </c>
      <c r="C214">
        <v>39097831</v>
      </c>
      <c r="D214">
        <v>36800043</v>
      </c>
      <c r="E214">
        <v>1</v>
      </c>
      <c r="F214">
        <v>1</v>
      </c>
      <c r="G214">
        <v>1</v>
      </c>
      <c r="H214">
        <v>3</v>
      </c>
      <c r="I214" t="s">
        <v>846</v>
      </c>
      <c r="J214" t="s">
        <v>847</v>
      </c>
      <c r="K214" t="s">
        <v>848</v>
      </c>
      <c r="L214">
        <v>1346</v>
      </c>
      <c r="N214">
        <v>1009</v>
      </c>
      <c r="O214" t="s">
        <v>138</v>
      </c>
      <c r="P214" t="s">
        <v>138</v>
      </c>
      <c r="Q214">
        <v>1</v>
      </c>
      <c r="X214">
        <v>6.0000000000000001E-3</v>
      </c>
      <c r="Y214">
        <v>44.97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6.0000000000000001E-3</v>
      </c>
      <c r="AH214">
        <v>2</v>
      </c>
      <c r="AI214">
        <v>39488911</v>
      </c>
      <c r="AJ214">
        <v>215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ROW(Source!A168)</f>
        <v>168</v>
      </c>
      <c r="B215">
        <v>39488912</v>
      </c>
      <c r="C215">
        <v>39097831</v>
      </c>
      <c r="D215">
        <v>36801775</v>
      </c>
      <c r="E215">
        <v>1</v>
      </c>
      <c r="F215">
        <v>1</v>
      </c>
      <c r="G215">
        <v>1</v>
      </c>
      <c r="H215">
        <v>3</v>
      </c>
      <c r="I215" t="s">
        <v>849</v>
      </c>
      <c r="J215" t="s">
        <v>850</v>
      </c>
      <c r="K215" t="s">
        <v>851</v>
      </c>
      <c r="L215">
        <v>1346</v>
      </c>
      <c r="N215">
        <v>1009</v>
      </c>
      <c r="O215" t="s">
        <v>138</v>
      </c>
      <c r="P215" t="s">
        <v>138</v>
      </c>
      <c r="Q215">
        <v>1</v>
      </c>
      <c r="X215">
        <v>2E-3</v>
      </c>
      <c r="Y215">
        <v>11.5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2E-3</v>
      </c>
      <c r="AH215">
        <v>2</v>
      </c>
      <c r="AI215">
        <v>39488912</v>
      </c>
      <c r="AJ215">
        <v>216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ROW(Source!A168)</f>
        <v>168</v>
      </c>
      <c r="B216">
        <v>39488913</v>
      </c>
      <c r="C216">
        <v>39097831</v>
      </c>
      <c r="D216">
        <v>36802094</v>
      </c>
      <c r="E216">
        <v>1</v>
      </c>
      <c r="F216">
        <v>1</v>
      </c>
      <c r="G216">
        <v>1</v>
      </c>
      <c r="H216">
        <v>3</v>
      </c>
      <c r="I216" t="s">
        <v>852</v>
      </c>
      <c r="J216" t="s">
        <v>853</v>
      </c>
      <c r="K216" t="s">
        <v>854</v>
      </c>
      <c r="L216">
        <v>1346</v>
      </c>
      <c r="N216">
        <v>1009</v>
      </c>
      <c r="O216" t="s">
        <v>138</v>
      </c>
      <c r="P216" t="s">
        <v>138</v>
      </c>
      <c r="Q216">
        <v>1</v>
      </c>
      <c r="X216">
        <v>2.4E-2</v>
      </c>
      <c r="Y216">
        <v>30.4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2.4E-2</v>
      </c>
      <c r="AH216">
        <v>2</v>
      </c>
      <c r="AI216">
        <v>39488913</v>
      </c>
      <c r="AJ216">
        <v>217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ROW(Source!A168)</f>
        <v>168</v>
      </c>
      <c r="B217">
        <v>39488914</v>
      </c>
      <c r="C217">
        <v>39097831</v>
      </c>
      <c r="D217">
        <v>36803258</v>
      </c>
      <c r="E217">
        <v>1</v>
      </c>
      <c r="F217">
        <v>1</v>
      </c>
      <c r="G217">
        <v>1</v>
      </c>
      <c r="H217">
        <v>3</v>
      </c>
      <c r="I217" t="s">
        <v>855</v>
      </c>
      <c r="J217" t="s">
        <v>856</v>
      </c>
      <c r="K217" t="s">
        <v>857</v>
      </c>
      <c r="L217">
        <v>1346</v>
      </c>
      <c r="N217">
        <v>1009</v>
      </c>
      <c r="O217" t="s">
        <v>138</v>
      </c>
      <c r="P217" t="s">
        <v>138</v>
      </c>
      <c r="Q217">
        <v>1</v>
      </c>
      <c r="X217">
        <v>7.0000000000000007E-2</v>
      </c>
      <c r="Y217">
        <v>10.57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7.0000000000000007E-2</v>
      </c>
      <c r="AH217">
        <v>2</v>
      </c>
      <c r="AI217">
        <v>39488914</v>
      </c>
      <c r="AJ217">
        <v>218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ROW(Source!A168)</f>
        <v>168</v>
      </c>
      <c r="B218">
        <v>39488915</v>
      </c>
      <c r="C218">
        <v>39097831</v>
      </c>
      <c r="D218">
        <v>36804448</v>
      </c>
      <c r="E218">
        <v>1</v>
      </c>
      <c r="F218">
        <v>1</v>
      </c>
      <c r="G218">
        <v>1</v>
      </c>
      <c r="H218">
        <v>3</v>
      </c>
      <c r="I218" t="s">
        <v>858</v>
      </c>
      <c r="J218" t="s">
        <v>859</v>
      </c>
      <c r="K218" t="s">
        <v>860</v>
      </c>
      <c r="L218">
        <v>1346</v>
      </c>
      <c r="N218">
        <v>1009</v>
      </c>
      <c r="O218" t="s">
        <v>138</v>
      </c>
      <c r="P218" t="s">
        <v>138</v>
      </c>
      <c r="Q218">
        <v>1</v>
      </c>
      <c r="X218">
        <v>0.14000000000000001</v>
      </c>
      <c r="Y218">
        <v>9.0399999999999991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0.14000000000000001</v>
      </c>
      <c r="AH218">
        <v>2</v>
      </c>
      <c r="AI218">
        <v>39488915</v>
      </c>
      <c r="AJ218">
        <v>219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ROW(Source!A168)</f>
        <v>168</v>
      </c>
      <c r="B219">
        <v>39488916</v>
      </c>
      <c r="C219">
        <v>39097831</v>
      </c>
      <c r="D219">
        <v>36804580</v>
      </c>
      <c r="E219">
        <v>1</v>
      </c>
      <c r="F219">
        <v>1</v>
      </c>
      <c r="G219">
        <v>1</v>
      </c>
      <c r="H219">
        <v>3</v>
      </c>
      <c r="I219" t="s">
        <v>861</v>
      </c>
      <c r="J219" t="s">
        <v>862</v>
      </c>
      <c r="K219" t="s">
        <v>863</v>
      </c>
      <c r="L219">
        <v>1355</v>
      </c>
      <c r="N219">
        <v>1010</v>
      </c>
      <c r="O219" t="s">
        <v>161</v>
      </c>
      <c r="P219" t="s">
        <v>161</v>
      </c>
      <c r="Q219">
        <v>100</v>
      </c>
      <c r="X219">
        <v>7.0000000000000001E-3</v>
      </c>
      <c r="Y219">
        <v>86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7.0000000000000001E-3</v>
      </c>
      <c r="AH219">
        <v>2</v>
      </c>
      <c r="AI219">
        <v>39488916</v>
      </c>
      <c r="AJ219">
        <v>220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ROW(Source!A168)</f>
        <v>168</v>
      </c>
      <c r="B220">
        <v>39488917</v>
      </c>
      <c r="C220">
        <v>39097831</v>
      </c>
      <c r="D220">
        <v>36805500</v>
      </c>
      <c r="E220">
        <v>1</v>
      </c>
      <c r="F220">
        <v>1</v>
      </c>
      <c r="G220">
        <v>1</v>
      </c>
      <c r="H220">
        <v>3</v>
      </c>
      <c r="I220" t="s">
        <v>864</v>
      </c>
      <c r="J220" t="s">
        <v>865</v>
      </c>
      <c r="K220" t="s">
        <v>866</v>
      </c>
      <c r="L220">
        <v>1346</v>
      </c>
      <c r="N220">
        <v>1009</v>
      </c>
      <c r="O220" t="s">
        <v>138</v>
      </c>
      <c r="P220" t="s">
        <v>138</v>
      </c>
      <c r="Q220">
        <v>1</v>
      </c>
      <c r="X220">
        <v>2E-3</v>
      </c>
      <c r="Y220">
        <v>133.05000000000001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2E-3</v>
      </c>
      <c r="AH220">
        <v>2</v>
      </c>
      <c r="AI220">
        <v>39488917</v>
      </c>
      <c r="AJ220">
        <v>221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ROW(Source!A168)</f>
        <v>168</v>
      </c>
      <c r="B221">
        <v>39488918</v>
      </c>
      <c r="C221">
        <v>39097831</v>
      </c>
      <c r="D221">
        <v>36823140</v>
      </c>
      <c r="E221">
        <v>1</v>
      </c>
      <c r="F221">
        <v>1</v>
      </c>
      <c r="G221">
        <v>1</v>
      </c>
      <c r="H221">
        <v>3</v>
      </c>
      <c r="I221" t="s">
        <v>867</v>
      </c>
      <c r="J221" t="s">
        <v>868</v>
      </c>
      <c r="K221" t="s">
        <v>869</v>
      </c>
      <c r="L221">
        <v>1348</v>
      </c>
      <c r="N221">
        <v>1009</v>
      </c>
      <c r="O221" t="s">
        <v>110</v>
      </c>
      <c r="P221" t="s">
        <v>110</v>
      </c>
      <c r="Q221">
        <v>1000</v>
      </c>
      <c r="X221">
        <v>3.0000000000000001E-3</v>
      </c>
      <c r="Y221">
        <v>11500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3.0000000000000001E-3</v>
      </c>
      <c r="AH221">
        <v>2</v>
      </c>
      <c r="AI221">
        <v>39488918</v>
      </c>
      <c r="AJ221">
        <v>222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ROW(Source!A168)</f>
        <v>168</v>
      </c>
      <c r="B222">
        <v>39488919</v>
      </c>
      <c r="C222">
        <v>39097831</v>
      </c>
      <c r="D222">
        <v>36838317</v>
      </c>
      <c r="E222">
        <v>1</v>
      </c>
      <c r="F222">
        <v>1</v>
      </c>
      <c r="G222">
        <v>1</v>
      </c>
      <c r="H222">
        <v>3</v>
      </c>
      <c r="I222" t="s">
        <v>870</v>
      </c>
      <c r="J222" t="s">
        <v>871</v>
      </c>
      <c r="K222" t="s">
        <v>872</v>
      </c>
      <c r="L222">
        <v>1346</v>
      </c>
      <c r="N222">
        <v>1009</v>
      </c>
      <c r="O222" t="s">
        <v>138</v>
      </c>
      <c r="P222" t="s">
        <v>138</v>
      </c>
      <c r="Q222">
        <v>1</v>
      </c>
      <c r="X222">
        <v>1.7999999999999999E-2</v>
      </c>
      <c r="Y222">
        <v>28.6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1.7999999999999999E-2</v>
      </c>
      <c r="AH222">
        <v>2</v>
      </c>
      <c r="AI222">
        <v>39488919</v>
      </c>
      <c r="AJ222">
        <v>223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ROW(Source!A168)</f>
        <v>168</v>
      </c>
      <c r="B223">
        <v>39488920</v>
      </c>
      <c r="C223">
        <v>39097831</v>
      </c>
      <c r="D223">
        <v>36838470</v>
      </c>
      <c r="E223">
        <v>1</v>
      </c>
      <c r="F223">
        <v>1</v>
      </c>
      <c r="G223">
        <v>1</v>
      </c>
      <c r="H223">
        <v>3</v>
      </c>
      <c r="I223" t="s">
        <v>873</v>
      </c>
      <c r="J223" t="s">
        <v>874</v>
      </c>
      <c r="K223" t="s">
        <v>875</v>
      </c>
      <c r="L223">
        <v>1346</v>
      </c>
      <c r="N223">
        <v>1009</v>
      </c>
      <c r="O223" t="s">
        <v>138</v>
      </c>
      <c r="P223" t="s">
        <v>138</v>
      </c>
      <c r="Q223">
        <v>1</v>
      </c>
      <c r="X223">
        <v>8.9999999999999993E-3</v>
      </c>
      <c r="Y223">
        <v>35.630000000000003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8.9999999999999993E-3</v>
      </c>
      <c r="AH223">
        <v>2</v>
      </c>
      <c r="AI223">
        <v>39488920</v>
      </c>
      <c r="AJ223">
        <v>224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ROW(Source!A168)</f>
        <v>168</v>
      </c>
      <c r="B224">
        <v>39488921</v>
      </c>
      <c r="C224">
        <v>39097831</v>
      </c>
      <c r="D224">
        <v>36851945</v>
      </c>
      <c r="E224">
        <v>1</v>
      </c>
      <c r="F224">
        <v>1</v>
      </c>
      <c r="G224">
        <v>1</v>
      </c>
      <c r="H224">
        <v>3</v>
      </c>
      <c r="I224" t="s">
        <v>876</v>
      </c>
      <c r="J224" t="s">
        <v>877</v>
      </c>
      <c r="K224" t="s">
        <v>878</v>
      </c>
      <c r="L224">
        <v>1358</v>
      </c>
      <c r="N224">
        <v>1010</v>
      </c>
      <c r="O224" t="s">
        <v>436</v>
      </c>
      <c r="P224" t="s">
        <v>436</v>
      </c>
      <c r="Q224">
        <v>10</v>
      </c>
      <c r="X224">
        <v>0.1</v>
      </c>
      <c r="Y224">
        <v>39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0.1</v>
      </c>
      <c r="AH224">
        <v>2</v>
      </c>
      <c r="AI224">
        <v>39488921</v>
      </c>
      <c r="AJ224">
        <v>225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ROW(Source!A168)</f>
        <v>168</v>
      </c>
      <c r="B225">
        <v>39488922</v>
      </c>
      <c r="C225">
        <v>39097831</v>
      </c>
      <c r="D225">
        <v>36799065</v>
      </c>
      <c r="E225">
        <v>17</v>
      </c>
      <c r="F225">
        <v>1</v>
      </c>
      <c r="G225">
        <v>1</v>
      </c>
      <c r="H225">
        <v>3</v>
      </c>
      <c r="I225" t="s">
        <v>835</v>
      </c>
      <c r="J225" t="s">
        <v>3</v>
      </c>
      <c r="K225" t="s">
        <v>836</v>
      </c>
      <c r="L225">
        <v>1374</v>
      </c>
      <c r="N225">
        <v>1013</v>
      </c>
      <c r="O225" t="s">
        <v>837</v>
      </c>
      <c r="P225" t="s">
        <v>837</v>
      </c>
      <c r="Q225">
        <v>1</v>
      </c>
      <c r="X225">
        <v>0.43</v>
      </c>
      <c r="Y225">
        <v>1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0.43</v>
      </c>
      <c r="AH225">
        <v>2</v>
      </c>
      <c r="AI225">
        <v>39488922</v>
      </c>
      <c r="AJ225">
        <v>226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ROW(Source!A170)</f>
        <v>170</v>
      </c>
      <c r="B226">
        <v>39096777</v>
      </c>
      <c r="C226">
        <v>39096775</v>
      </c>
      <c r="D226">
        <v>37064998</v>
      </c>
      <c r="E226">
        <v>1</v>
      </c>
      <c r="F226">
        <v>1</v>
      </c>
      <c r="G226">
        <v>1</v>
      </c>
      <c r="H226">
        <v>1</v>
      </c>
      <c r="I226" t="s">
        <v>667</v>
      </c>
      <c r="J226" t="s">
        <v>3</v>
      </c>
      <c r="K226" t="s">
        <v>668</v>
      </c>
      <c r="L226">
        <v>1191</v>
      </c>
      <c r="N226">
        <v>1013</v>
      </c>
      <c r="O226" t="s">
        <v>660</v>
      </c>
      <c r="P226" t="s">
        <v>660</v>
      </c>
      <c r="Q226">
        <v>1</v>
      </c>
      <c r="X226">
        <v>85.5</v>
      </c>
      <c r="Y226">
        <v>0</v>
      </c>
      <c r="Z226">
        <v>0</v>
      </c>
      <c r="AA226">
        <v>0</v>
      </c>
      <c r="AB226">
        <v>7.8</v>
      </c>
      <c r="AC226">
        <v>0</v>
      </c>
      <c r="AD226">
        <v>1</v>
      </c>
      <c r="AE226">
        <v>1</v>
      </c>
      <c r="AF226" t="s">
        <v>3</v>
      </c>
      <c r="AG226">
        <v>85.5</v>
      </c>
      <c r="AH226">
        <v>2</v>
      </c>
      <c r="AI226">
        <v>39096776</v>
      </c>
      <c r="AJ226">
        <v>227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ROW(Source!A170)</f>
        <v>170</v>
      </c>
      <c r="B227">
        <v>39096778</v>
      </c>
      <c r="C227">
        <v>39096775</v>
      </c>
      <c r="D227">
        <v>36799072</v>
      </c>
      <c r="E227">
        <v>17</v>
      </c>
      <c r="F227">
        <v>1</v>
      </c>
      <c r="G227">
        <v>1</v>
      </c>
      <c r="H227">
        <v>3</v>
      </c>
      <c r="I227" t="s">
        <v>257</v>
      </c>
      <c r="J227" t="s">
        <v>3</v>
      </c>
      <c r="K227" t="s">
        <v>258</v>
      </c>
      <c r="L227">
        <v>1348</v>
      </c>
      <c r="N227">
        <v>1009</v>
      </c>
      <c r="O227" t="s">
        <v>110</v>
      </c>
      <c r="P227" t="s">
        <v>110</v>
      </c>
      <c r="Q227">
        <v>1000</v>
      </c>
      <c r="X227">
        <v>0.11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 t="s">
        <v>3</v>
      </c>
      <c r="AG227">
        <v>0.11</v>
      </c>
      <c r="AH227">
        <v>3</v>
      </c>
      <c r="AI227">
        <v>-1</v>
      </c>
      <c r="AJ227" t="s">
        <v>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ROW(Source!A171)</f>
        <v>171</v>
      </c>
      <c r="B228">
        <v>39490107</v>
      </c>
      <c r="C228">
        <v>39490106</v>
      </c>
      <c r="D228">
        <v>37064878</v>
      </c>
      <c r="E228">
        <v>1</v>
      </c>
      <c r="F228">
        <v>1</v>
      </c>
      <c r="G228">
        <v>1</v>
      </c>
      <c r="H228">
        <v>1</v>
      </c>
      <c r="I228" t="s">
        <v>744</v>
      </c>
      <c r="J228" t="s">
        <v>3</v>
      </c>
      <c r="K228" t="s">
        <v>745</v>
      </c>
      <c r="L228">
        <v>1191</v>
      </c>
      <c r="N228">
        <v>1013</v>
      </c>
      <c r="O228" t="s">
        <v>660</v>
      </c>
      <c r="P228" t="s">
        <v>660</v>
      </c>
      <c r="Q228">
        <v>1</v>
      </c>
      <c r="X228">
        <v>15.28</v>
      </c>
      <c r="Y228">
        <v>0</v>
      </c>
      <c r="Z228">
        <v>0</v>
      </c>
      <c r="AA228">
        <v>0</v>
      </c>
      <c r="AB228">
        <v>9.4</v>
      </c>
      <c r="AC228">
        <v>0</v>
      </c>
      <c r="AD228">
        <v>1</v>
      </c>
      <c r="AE228">
        <v>1</v>
      </c>
      <c r="AF228" t="s">
        <v>3</v>
      </c>
      <c r="AG228">
        <v>15.28</v>
      </c>
      <c r="AH228">
        <v>2</v>
      </c>
      <c r="AI228">
        <v>39490107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ROW(Source!A171)</f>
        <v>171</v>
      </c>
      <c r="B229">
        <v>39490108</v>
      </c>
      <c r="C229">
        <v>39490106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661</v>
      </c>
      <c r="J229" t="s">
        <v>3</v>
      </c>
      <c r="K229" t="s">
        <v>662</v>
      </c>
      <c r="L229">
        <v>1191</v>
      </c>
      <c r="N229">
        <v>1013</v>
      </c>
      <c r="O229" t="s">
        <v>660</v>
      </c>
      <c r="P229" t="s">
        <v>660</v>
      </c>
      <c r="Q229">
        <v>1</v>
      </c>
      <c r="X229">
        <v>0.22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3</v>
      </c>
      <c r="AG229">
        <v>0.22</v>
      </c>
      <c r="AH229">
        <v>2</v>
      </c>
      <c r="AI229">
        <v>39490108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ROW(Source!A171)</f>
        <v>171</v>
      </c>
      <c r="B230">
        <v>39490109</v>
      </c>
      <c r="C230">
        <v>39490106</v>
      </c>
      <c r="D230">
        <v>36882159</v>
      </c>
      <c r="E230">
        <v>1</v>
      </c>
      <c r="F230">
        <v>1</v>
      </c>
      <c r="G230">
        <v>1</v>
      </c>
      <c r="H230">
        <v>2</v>
      </c>
      <c r="I230" t="s">
        <v>802</v>
      </c>
      <c r="J230" t="s">
        <v>803</v>
      </c>
      <c r="K230" t="s">
        <v>804</v>
      </c>
      <c r="L230">
        <v>1368</v>
      </c>
      <c r="N230">
        <v>1011</v>
      </c>
      <c r="O230" t="s">
        <v>666</v>
      </c>
      <c r="P230" t="s">
        <v>666</v>
      </c>
      <c r="Q230">
        <v>1</v>
      </c>
      <c r="X230">
        <v>0.11</v>
      </c>
      <c r="Y230">
        <v>0</v>
      </c>
      <c r="Z230">
        <v>111.99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0.11</v>
      </c>
      <c r="AH230">
        <v>2</v>
      </c>
      <c r="AI230">
        <v>39490109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ROW(Source!A171)</f>
        <v>171</v>
      </c>
      <c r="B231">
        <v>39490110</v>
      </c>
      <c r="C231">
        <v>39490106</v>
      </c>
      <c r="D231">
        <v>36883554</v>
      </c>
      <c r="E231">
        <v>1</v>
      </c>
      <c r="F231">
        <v>1</v>
      </c>
      <c r="G231">
        <v>1</v>
      </c>
      <c r="H231">
        <v>2</v>
      </c>
      <c r="I231" t="s">
        <v>679</v>
      </c>
      <c r="J231" t="s">
        <v>680</v>
      </c>
      <c r="K231" t="s">
        <v>681</v>
      </c>
      <c r="L231">
        <v>1368</v>
      </c>
      <c r="N231">
        <v>1011</v>
      </c>
      <c r="O231" t="s">
        <v>666</v>
      </c>
      <c r="P231" t="s">
        <v>666</v>
      </c>
      <c r="Q231">
        <v>1</v>
      </c>
      <c r="X231">
        <v>0.11</v>
      </c>
      <c r="Y231">
        <v>0</v>
      </c>
      <c r="Z231">
        <v>65.709999999999994</v>
      </c>
      <c r="AA231">
        <v>11.6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0.11</v>
      </c>
      <c r="AH231">
        <v>2</v>
      </c>
      <c r="AI231">
        <v>39490110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ROW(Source!A171)</f>
        <v>171</v>
      </c>
      <c r="B232">
        <v>39490111</v>
      </c>
      <c r="C232">
        <v>39490106</v>
      </c>
      <c r="D232">
        <v>36807344</v>
      </c>
      <c r="E232">
        <v>1</v>
      </c>
      <c r="F232">
        <v>1</v>
      </c>
      <c r="G232">
        <v>1</v>
      </c>
      <c r="H232">
        <v>3</v>
      </c>
      <c r="I232" t="s">
        <v>879</v>
      </c>
      <c r="J232" t="s">
        <v>880</v>
      </c>
      <c r="K232" t="s">
        <v>881</v>
      </c>
      <c r="L232">
        <v>1339</v>
      </c>
      <c r="N232">
        <v>1007</v>
      </c>
      <c r="O232" t="s">
        <v>106</v>
      </c>
      <c r="P232" t="s">
        <v>106</v>
      </c>
      <c r="Q232">
        <v>1</v>
      </c>
      <c r="X232">
        <v>2.1000000000000001E-2</v>
      </c>
      <c r="Y232">
        <v>600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2.1000000000000001E-2</v>
      </c>
      <c r="AH232">
        <v>2</v>
      </c>
      <c r="AI232">
        <v>39490111</v>
      </c>
      <c r="AJ232">
        <v>232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ROW(Source!A171)</f>
        <v>171</v>
      </c>
      <c r="B233">
        <v>39490112</v>
      </c>
      <c r="C233">
        <v>39490106</v>
      </c>
      <c r="D233">
        <v>36836935</v>
      </c>
      <c r="E233">
        <v>1</v>
      </c>
      <c r="F233">
        <v>1</v>
      </c>
      <c r="G233">
        <v>1</v>
      </c>
      <c r="H233">
        <v>3</v>
      </c>
      <c r="I233" t="s">
        <v>882</v>
      </c>
      <c r="J233" t="s">
        <v>883</v>
      </c>
      <c r="K233" t="s">
        <v>884</v>
      </c>
      <c r="L233">
        <v>1346</v>
      </c>
      <c r="N233">
        <v>1009</v>
      </c>
      <c r="O233" t="s">
        <v>138</v>
      </c>
      <c r="P233" t="s">
        <v>138</v>
      </c>
      <c r="Q233">
        <v>1</v>
      </c>
      <c r="X233">
        <v>0.4</v>
      </c>
      <c r="Y233">
        <v>25.8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0.4</v>
      </c>
      <c r="AH233">
        <v>2</v>
      </c>
      <c r="AI233">
        <v>39490112</v>
      </c>
      <c r="AJ233">
        <v>233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ROW(Source!A171)</f>
        <v>171</v>
      </c>
      <c r="B234">
        <v>39490113</v>
      </c>
      <c r="C234">
        <v>39490106</v>
      </c>
      <c r="D234">
        <v>36852067</v>
      </c>
      <c r="E234">
        <v>1</v>
      </c>
      <c r="F234">
        <v>1</v>
      </c>
      <c r="G234">
        <v>1</v>
      </c>
      <c r="H234">
        <v>3</v>
      </c>
      <c r="I234" t="s">
        <v>885</v>
      </c>
      <c r="J234" t="s">
        <v>886</v>
      </c>
      <c r="K234" t="s">
        <v>887</v>
      </c>
      <c r="L234">
        <v>1356</v>
      </c>
      <c r="N234">
        <v>1010</v>
      </c>
      <c r="O234" t="s">
        <v>741</v>
      </c>
      <c r="P234" t="s">
        <v>741</v>
      </c>
      <c r="Q234">
        <v>1000</v>
      </c>
      <c r="X234">
        <v>3.2000000000000001E-2</v>
      </c>
      <c r="Y234">
        <v>270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3.2000000000000001E-2</v>
      </c>
      <c r="AH234">
        <v>2</v>
      </c>
      <c r="AI234">
        <v>39490113</v>
      </c>
      <c r="AJ234">
        <v>234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ROW(Source!A171)</f>
        <v>171</v>
      </c>
      <c r="B235">
        <v>39490114</v>
      </c>
      <c r="C235">
        <v>39490106</v>
      </c>
      <c r="D235">
        <v>36852075</v>
      </c>
      <c r="E235">
        <v>1</v>
      </c>
      <c r="F235">
        <v>1</v>
      </c>
      <c r="G235">
        <v>1</v>
      </c>
      <c r="H235">
        <v>3</v>
      </c>
      <c r="I235" t="s">
        <v>888</v>
      </c>
      <c r="J235" t="s">
        <v>889</v>
      </c>
      <c r="K235" t="s">
        <v>890</v>
      </c>
      <c r="L235">
        <v>1358</v>
      </c>
      <c r="N235">
        <v>1010</v>
      </c>
      <c r="O235" t="s">
        <v>436</v>
      </c>
      <c r="P235" t="s">
        <v>436</v>
      </c>
      <c r="Q235">
        <v>10</v>
      </c>
      <c r="X235">
        <v>1</v>
      </c>
      <c r="Y235">
        <v>19.899999999999999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1</v>
      </c>
      <c r="AH235">
        <v>2</v>
      </c>
      <c r="AI235">
        <v>39490114</v>
      </c>
      <c r="AJ235">
        <v>235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ROW(Source!A171)</f>
        <v>171</v>
      </c>
      <c r="B236">
        <v>39490115</v>
      </c>
      <c r="C236">
        <v>39490106</v>
      </c>
      <c r="D236">
        <v>36853421</v>
      </c>
      <c r="E236">
        <v>1</v>
      </c>
      <c r="F236">
        <v>1</v>
      </c>
      <c r="G236">
        <v>1</v>
      </c>
      <c r="H236">
        <v>3</v>
      </c>
      <c r="I236" t="s">
        <v>891</v>
      </c>
      <c r="J236" t="s">
        <v>892</v>
      </c>
      <c r="K236" t="s">
        <v>893</v>
      </c>
      <c r="L236">
        <v>1354</v>
      </c>
      <c r="N236">
        <v>1010</v>
      </c>
      <c r="O236" t="s">
        <v>46</v>
      </c>
      <c r="P236" t="s">
        <v>46</v>
      </c>
      <c r="Q236">
        <v>1</v>
      </c>
      <c r="X236">
        <v>0.5</v>
      </c>
      <c r="Y236">
        <v>66.819999999999993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0.5</v>
      </c>
      <c r="AH236">
        <v>2</v>
      </c>
      <c r="AI236">
        <v>39490115</v>
      </c>
      <c r="AJ236">
        <v>236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ROW(Source!A171)</f>
        <v>171</v>
      </c>
      <c r="B237">
        <v>39490116</v>
      </c>
      <c r="C237">
        <v>39490106</v>
      </c>
      <c r="D237">
        <v>36799065</v>
      </c>
      <c r="E237">
        <v>17</v>
      </c>
      <c r="F237">
        <v>1</v>
      </c>
      <c r="G237">
        <v>1</v>
      </c>
      <c r="H237">
        <v>3</v>
      </c>
      <c r="I237" t="s">
        <v>835</v>
      </c>
      <c r="J237" t="s">
        <v>3</v>
      </c>
      <c r="K237" t="s">
        <v>836</v>
      </c>
      <c r="L237">
        <v>1374</v>
      </c>
      <c r="N237">
        <v>1013</v>
      </c>
      <c r="O237" t="s">
        <v>837</v>
      </c>
      <c r="P237" t="s">
        <v>837</v>
      </c>
      <c r="Q237">
        <v>1</v>
      </c>
      <c r="X237">
        <v>2.87</v>
      </c>
      <c r="Y237">
        <v>1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2.87</v>
      </c>
      <c r="AH237">
        <v>2</v>
      </c>
      <c r="AI237">
        <v>39490116</v>
      </c>
      <c r="AJ237">
        <v>238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ROW(Source!A173)</f>
        <v>173</v>
      </c>
      <c r="B238">
        <v>39488938</v>
      </c>
      <c r="C238">
        <v>39488937</v>
      </c>
      <c r="D238">
        <v>37082223</v>
      </c>
      <c r="E238">
        <v>1</v>
      </c>
      <c r="F238">
        <v>1</v>
      </c>
      <c r="G238">
        <v>1</v>
      </c>
      <c r="H238">
        <v>1</v>
      </c>
      <c r="I238" t="s">
        <v>894</v>
      </c>
      <c r="J238" t="s">
        <v>3</v>
      </c>
      <c r="K238" t="s">
        <v>895</v>
      </c>
      <c r="L238">
        <v>1191</v>
      </c>
      <c r="N238">
        <v>1013</v>
      </c>
      <c r="O238" t="s">
        <v>660</v>
      </c>
      <c r="P238" t="s">
        <v>660</v>
      </c>
      <c r="Q238">
        <v>1</v>
      </c>
      <c r="X238">
        <v>0.5</v>
      </c>
      <c r="Y238">
        <v>0</v>
      </c>
      <c r="Z238">
        <v>0</v>
      </c>
      <c r="AA238">
        <v>0</v>
      </c>
      <c r="AB238">
        <v>9.76</v>
      </c>
      <c r="AC238">
        <v>0</v>
      </c>
      <c r="AD238">
        <v>1</v>
      </c>
      <c r="AE238">
        <v>1</v>
      </c>
      <c r="AF238" t="s">
        <v>3</v>
      </c>
      <c r="AG238">
        <v>0.5</v>
      </c>
      <c r="AH238">
        <v>2</v>
      </c>
      <c r="AI238">
        <v>39488938</v>
      </c>
      <c r="AJ238">
        <v>239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ROW(Source!A173)</f>
        <v>173</v>
      </c>
      <c r="B239">
        <v>39488939</v>
      </c>
      <c r="C239">
        <v>39488937</v>
      </c>
      <c r="D239">
        <v>36804944</v>
      </c>
      <c r="E239">
        <v>1</v>
      </c>
      <c r="F239">
        <v>1</v>
      </c>
      <c r="G239">
        <v>1</v>
      </c>
      <c r="H239">
        <v>3</v>
      </c>
      <c r="I239" t="s">
        <v>832</v>
      </c>
      <c r="J239" t="s">
        <v>833</v>
      </c>
      <c r="K239" t="s">
        <v>834</v>
      </c>
      <c r="L239">
        <v>1348</v>
      </c>
      <c r="N239">
        <v>1009</v>
      </c>
      <c r="O239" t="s">
        <v>110</v>
      </c>
      <c r="P239" t="s">
        <v>110</v>
      </c>
      <c r="Q239">
        <v>1000</v>
      </c>
      <c r="X239">
        <v>1.0000000000000001E-5</v>
      </c>
      <c r="Y239">
        <v>12430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1.0000000000000001E-5</v>
      </c>
      <c r="AH239">
        <v>2</v>
      </c>
      <c r="AI239">
        <v>39488939</v>
      </c>
      <c r="AJ239">
        <v>240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ROW(Source!A173)</f>
        <v>173</v>
      </c>
      <c r="B240">
        <v>39488940</v>
      </c>
      <c r="C240">
        <v>39488937</v>
      </c>
      <c r="D240">
        <v>36806488</v>
      </c>
      <c r="E240">
        <v>1</v>
      </c>
      <c r="F240">
        <v>1</v>
      </c>
      <c r="G240">
        <v>1</v>
      </c>
      <c r="H240">
        <v>3</v>
      </c>
      <c r="I240" t="s">
        <v>674</v>
      </c>
      <c r="J240" t="s">
        <v>675</v>
      </c>
      <c r="K240" t="s">
        <v>676</v>
      </c>
      <c r="L240">
        <v>1348</v>
      </c>
      <c r="N240">
        <v>1009</v>
      </c>
      <c r="O240" t="s">
        <v>110</v>
      </c>
      <c r="P240" t="s">
        <v>110</v>
      </c>
      <c r="Q240">
        <v>1000</v>
      </c>
      <c r="X240">
        <v>5.0000000000000002E-5</v>
      </c>
      <c r="Y240">
        <v>729.98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5.0000000000000002E-5</v>
      </c>
      <c r="AH240">
        <v>2</v>
      </c>
      <c r="AI240">
        <v>39488940</v>
      </c>
      <c r="AJ240">
        <v>241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ROW(Source!A173)</f>
        <v>173</v>
      </c>
      <c r="B241">
        <v>39488941</v>
      </c>
      <c r="C241">
        <v>39488937</v>
      </c>
      <c r="D241">
        <v>36825637</v>
      </c>
      <c r="E241">
        <v>1</v>
      </c>
      <c r="F241">
        <v>1</v>
      </c>
      <c r="G241">
        <v>1</v>
      </c>
      <c r="H241">
        <v>3</v>
      </c>
      <c r="I241" t="s">
        <v>896</v>
      </c>
      <c r="J241" t="s">
        <v>897</v>
      </c>
      <c r="K241" t="s">
        <v>898</v>
      </c>
      <c r="L241">
        <v>1348</v>
      </c>
      <c r="N241">
        <v>1009</v>
      </c>
      <c r="O241" t="s">
        <v>110</v>
      </c>
      <c r="P241" t="s">
        <v>110</v>
      </c>
      <c r="Q241">
        <v>1000</v>
      </c>
      <c r="X241">
        <v>1.0000000000000001E-5</v>
      </c>
      <c r="Y241">
        <v>14690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1.0000000000000001E-5</v>
      </c>
      <c r="AH241">
        <v>2</v>
      </c>
      <c r="AI241">
        <v>39488941</v>
      </c>
      <c r="AJ241">
        <v>242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ROW(Source!A173)</f>
        <v>173</v>
      </c>
      <c r="B242">
        <v>39488942</v>
      </c>
      <c r="C242">
        <v>39488937</v>
      </c>
      <c r="D242">
        <v>36799065</v>
      </c>
      <c r="E242">
        <v>17</v>
      </c>
      <c r="F242">
        <v>1</v>
      </c>
      <c r="G242">
        <v>1</v>
      </c>
      <c r="H242">
        <v>3</v>
      </c>
      <c r="I242" t="s">
        <v>835</v>
      </c>
      <c r="J242" t="s">
        <v>3</v>
      </c>
      <c r="K242" t="s">
        <v>836</v>
      </c>
      <c r="L242">
        <v>1374</v>
      </c>
      <c r="N242">
        <v>1013</v>
      </c>
      <c r="O242" t="s">
        <v>837</v>
      </c>
      <c r="P242" t="s">
        <v>837</v>
      </c>
      <c r="Q242">
        <v>1</v>
      </c>
      <c r="X242">
        <v>0.1</v>
      </c>
      <c r="Y242">
        <v>1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3</v>
      </c>
      <c r="AG242">
        <v>0.1</v>
      </c>
      <c r="AH242">
        <v>2</v>
      </c>
      <c r="AI242">
        <v>39488942</v>
      </c>
      <c r="AJ242">
        <v>244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ROW(Source!A175)</f>
        <v>175</v>
      </c>
      <c r="B243">
        <v>39488957</v>
      </c>
      <c r="C243">
        <v>39488956</v>
      </c>
      <c r="D243">
        <v>37070202</v>
      </c>
      <c r="E243">
        <v>1</v>
      </c>
      <c r="F243">
        <v>1</v>
      </c>
      <c r="G243">
        <v>1</v>
      </c>
      <c r="H243">
        <v>1</v>
      </c>
      <c r="I243" t="s">
        <v>677</v>
      </c>
      <c r="J243" t="s">
        <v>3</v>
      </c>
      <c r="K243" t="s">
        <v>678</v>
      </c>
      <c r="L243">
        <v>1191</v>
      </c>
      <c r="N243">
        <v>1013</v>
      </c>
      <c r="O243" t="s">
        <v>660</v>
      </c>
      <c r="P243" t="s">
        <v>660</v>
      </c>
      <c r="Q243">
        <v>1</v>
      </c>
      <c r="X243">
        <v>20.329999999999998</v>
      </c>
      <c r="Y243">
        <v>0</v>
      </c>
      <c r="Z243">
        <v>0</v>
      </c>
      <c r="AA243">
        <v>0</v>
      </c>
      <c r="AB243">
        <v>9.51</v>
      </c>
      <c r="AC243">
        <v>0</v>
      </c>
      <c r="AD243">
        <v>1</v>
      </c>
      <c r="AE243">
        <v>1</v>
      </c>
      <c r="AF243" t="s">
        <v>3</v>
      </c>
      <c r="AG243">
        <v>20.329999999999998</v>
      </c>
      <c r="AH243">
        <v>2</v>
      </c>
      <c r="AI243">
        <v>39488957</v>
      </c>
      <c r="AJ243">
        <v>245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ROW(Source!A175)</f>
        <v>175</v>
      </c>
      <c r="B244">
        <v>39488958</v>
      </c>
      <c r="C244">
        <v>39488956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661</v>
      </c>
      <c r="J244" t="s">
        <v>3</v>
      </c>
      <c r="K244" t="s">
        <v>662</v>
      </c>
      <c r="L244">
        <v>1191</v>
      </c>
      <c r="N244">
        <v>1013</v>
      </c>
      <c r="O244" t="s">
        <v>660</v>
      </c>
      <c r="P244" t="s">
        <v>660</v>
      </c>
      <c r="Q244">
        <v>1</v>
      </c>
      <c r="X244">
        <v>0.01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3</v>
      </c>
      <c r="AG244">
        <v>0.01</v>
      </c>
      <c r="AH244">
        <v>2</v>
      </c>
      <c r="AI244">
        <v>39488958</v>
      </c>
      <c r="AJ244">
        <v>246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ROW(Source!A175)</f>
        <v>175</v>
      </c>
      <c r="B245">
        <v>39488959</v>
      </c>
      <c r="C245">
        <v>39488956</v>
      </c>
      <c r="D245">
        <v>36882452</v>
      </c>
      <c r="E245">
        <v>1</v>
      </c>
      <c r="F245">
        <v>1</v>
      </c>
      <c r="G245">
        <v>1</v>
      </c>
      <c r="H245">
        <v>2</v>
      </c>
      <c r="I245" t="s">
        <v>663</v>
      </c>
      <c r="J245" t="s">
        <v>664</v>
      </c>
      <c r="K245" t="s">
        <v>665</v>
      </c>
      <c r="L245">
        <v>1368</v>
      </c>
      <c r="N245">
        <v>1011</v>
      </c>
      <c r="O245" t="s">
        <v>666</v>
      </c>
      <c r="P245" t="s">
        <v>666</v>
      </c>
      <c r="Q245">
        <v>1</v>
      </c>
      <c r="X245">
        <v>0.01</v>
      </c>
      <c r="Y245">
        <v>0</v>
      </c>
      <c r="Z245">
        <v>31.26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0.01</v>
      </c>
      <c r="AH245">
        <v>2</v>
      </c>
      <c r="AI245">
        <v>39488959</v>
      </c>
      <c r="AJ245">
        <v>247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ROW(Source!A175)</f>
        <v>175</v>
      </c>
      <c r="B246">
        <v>39488960</v>
      </c>
      <c r="C246">
        <v>39488956</v>
      </c>
      <c r="D246">
        <v>36804582</v>
      </c>
      <c r="E246">
        <v>1</v>
      </c>
      <c r="F246">
        <v>1</v>
      </c>
      <c r="G246">
        <v>1</v>
      </c>
      <c r="H246">
        <v>3</v>
      </c>
      <c r="I246" t="s">
        <v>829</v>
      </c>
      <c r="J246" t="s">
        <v>830</v>
      </c>
      <c r="K246" t="s">
        <v>831</v>
      </c>
      <c r="L246">
        <v>1356</v>
      </c>
      <c r="N246">
        <v>1010</v>
      </c>
      <c r="O246" t="s">
        <v>741</v>
      </c>
      <c r="P246" t="s">
        <v>741</v>
      </c>
      <c r="Q246">
        <v>1000</v>
      </c>
      <c r="X246">
        <v>0.4</v>
      </c>
      <c r="Y246">
        <v>180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0.4</v>
      </c>
      <c r="AH246">
        <v>2</v>
      </c>
      <c r="AI246">
        <v>39488960</v>
      </c>
      <c r="AJ246">
        <v>248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ROW(Source!A175)</f>
        <v>175</v>
      </c>
      <c r="B247">
        <v>39488961</v>
      </c>
      <c r="C247">
        <v>39488956</v>
      </c>
      <c r="D247">
        <v>36804944</v>
      </c>
      <c r="E247">
        <v>1</v>
      </c>
      <c r="F247">
        <v>1</v>
      </c>
      <c r="G247">
        <v>1</v>
      </c>
      <c r="H247">
        <v>3</v>
      </c>
      <c r="I247" t="s">
        <v>832</v>
      </c>
      <c r="J247" t="s">
        <v>833</v>
      </c>
      <c r="K247" t="s">
        <v>834</v>
      </c>
      <c r="L247">
        <v>1348</v>
      </c>
      <c r="N247">
        <v>1009</v>
      </c>
      <c r="O247" t="s">
        <v>110</v>
      </c>
      <c r="P247" t="s">
        <v>110</v>
      </c>
      <c r="Q247">
        <v>1000</v>
      </c>
      <c r="X247">
        <v>1.4E-3</v>
      </c>
      <c r="Y247">
        <v>12430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1.4E-3</v>
      </c>
      <c r="AH247">
        <v>2</v>
      </c>
      <c r="AI247">
        <v>39488961</v>
      </c>
      <c r="AJ247">
        <v>249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ROW(Source!A175)</f>
        <v>175</v>
      </c>
      <c r="B248">
        <v>39488962</v>
      </c>
      <c r="C248">
        <v>39488956</v>
      </c>
      <c r="D248">
        <v>36799065</v>
      </c>
      <c r="E248">
        <v>17</v>
      </c>
      <c r="F248">
        <v>1</v>
      </c>
      <c r="G248">
        <v>1</v>
      </c>
      <c r="H248">
        <v>3</v>
      </c>
      <c r="I248" t="s">
        <v>835</v>
      </c>
      <c r="J248" t="s">
        <v>3</v>
      </c>
      <c r="K248" t="s">
        <v>836</v>
      </c>
      <c r="L248">
        <v>1374</v>
      </c>
      <c r="N248">
        <v>1013</v>
      </c>
      <c r="O248" t="s">
        <v>837</v>
      </c>
      <c r="P248" t="s">
        <v>837</v>
      </c>
      <c r="Q248">
        <v>1</v>
      </c>
      <c r="X248">
        <v>3.87</v>
      </c>
      <c r="Y248">
        <v>1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3.87</v>
      </c>
      <c r="AH248">
        <v>2</v>
      </c>
      <c r="AI248">
        <v>39488962</v>
      </c>
      <c r="AJ248">
        <v>251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ROW(Source!A177)</f>
        <v>177</v>
      </c>
      <c r="B249">
        <v>39096835</v>
      </c>
      <c r="C249">
        <v>39096830</v>
      </c>
      <c r="D249">
        <v>37072767</v>
      </c>
      <c r="E249">
        <v>1</v>
      </c>
      <c r="F249">
        <v>1</v>
      </c>
      <c r="G249">
        <v>1</v>
      </c>
      <c r="H249">
        <v>1</v>
      </c>
      <c r="I249" t="s">
        <v>733</v>
      </c>
      <c r="J249" t="s">
        <v>3</v>
      </c>
      <c r="K249" t="s">
        <v>734</v>
      </c>
      <c r="L249">
        <v>1191</v>
      </c>
      <c r="N249">
        <v>1013</v>
      </c>
      <c r="O249" t="s">
        <v>660</v>
      </c>
      <c r="P249" t="s">
        <v>660</v>
      </c>
      <c r="Q249">
        <v>1</v>
      </c>
      <c r="X249">
        <v>15.2</v>
      </c>
      <c r="Y249">
        <v>0</v>
      </c>
      <c r="Z249">
        <v>0</v>
      </c>
      <c r="AA249">
        <v>0</v>
      </c>
      <c r="AB249">
        <v>9.18</v>
      </c>
      <c r="AC249">
        <v>0</v>
      </c>
      <c r="AD249">
        <v>1</v>
      </c>
      <c r="AE249">
        <v>1</v>
      </c>
      <c r="AF249" t="s">
        <v>3</v>
      </c>
      <c r="AG249">
        <v>15.2</v>
      </c>
      <c r="AH249">
        <v>2</v>
      </c>
      <c r="AI249">
        <v>39096831</v>
      </c>
      <c r="AJ249">
        <v>252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ROW(Source!A177)</f>
        <v>177</v>
      </c>
      <c r="B250">
        <v>39096836</v>
      </c>
      <c r="C250">
        <v>39096830</v>
      </c>
      <c r="D250">
        <v>36804661</v>
      </c>
      <c r="E250">
        <v>1</v>
      </c>
      <c r="F250">
        <v>1</v>
      </c>
      <c r="G250">
        <v>1</v>
      </c>
      <c r="H250">
        <v>3</v>
      </c>
      <c r="I250" t="s">
        <v>899</v>
      </c>
      <c r="J250" t="s">
        <v>900</v>
      </c>
      <c r="K250" t="s">
        <v>901</v>
      </c>
      <c r="L250">
        <v>1355</v>
      </c>
      <c r="N250">
        <v>1010</v>
      </c>
      <c r="O250" t="s">
        <v>161</v>
      </c>
      <c r="P250" t="s">
        <v>161</v>
      </c>
      <c r="Q250">
        <v>100</v>
      </c>
      <c r="X250">
        <v>1.75</v>
      </c>
      <c r="Y250">
        <v>8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1.75</v>
      </c>
      <c r="AH250">
        <v>2</v>
      </c>
      <c r="AI250">
        <v>39096832</v>
      </c>
      <c r="AJ250">
        <v>253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ROW(Source!A177)</f>
        <v>177</v>
      </c>
      <c r="B251">
        <v>39096837</v>
      </c>
      <c r="C251">
        <v>39096830</v>
      </c>
      <c r="D251">
        <v>36799065</v>
      </c>
      <c r="E251">
        <v>17</v>
      </c>
      <c r="F251">
        <v>1</v>
      </c>
      <c r="G251">
        <v>1</v>
      </c>
      <c r="H251">
        <v>3</v>
      </c>
      <c r="I251" t="s">
        <v>835</v>
      </c>
      <c r="J251" t="s">
        <v>3</v>
      </c>
      <c r="K251" t="s">
        <v>836</v>
      </c>
      <c r="L251">
        <v>1374</v>
      </c>
      <c r="N251">
        <v>1013</v>
      </c>
      <c r="O251" t="s">
        <v>837</v>
      </c>
      <c r="P251" t="s">
        <v>837</v>
      </c>
      <c r="Q251">
        <v>1</v>
      </c>
      <c r="X251">
        <v>2.79</v>
      </c>
      <c r="Y251">
        <v>1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2.79</v>
      </c>
      <c r="AH251">
        <v>2</v>
      </c>
      <c r="AI251">
        <v>39096833</v>
      </c>
      <c r="AJ251">
        <v>255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ROW(Source!A179)</f>
        <v>179</v>
      </c>
      <c r="B252">
        <v>39488966</v>
      </c>
      <c r="C252">
        <v>39488965</v>
      </c>
      <c r="D252">
        <v>37064878</v>
      </c>
      <c r="E252">
        <v>1</v>
      </c>
      <c r="F252">
        <v>1</v>
      </c>
      <c r="G252">
        <v>1</v>
      </c>
      <c r="H252">
        <v>1</v>
      </c>
      <c r="I252" t="s">
        <v>744</v>
      </c>
      <c r="J252" t="s">
        <v>3</v>
      </c>
      <c r="K252" t="s">
        <v>745</v>
      </c>
      <c r="L252">
        <v>1191</v>
      </c>
      <c r="N252">
        <v>1013</v>
      </c>
      <c r="O252" t="s">
        <v>660</v>
      </c>
      <c r="P252" t="s">
        <v>660</v>
      </c>
      <c r="Q252">
        <v>1</v>
      </c>
      <c r="X252">
        <v>3.76</v>
      </c>
      <c r="Y252">
        <v>0</v>
      </c>
      <c r="Z252">
        <v>0</v>
      </c>
      <c r="AA252">
        <v>0</v>
      </c>
      <c r="AB252">
        <v>9.4</v>
      </c>
      <c r="AC252">
        <v>0</v>
      </c>
      <c r="AD252">
        <v>1</v>
      </c>
      <c r="AE252">
        <v>1</v>
      </c>
      <c r="AF252" t="s">
        <v>3</v>
      </c>
      <c r="AG252">
        <v>3.76</v>
      </c>
      <c r="AH252">
        <v>2</v>
      </c>
      <c r="AI252">
        <v>39488966</v>
      </c>
      <c r="AJ252">
        <v>256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ROW(Source!A179)</f>
        <v>179</v>
      </c>
      <c r="B253">
        <v>39488967</v>
      </c>
      <c r="C253">
        <v>39488965</v>
      </c>
      <c r="D253">
        <v>37064876</v>
      </c>
      <c r="E253">
        <v>1</v>
      </c>
      <c r="F253">
        <v>1</v>
      </c>
      <c r="G253">
        <v>1</v>
      </c>
      <c r="H253">
        <v>1</v>
      </c>
      <c r="I253" t="s">
        <v>661</v>
      </c>
      <c r="J253" t="s">
        <v>3</v>
      </c>
      <c r="K253" t="s">
        <v>662</v>
      </c>
      <c r="L253">
        <v>1191</v>
      </c>
      <c r="N253">
        <v>1013</v>
      </c>
      <c r="O253" t="s">
        <v>660</v>
      </c>
      <c r="P253" t="s">
        <v>660</v>
      </c>
      <c r="Q253">
        <v>1</v>
      </c>
      <c r="X253">
        <v>0.02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2</v>
      </c>
      <c r="AF253" t="s">
        <v>3</v>
      </c>
      <c r="AG253">
        <v>0.02</v>
      </c>
      <c r="AH253">
        <v>2</v>
      </c>
      <c r="AI253">
        <v>39488967</v>
      </c>
      <c r="AJ253">
        <v>257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ROW(Source!A179)</f>
        <v>179</v>
      </c>
      <c r="B254">
        <v>39488968</v>
      </c>
      <c r="C254">
        <v>39488965</v>
      </c>
      <c r="D254">
        <v>36882159</v>
      </c>
      <c r="E254">
        <v>1</v>
      </c>
      <c r="F254">
        <v>1</v>
      </c>
      <c r="G254">
        <v>1</v>
      </c>
      <c r="H254">
        <v>2</v>
      </c>
      <c r="I254" t="s">
        <v>802</v>
      </c>
      <c r="J254" t="s">
        <v>803</v>
      </c>
      <c r="K254" t="s">
        <v>804</v>
      </c>
      <c r="L254">
        <v>1368</v>
      </c>
      <c r="N254">
        <v>1011</v>
      </c>
      <c r="O254" t="s">
        <v>666</v>
      </c>
      <c r="P254" t="s">
        <v>666</v>
      </c>
      <c r="Q254">
        <v>1</v>
      </c>
      <c r="X254">
        <v>0.01</v>
      </c>
      <c r="Y254">
        <v>0</v>
      </c>
      <c r="Z254">
        <v>111.99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0.01</v>
      </c>
      <c r="AH254">
        <v>2</v>
      </c>
      <c r="AI254">
        <v>39488968</v>
      </c>
      <c r="AJ254">
        <v>258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ROW(Source!A179)</f>
        <v>179</v>
      </c>
      <c r="B255">
        <v>39488969</v>
      </c>
      <c r="C255">
        <v>39488965</v>
      </c>
      <c r="D255">
        <v>36883554</v>
      </c>
      <c r="E255">
        <v>1</v>
      </c>
      <c r="F255">
        <v>1</v>
      </c>
      <c r="G255">
        <v>1</v>
      </c>
      <c r="H255">
        <v>2</v>
      </c>
      <c r="I255" t="s">
        <v>679</v>
      </c>
      <c r="J255" t="s">
        <v>680</v>
      </c>
      <c r="K255" t="s">
        <v>681</v>
      </c>
      <c r="L255">
        <v>1368</v>
      </c>
      <c r="N255">
        <v>1011</v>
      </c>
      <c r="O255" t="s">
        <v>666</v>
      </c>
      <c r="P255" t="s">
        <v>666</v>
      </c>
      <c r="Q255">
        <v>1</v>
      </c>
      <c r="X255">
        <v>0.01</v>
      </c>
      <c r="Y255">
        <v>0</v>
      </c>
      <c r="Z255">
        <v>65.709999999999994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0.01</v>
      </c>
      <c r="AH255">
        <v>2</v>
      </c>
      <c r="AI255">
        <v>39488969</v>
      </c>
      <c r="AJ255">
        <v>259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ROW(Source!A179)</f>
        <v>179</v>
      </c>
      <c r="B256">
        <v>39488970</v>
      </c>
      <c r="C256">
        <v>39488965</v>
      </c>
      <c r="D256">
        <v>36802094</v>
      </c>
      <c r="E256">
        <v>1</v>
      </c>
      <c r="F256">
        <v>1</v>
      </c>
      <c r="G256">
        <v>1</v>
      </c>
      <c r="H256">
        <v>3</v>
      </c>
      <c r="I256" t="s">
        <v>852</v>
      </c>
      <c r="J256" t="s">
        <v>853</v>
      </c>
      <c r="K256" t="s">
        <v>854</v>
      </c>
      <c r="L256">
        <v>1346</v>
      </c>
      <c r="N256">
        <v>1009</v>
      </c>
      <c r="O256" t="s">
        <v>138</v>
      </c>
      <c r="P256" t="s">
        <v>138</v>
      </c>
      <c r="Q256">
        <v>1</v>
      </c>
      <c r="X256">
        <v>0.16</v>
      </c>
      <c r="Y256">
        <v>30.4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0.16</v>
      </c>
      <c r="AH256">
        <v>2</v>
      </c>
      <c r="AI256">
        <v>39488970</v>
      </c>
      <c r="AJ256">
        <v>260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ROW(Source!A179)</f>
        <v>179</v>
      </c>
      <c r="B257">
        <v>39488971</v>
      </c>
      <c r="C257">
        <v>39488965</v>
      </c>
      <c r="D257">
        <v>36802106</v>
      </c>
      <c r="E257">
        <v>1</v>
      </c>
      <c r="F257">
        <v>1</v>
      </c>
      <c r="G257">
        <v>1</v>
      </c>
      <c r="H257">
        <v>3</v>
      </c>
      <c r="I257" t="s">
        <v>902</v>
      </c>
      <c r="J257" t="s">
        <v>903</v>
      </c>
      <c r="K257" t="s">
        <v>904</v>
      </c>
      <c r="L257">
        <v>1308</v>
      </c>
      <c r="N257">
        <v>1003</v>
      </c>
      <c r="O257" t="s">
        <v>27</v>
      </c>
      <c r="P257" t="s">
        <v>27</v>
      </c>
      <c r="Q257">
        <v>100</v>
      </c>
      <c r="X257">
        <v>5.5E-2</v>
      </c>
      <c r="Y257">
        <v>120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5.5E-2</v>
      </c>
      <c r="AH257">
        <v>2</v>
      </c>
      <c r="AI257">
        <v>39488971</v>
      </c>
      <c r="AJ257">
        <v>261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ROW(Source!A179)</f>
        <v>179</v>
      </c>
      <c r="B258">
        <v>39488972</v>
      </c>
      <c r="C258">
        <v>39488965</v>
      </c>
      <c r="D258">
        <v>36838317</v>
      </c>
      <c r="E258">
        <v>1</v>
      </c>
      <c r="F258">
        <v>1</v>
      </c>
      <c r="G258">
        <v>1</v>
      </c>
      <c r="H258">
        <v>3</v>
      </c>
      <c r="I258" t="s">
        <v>870</v>
      </c>
      <c r="J258" t="s">
        <v>871</v>
      </c>
      <c r="K258" t="s">
        <v>872</v>
      </c>
      <c r="L258">
        <v>1346</v>
      </c>
      <c r="N258">
        <v>1009</v>
      </c>
      <c r="O258" t="s">
        <v>138</v>
      </c>
      <c r="P258" t="s">
        <v>138</v>
      </c>
      <c r="Q258">
        <v>1</v>
      </c>
      <c r="X258">
        <v>0.05</v>
      </c>
      <c r="Y258">
        <v>28.6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0.05</v>
      </c>
      <c r="AH258">
        <v>2</v>
      </c>
      <c r="AI258">
        <v>39488972</v>
      </c>
      <c r="AJ258">
        <v>262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ROW(Source!A179)</f>
        <v>179</v>
      </c>
      <c r="B259">
        <v>39488973</v>
      </c>
      <c r="C259">
        <v>39488965</v>
      </c>
      <c r="D259">
        <v>36799065</v>
      </c>
      <c r="E259">
        <v>17</v>
      </c>
      <c r="F259">
        <v>1</v>
      </c>
      <c r="G259">
        <v>1</v>
      </c>
      <c r="H259">
        <v>3</v>
      </c>
      <c r="I259" t="s">
        <v>835</v>
      </c>
      <c r="J259" t="s">
        <v>3</v>
      </c>
      <c r="K259" t="s">
        <v>836</v>
      </c>
      <c r="L259">
        <v>1374</v>
      </c>
      <c r="N259">
        <v>1013</v>
      </c>
      <c r="O259" t="s">
        <v>837</v>
      </c>
      <c r="P259" t="s">
        <v>837</v>
      </c>
      <c r="Q259">
        <v>1</v>
      </c>
      <c r="X259">
        <v>0.71</v>
      </c>
      <c r="Y259">
        <v>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0.71</v>
      </c>
      <c r="AH259">
        <v>2</v>
      </c>
      <c r="AI259">
        <v>39488973</v>
      </c>
      <c r="AJ259">
        <v>264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ROW(Source!A181)</f>
        <v>181</v>
      </c>
      <c r="B260">
        <v>39096870</v>
      </c>
      <c r="C260">
        <v>39096858</v>
      </c>
      <c r="D260">
        <v>37064878</v>
      </c>
      <c r="E260">
        <v>1</v>
      </c>
      <c r="F260">
        <v>1</v>
      </c>
      <c r="G260">
        <v>1</v>
      </c>
      <c r="H260">
        <v>1</v>
      </c>
      <c r="I260" t="s">
        <v>744</v>
      </c>
      <c r="J260" t="s">
        <v>3</v>
      </c>
      <c r="K260" t="s">
        <v>745</v>
      </c>
      <c r="L260">
        <v>1191</v>
      </c>
      <c r="N260">
        <v>1013</v>
      </c>
      <c r="O260" t="s">
        <v>660</v>
      </c>
      <c r="P260" t="s">
        <v>660</v>
      </c>
      <c r="Q260">
        <v>1</v>
      </c>
      <c r="X260">
        <v>6.29</v>
      </c>
      <c r="Y260">
        <v>0</v>
      </c>
      <c r="Z260">
        <v>0</v>
      </c>
      <c r="AA260">
        <v>0</v>
      </c>
      <c r="AB260">
        <v>9.4</v>
      </c>
      <c r="AC260">
        <v>0</v>
      </c>
      <c r="AD260">
        <v>1</v>
      </c>
      <c r="AE260">
        <v>1</v>
      </c>
      <c r="AF260" t="s">
        <v>3</v>
      </c>
      <c r="AG260">
        <v>6.29</v>
      </c>
      <c r="AH260">
        <v>2</v>
      </c>
      <c r="AI260">
        <v>39096859</v>
      </c>
      <c r="AJ260">
        <v>265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ROW(Source!A181)</f>
        <v>181</v>
      </c>
      <c r="B261">
        <v>39096871</v>
      </c>
      <c r="C261">
        <v>39096858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661</v>
      </c>
      <c r="J261" t="s">
        <v>3</v>
      </c>
      <c r="K261" t="s">
        <v>662</v>
      </c>
      <c r="L261">
        <v>1191</v>
      </c>
      <c r="N261">
        <v>1013</v>
      </c>
      <c r="O261" t="s">
        <v>660</v>
      </c>
      <c r="P261" t="s">
        <v>660</v>
      </c>
      <c r="Q261">
        <v>1</v>
      </c>
      <c r="X261">
        <v>0.06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2</v>
      </c>
      <c r="AF261" t="s">
        <v>3</v>
      </c>
      <c r="AG261">
        <v>0.06</v>
      </c>
      <c r="AH261">
        <v>2</v>
      </c>
      <c r="AI261">
        <v>39096860</v>
      </c>
      <c r="AJ261">
        <v>266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ROW(Source!A181)</f>
        <v>181</v>
      </c>
      <c r="B262">
        <v>39096872</v>
      </c>
      <c r="C262">
        <v>39096858</v>
      </c>
      <c r="D262">
        <v>36882159</v>
      </c>
      <c r="E262">
        <v>1</v>
      </c>
      <c r="F262">
        <v>1</v>
      </c>
      <c r="G262">
        <v>1</v>
      </c>
      <c r="H262">
        <v>2</v>
      </c>
      <c r="I262" t="s">
        <v>802</v>
      </c>
      <c r="J262" t="s">
        <v>803</v>
      </c>
      <c r="K262" t="s">
        <v>804</v>
      </c>
      <c r="L262">
        <v>1368</v>
      </c>
      <c r="N262">
        <v>1011</v>
      </c>
      <c r="O262" t="s">
        <v>666</v>
      </c>
      <c r="P262" t="s">
        <v>666</v>
      </c>
      <c r="Q262">
        <v>1</v>
      </c>
      <c r="X262">
        <v>0.03</v>
      </c>
      <c r="Y262">
        <v>0</v>
      </c>
      <c r="Z262">
        <v>111.99</v>
      </c>
      <c r="AA262">
        <v>13.5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0.03</v>
      </c>
      <c r="AH262">
        <v>2</v>
      </c>
      <c r="AI262">
        <v>39096861</v>
      </c>
      <c r="AJ262">
        <v>267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ROW(Source!A181)</f>
        <v>181</v>
      </c>
      <c r="B263">
        <v>39096873</v>
      </c>
      <c r="C263">
        <v>39096858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679</v>
      </c>
      <c r="J263" t="s">
        <v>680</v>
      </c>
      <c r="K263" t="s">
        <v>681</v>
      </c>
      <c r="L263">
        <v>1368</v>
      </c>
      <c r="N263">
        <v>1011</v>
      </c>
      <c r="O263" t="s">
        <v>666</v>
      </c>
      <c r="P263" t="s">
        <v>666</v>
      </c>
      <c r="Q263">
        <v>1</v>
      </c>
      <c r="X263">
        <v>0.03</v>
      </c>
      <c r="Y263">
        <v>0</v>
      </c>
      <c r="Z263">
        <v>65.709999999999994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0.03</v>
      </c>
      <c r="AH263">
        <v>2</v>
      </c>
      <c r="AI263">
        <v>39096862</v>
      </c>
      <c r="AJ263">
        <v>268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ROW(Source!A181)</f>
        <v>181</v>
      </c>
      <c r="B264">
        <v>39096874</v>
      </c>
      <c r="C264">
        <v>39096858</v>
      </c>
      <c r="D264">
        <v>36802094</v>
      </c>
      <c r="E264">
        <v>1</v>
      </c>
      <c r="F264">
        <v>1</v>
      </c>
      <c r="G264">
        <v>1</v>
      </c>
      <c r="H264">
        <v>3</v>
      </c>
      <c r="I264" t="s">
        <v>852</v>
      </c>
      <c r="J264" t="s">
        <v>853</v>
      </c>
      <c r="K264" t="s">
        <v>854</v>
      </c>
      <c r="L264">
        <v>1346</v>
      </c>
      <c r="N264">
        <v>1009</v>
      </c>
      <c r="O264" t="s">
        <v>138</v>
      </c>
      <c r="P264" t="s">
        <v>138</v>
      </c>
      <c r="Q264">
        <v>1</v>
      </c>
      <c r="X264">
        <v>0.32</v>
      </c>
      <c r="Y264">
        <v>30.4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0.32</v>
      </c>
      <c r="AH264">
        <v>2</v>
      </c>
      <c r="AI264">
        <v>39096863</v>
      </c>
      <c r="AJ264">
        <v>269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ROW(Source!A181)</f>
        <v>181</v>
      </c>
      <c r="B265">
        <v>39096875</v>
      </c>
      <c r="C265">
        <v>39096858</v>
      </c>
      <c r="D265">
        <v>36802373</v>
      </c>
      <c r="E265">
        <v>1</v>
      </c>
      <c r="F265">
        <v>1</v>
      </c>
      <c r="G265">
        <v>1</v>
      </c>
      <c r="H265">
        <v>3</v>
      </c>
      <c r="I265" t="s">
        <v>905</v>
      </c>
      <c r="J265" t="s">
        <v>906</v>
      </c>
      <c r="K265" t="s">
        <v>907</v>
      </c>
      <c r="L265">
        <v>1348</v>
      </c>
      <c r="N265">
        <v>1009</v>
      </c>
      <c r="O265" t="s">
        <v>110</v>
      </c>
      <c r="P265" t="s">
        <v>110</v>
      </c>
      <c r="Q265">
        <v>1000</v>
      </c>
      <c r="X265">
        <v>1.0499999999999999E-3</v>
      </c>
      <c r="Y265">
        <v>1820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1.0499999999999999E-3</v>
      </c>
      <c r="AH265">
        <v>2</v>
      </c>
      <c r="AI265">
        <v>39096864</v>
      </c>
      <c r="AJ265">
        <v>270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ROW(Source!A181)</f>
        <v>181</v>
      </c>
      <c r="B266">
        <v>39096876</v>
      </c>
      <c r="C266">
        <v>39096858</v>
      </c>
      <c r="D266">
        <v>36838317</v>
      </c>
      <c r="E266">
        <v>1</v>
      </c>
      <c r="F266">
        <v>1</v>
      </c>
      <c r="G266">
        <v>1</v>
      </c>
      <c r="H266">
        <v>3</v>
      </c>
      <c r="I266" t="s">
        <v>870</v>
      </c>
      <c r="J266" t="s">
        <v>871</v>
      </c>
      <c r="K266" t="s">
        <v>872</v>
      </c>
      <c r="L266">
        <v>1346</v>
      </c>
      <c r="N266">
        <v>1009</v>
      </c>
      <c r="O266" t="s">
        <v>138</v>
      </c>
      <c r="P266" t="s">
        <v>138</v>
      </c>
      <c r="Q266">
        <v>1</v>
      </c>
      <c r="X266">
        <v>0.02</v>
      </c>
      <c r="Y266">
        <v>28.6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0.02</v>
      </c>
      <c r="AH266">
        <v>2</v>
      </c>
      <c r="AI266">
        <v>39096865</v>
      </c>
      <c r="AJ266">
        <v>271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ROW(Source!A181)</f>
        <v>181</v>
      </c>
      <c r="B267">
        <v>39096877</v>
      </c>
      <c r="C267">
        <v>39096858</v>
      </c>
      <c r="D267">
        <v>36852011</v>
      </c>
      <c r="E267">
        <v>1</v>
      </c>
      <c r="F267">
        <v>1</v>
      </c>
      <c r="G267">
        <v>1</v>
      </c>
      <c r="H267">
        <v>3</v>
      </c>
      <c r="I267" t="s">
        <v>908</v>
      </c>
      <c r="J267" t="s">
        <v>909</v>
      </c>
      <c r="K267" t="s">
        <v>910</v>
      </c>
      <c r="L267">
        <v>1355</v>
      </c>
      <c r="N267">
        <v>1010</v>
      </c>
      <c r="O267" t="s">
        <v>161</v>
      </c>
      <c r="P267" t="s">
        <v>161</v>
      </c>
      <c r="Q267">
        <v>100</v>
      </c>
      <c r="X267">
        <v>0.05</v>
      </c>
      <c r="Y267">
        <v>143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0.05</v>
      </c>
      <c r="AH267">
        <v>2</v>
      </c>
      <c r="AI267">
        <v>39096866</v>
      </c>
      <c r="AJ267">
        <v>272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ROW(Source!A181)</f>
        <v>181</v>
      </c>
      <c r="B268">
        <v>39096878</v>
      </c>
      <c r="C268">
        <v>39096858</v>
      </c>
      <c r="D268">
        <v>36852061</v>
      </c>
      <c r="E268">
        <v>1</v>
      </c>
      <c r="F268">
        <v>1</v>
      </c>
      <c r="G268">
        <v>1</v>
      </c>
      <c r="H268">
        <v>3</v>
      </c>
      <c r="I268" t="s">
        <v>911</v>
      </c>
      <c r="J268" t="s">
        <v>912</v>
      </c>
      <c r="K268" t="s">
        <v>913</v>
      </c>
      <c r="L268">
        <v>1356</v>
      </c>
      <c r="N268">
        <v>1010</v>
      </c>
      <c r="O268" t="s">
        <v>741</v>
      </c>
      <c r="P268" t="s">
        <v>741</v>
      </c>
      <c r="Q268">
        <v>1000</v>
      </c>
      <c r="X268">
        <v>1.2200000000000001E-2</v>
      </c>
      <c r="Y268">
        <v>176.21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1.2200000000000001E-2</v>
      </c>
      <c r="AH268">
        <v>2</v>
      </c>
      <c r="AI268">
        <v>39096867</v>
      </c>
      <c r="AJ268">
        <v>273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ROW(Source!A181)</f>
        <v>181</v>
      </c>
      <c r="B269">
        <v>39096879</v>
      </c>
      <c r="C269">
        <v>39096858</v>
      </c>
      <c r="D269">
        <v>36799065</v>
      </c>
      <c r="E269">
        <v>17</v>
      </c>
      <c r="F269">
        <v>1</v>
      </c>
      <c r="G269">
        <v>1</v>
      </c>
      <c r="H269">
        <v>3</v>
      </c>
      <c r="I269" t="s">
        <v>835</v>
      </c>
      <c r="J269" t="s">
        <v>3</v>
      </c>
      <c r="K269" t="s">
        <v>836</v>
      </c>
      <c r="L269">
        <v>1374</v>
      </c>
      <c r="N269">
        <v>1013</v>
      </c>
      <c r="O269" t="s">
        <v>837</v>
      </c>
      <c r="P269" t="s">
        <v>837</v>
      </c>
      <c r="Q269">
        <v>1</v>
      </c>
      <c r="X269">
        <v>1.18</v>
      </c>
      <c r="Y269">
        <v>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1.18</v>
      </c>
      <c r="AH269">
        <v>2</v>
      </c>
      <c r="AI269">
        <v>39096868</v>
      </c>
      <c r="AJ269">
        <v>275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ROW(Source!A183)</f>
        <v>183</v>
      </c>
      <c r="B270">
        <v>39490120</v>
      </c>
      <c r="C270">
        <v>39490119</v>
      </c>
      <c r="D270">
        <v>37080781</v>
      </c>
      <c r="E270">
        <v>1</v>
      </c>
      <c r="F270">
        <v>1</v>
      </c>
      <c r="G270">
        <v>1</v>
      </c>
      <c r="H270">
        <v>1</v>
      </c>
      <c r="I270" t="s">
        <v>702</v>
      </c>
      <c r="J270" t="s">
        <v>3</v>
      </c>
      <c r="K270" t="s">
        <v>703</v>
      </c>
      <c r="L270">
        <v>1191</v>
      </c>
      <c r="N270">
        <v>1013</v>
      </c>
      <c r="O270" t="s">
        <v>660</v>
      </c>
      <c r="P270" t="s">
        <v>660</v>
      </c>
      <c r="Q270">
        <v>1</v>
      </c>
      <c r="X270">
        <v>35.130000000000003</v>
      </c>
      <c r="Y270">
        <v>0</v>
      </c>
      <c r="Z270">
        <v>0</v>
      </c>
      <c r="AA270">
        <v>0</v>
      </c>
      <c r="AB270">
        <v>9.92</v>
      </c>
      <c r="AC270">
        <v>0</v>
      </c>
      <c r="AD270">
        <v>1</v>
      </c>
      <c r="AE270">
        <v>1</v>
      </c>
      <c r="AF270" t="s">
        <v>3</v>
      </c>
      <c r="AG270">
        <v>35.130000000000003</v>
      </c>
      <c r="AH270">
        <v>2</v>
      </c>
      <c r="AI270">
        <v>39490120</v>
      </c>
      <c r="AJ270">
        <v>276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ROW(Source!A183)</f>
        <v>183</v>
      </c>
      <c r="B271">
        <v>39490121</v>
      </c>
      <c r="C271">
        <v>39490119</v>
      </c>
      <c r="D271">
        <v>37064876</v>
      </c>
      <c r="E271">
        <v>1</v>
      </c>
      <c r="F271">
        <v>1</v>
      </c>
      <c r="G271">
        <v>1</v>
      </c>
      <c r="H271">
        <v>1</v>
      </c>
      <c r="I271" t="s">
        <v>661</v>
      </c>
      <c r="J271" t="s">
        <v>3</v>
      </c>
      <c r="K271" t="s">
        <v>662</v>
      </c>
      <c r="L271">
        <v>1191</v>
      </c>
      <c r="N271">
        <v>1013</v>
      </c>
      <c r="O271" t="s">
        <v>660</v>
      </c>
      <c r="P271" t="s">
        <v>660</v>
      </c>
      <c r="Q271">
        <v>1</v>
      </c>
      <c r="X271">
        <v>0.05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2</v>
      </c>
      <c r="AF271" t="s">
        <v>3</v>
      </c>
      <c r="AG271">
        <v>0.05</v>
      </c>
      <c r="AH271">
        <v>2</v>
      </c>
      <c r="AI271">
        <v>39490121</v>
      </c>
      <c r="AJ271">
        <v>277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ROW(Source!A183)</f>
        <v>183</v>
      </c>
      <c r="B272">
        <v>39490122</v>
      </c>
      <c r="C272">
        <v>39490119</v>
      </c>
      <c r="D272">
        <v>36882159</v>
      </c>
      <c r="E272">
        <v>1</v>
      </c>
      <c r="F272">
        <v>1</v>
      </c>
      <c r="G272">
        <v>1</v>
      </c>
      <c r="H272">
        <v>2</v>
      </c>
      <c r="I272" t="s">
        <v>802</v>
      </c>
      <c r="J272" t="s">
        <v>803</v>
      </c>
      <c r="K272" t="s">
        <v>804</v>
      </c>
      <c r="L272">
        <v>1368</v>
      </c>
      <c r="N272">
        <v>1011</v>
      </c>
      <c r="O272" t="s">
        <v>666</v>
      </c>
      <c r="P272" t="s">
        <v>666</v>
      </c>
      <c r="Q272">
        <v>1</v>
      </c>
      <c r="X272">
        <v>0.03</v>
      </c>
      <c r="Y272">
        <v>0</v>
      </c>
      <c r="Z272">
        <v>111.99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0.03</v>
      </c>
      <c r="AH272">
        <v>2</v>
      </c>
      <c r="AI272">
        <v>39490122</v>
      </c>
      <c r="AJ272">
        <v>278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ROW(Source!A183)</f>
        <v>183</v>
      </c>
      <c r="B273">
        <v>39490123</v>
      </c>
      <c r="C273">
        <v>39490119</v>
      </c>
      <c r="D273">
        <v>36883554</v>
      </c>
      <c r="E273">
        <v>1</v>
      </c>
      <c r="F273">
        <v>1</v>
      </c>
      <c r="G273">
        <v>1</v>
      </c>
      <c r="H273">
        <v>2</v>
      </c>
      <c r="I273" t="s">
        <v>679</v>
      </c>
      <c r="J273" t="s">
        <v>680</v>
      </c>
      <c r="K273" t="s">
        <v>681</v>
      </c>
      <c r="L273">
        <v>1368</v>
      </c>
      <c r="N273">
        <v>1011</v>
      </c>
      <c r="O273" t="s">
        <v>666</v>
      </c>
      <c r="P273" t="s">
        <v>666</v>
      </c>
      <c r="Q273">
        <v>1</v>
      </c>
      <c r="X273">
        <v>0.02</v>
      </c>
      <c r="Y273">
        <v>0</v>
      </c>
      <c r="Z273">
        <v>65.709999999999994</v>
      </c>
      <c r="AA273">
        <v>11.6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0.02</v>
      </c>
      <c r="AH273">
        <v>2</v>
      </c>
      <c r="AI273">
        <v>39490123</v>
      </c>
      <c r="AJ273">
        <v>279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ROW(Source!A183)</f>
        <v>183</v>
      </c>
      <c r="B274">
        <v>39490124</v>
      </c>
      <c r="C274">
        <v>39490119</v>
      </c>
      <c r="D274">
        <v>36804580</v>
      </c>
      <c r="E274">
        <v>1</v>
      </c>
      <c r="F274">
        <v>1</v>
      </c>
      <c r="G274">
        <v>1</v>
      </c>
      <c r="H274">
        <v>3</v>
      </c>
      <c r="I274" t="s">
        <v>861</v>
      </c>
      <c r="J274" t="s">
        <v>862</v>
      </c>
      <c r="K274" t="s">
        <v>863</v>
      </c>
      <c r="L274">
        <v>1355</v>
      </c>
      <c r="N274">
        <v>1010</v>
      </c>
      <c r="O274" t="s">
        <v>161</v>
      </c>
      <c r="P274" t="s">
        <v>161</v>
      </c>
      <c r="Q274">
        <v>100</v>
      </c>
      <c r="X274">
        <v>1.02</v>
      </c>
      <c r="Y274">
        <v>86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1.02</v>
      </c>
      <c r="AH274">
        <v>2</v>
      </c>
      <c r="AI274">
        <v>39490124</v>
      </c>
      <c r="AJ274">
        <v>280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ROW(Source!A183)</f>
        <v>183</v>
      </c>
      <c r="B275">
        <v>39490125</v>
      </c>
      <c r="C275">
        <v>39490119</v>
      </c>
      <c r="D275">
        <v>36804940</v>
      </c>
      <c r="E275">
        <v>1</v>
      </c>
      <c r="F275">
        <v>1</v>
      </c>
      <c r="G275">
        <v>1</v>
      </c>
      <c r="H275">
        <v>3</v>
      </c>
      <c r="I275" t="s">
        <v>914</v>
      </c>
      <c r="J275" t="s">
        <v>915</v>
      </c>
      <c r="K275" t="s">
        <v>916</v>
      </c>
      <c r="L275">
        <v>1348</v>
      </c>
      <c r="N275">
        <v>1009</v>
      </c>
      <c r="O275" t="s">
        <v>110</v>
      </c>
      <c r="P275" t="s">
        <v>110</v>
      </c>
      <c r="Q275">
        <v>1000</v>
      </c>
      <c r="X275">
        <v>1.6000000000000001E-4</v>
      </c>
      <c r="Y275">
        <v>29800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1.6000000000000001E-4</v>
      </c>
      <c r="AH275">
        <v>2</v>
      </c>
      <c r="AI275">
        <v>39490125</v>
      </c>
      <c r="AJ275">
        <v>281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ROW(Source!A183)</f>
        <v>183</v>
      </c>
      <c r="B276">
        <v>39490126</v>
      </c>
      <c r="C276">
        <v>39490119</v>
      </c>
      <c r="D276">
        <v>36804944</v>
      </c>
      <c r="E276">
        <v>1</v>
      </c>
      <c r="F276">
        <v>1</v>
      </c>
      <c r="G276">
        <v>1</v>
      </c>
      <c r="H276">
        <v>3</v>
      </c>
      <c r="I276" t="s">
        <v>832</v>
      </c>
      <c r="J276" t="s">
        <v>833</v>
      </c>
      <c r="K276" t="s">
        <v>834</v>
      </c>
      <c r="L276">
        <v>1348</v>
      </c>
      <c r="N276">
        <v>1009</v>
      </c>
      <c r="O276" t="s">
        <v>110</v>
      </c>
      <c r="P276" t="s">
        <v>110</v>
      </c>
      <c r="Q276">
        <v>1000</v>
      </c>
      <c r="X276">
        <v>2.9999999999999997E-4</v>
      </c>
      <c r="Y276">
        <v>12430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2.9999999999999997E-4</v>
      </c>
      <c r="AH276">
        <v>2</v>
      </c>
      <c r="AI276">
        <v>39490126</v>
      </c>
      <c r="AJ276">
        <v>282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ROW(Source!A183)</f>
        <v>183</v>
      </c>
      <c r="B277">
        <v>39490127</v>
      </c>
      <c r="C277">
        <v>39490119</v>
      </c>
      <c r="D277">
        <v>36799065</v>
      </c>
      <c r="E277">
        <v>17</v>
      </c>
      <c r="F277">
        <v>1</v>
      </c>
      <c r="G277">
        <v>1</v>
      </c>
      <c r="H277">
        <v>3</v>
      </c>
      <c r="I277" t="s">
        <v>835</v>
      </c>
      <c r="J277" t="s">
        <v>3</v>
      </c>
      <c r="K277" t="s">
        <v>836</v>
      </c>
      <c r="L277">
        <v>1374</v>
      </c>
      <c r="N277">
        <v>1013</v>
      </c>
      <c r="O277" t="s">
        <v>837</v>
      </c>
      <c r="P277" t="s">
        <v>837</v>
      </c>
      <c r="Q277">
        <v>1</v>
      </c>
      <c r="X277">
        <v>6.97</v>
      </c>
      <c r="Y277">
        <v>1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6.97</v>
      </c>
      <c r="AH277">
        <v>2</v>
      </c>
      <c r="AI277">
        <v>39490127</v>
      </c>
      <c r="AJ277">
        <v>284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ROW(Source!A185)</f>
        <v>185</v>
      </c>
      <c r="B278">
        <v>39488998</v>
      </c>
      <c r="C278">
        <v>39488997</v>
      </c>
      <c r="D278">
        <v>37080781</v>
      </c>
      <c r="E278">
        <v>1</v>
      </c>
      <c r="F278">
        <v>1</v>
      </c>
      <c r="G278">
        <v>1</v>
      </c>
      <c r="H278">
        <v>1</v>
      </c>
      <c r="I278" t="s">
        <v>702</v>
      </c>
      <c r="J278" t="s">
        <v>3</v>
      </c>
      <c r="K278" t="s">
        <v>703</v>
      </c>
      <c r="L278">
        <v>1191</v>
      </c>
      <c r="N278">
        <v>1013</v>
      </c>
      <c r="O278" t="s">
        <v>660</v>
      </c>
      <c r="P278" t="s">
        <v>660</v>
      </c>
      <c r="Q278">
        <v>1</v>
      </c>
      <c r="X278">
        <v>34.56</v>
      </c>
      <c r="Y278">
        <v>0</v>
      </c>
      <c r="Z278">
        <v>0</v>
      </c>
      <c r="AA278">
        <v>0</v>
      </c>
      <c r="AB278">
        <v>9.92</v>
      </c>
      <c r="AC278">
        <v>0</v>
      </c>
      <c r="AD278">
        <v>1</v>
      </c>
      <c r="AE278">
        <v>1</v>
      </c>
      <c r="AF278" t="s">
        <v>3</v>
      </c>
      <c r="AG278">
        <v>34.56</v>
      </c>
      <c r="AH278">
        <v>2</v>
      </c>
      <c r="AI278">
        <v>39488998</v>
      </c>
      <c r="AJ278">
        <v>285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ROW(Source!A185)</f>
        <v>185</v>
      </c>
      <c r="B279">
        <v>39488999</v>
      </c>
      <c r="C279">
        <v>39488997</v>
      </c>
      <c r="D279">
        <v>37064876</v>
      </c>
      <c r="E279">
        <v>1</v>
      </c>
      <c r="F279">
        <v>1</v>
      </c>
      <c r="G279">
        <v>1</v>
      </c>
      <c r="H279">
        <v>1</v>
      </c>
      <c r="I279" t="s">
        <v>661</v>
      </c>
      <c r="J279" t="s">
        <v>3</v>
      </c>
      <c r="K279" t="s">
        <v>662</v>
      </c>
      <c r="L279">
        <v>1191</v>
      </c>
      <c r="N279">
        <v>1013</v>
      </c>
      <c r="O279" t="s">
        <v>660</v>
      </c>
      <c r="P279" t="s">
        <v>660</v>
      </c>
      <c r="Q279">
        <v>1</v>
      </c>
      <c r="X279">
        <v>0.05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2</v>
      </c>
      <c r="AF279" t="s">
        <v>3</v>
      </c>
      <c r="AG279">
        <v>0.05</v>
      </c>
      <c r="AH279">
        <v>2</v>
      </c>
      <c r="AI279">
        <v>39488999</v>
      </c>
      <c r="AJ279">
        <v>286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ROW(Source!A185)</f>
        <v>185</v>
      </c>
      <c r="B280">
        <v>39489000</v>
      </c>
      <c r="C280">
        <v>39488997</v>
      </c>
      <c r="D280">
        <v>36882159</v>
      </c>
      <c r="E280">
        <v>1</v>
      </c>
      <c r="F280">
        <v>1</v>
      </c>
      <c r="G280">
        <v>1</v>
      </c>
      <c r="H280">
        <v>2</v>
      </c>
      <c r="I280" t="s">
        <v>802</v>
      </c>
      <c r="J280" t="s">
        <v>803</v>
      </c>
      <c r="K280" t="s">
        <v>804</v>
      </c>
      <c r="L280">
        <v>1368</v>
      </c>
      <c r="N280">
        <v>1011</v>
      </c>
      <c r="O280" t="s">
        <v>666</v>
      </c>
      <c r="P280" t="s">
        <v>666</v>
      </c>
      <c r="Q280">
        <v>1</v>
      </c>
      <c r="X280">
        <v>0.03</v>
      </c>
      <c r="Y280">
        <v>0</v>
      </c>
      <c r="Z280">
        <v>111.99</v>
      </c>
      <c r="AA280">
        <v>13.5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0.03</v>
      </c>
      <c r="AH280">
        <v>2</v>
      </c>
      <c r="AI280">
        <v>39489000</v>
      </c>
      <c r="AJ280">
        <v>287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ROW(Source!A185)</f>
        <v>185</v>
      </c>
      <c r="B281">
        <v>39489001</v>
      </c>
      <c r="C281">
        <v>39488997</v>
      </c>
      <c r="D281">
        <v>36883554</v>
      </c>
      <c r="E281">
        <v>1</v>
      </c>
      <c r="F281">
        <v>1</v>
      </c>
      <c r="G281">
        <v>1</v>
      </c>
      <c r="H281">
        <v>2</v>
      </c>
      <c r="I281" t="s">
        <v>679</v>
      </c>
      <c r="J281" t="s">
        <v>680</v>
      </c>
      <c r="K281" t="s">
        <v>681</v>
      </c>
      <c r="L281">
        <v>1368</v>
      </c>
      <c r="N281">
        <v>1011</v>
      </c>
      <c r="O281" t="s">
        <v>666</v>
      </c>
      <c r="P281" t="s">
        <v>666</v>
      </c>
      <c r="Q281">
        <v>1</v>
      </c>
      <c r="X281">
        <v>0.02</v>
      </c>
      <c r="Y281">
        <v>0</v>
      </c>
      <c r="Z281">
        <v>65.709999999999994</v>
      </c>
      <c r="AA281">
        <v>11.6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0.02</v>
      </c>
      <c r="AH281">
        <v>2</v>
      </c>
      <c r="AI281">
        <v>39489001</v>
      </c>
      <c r="AJ281">
        <v>288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ROW(Source!A185)</f>
        <v>185</v>
      </c>
      <c r="B282">
        <v>39489002</v>
      </c>
      <c r="C282">
        <v>39488997</v>
      </c>
      <c r="D282">
        <v>36802094</v>
      </c>
      <c r="E282">
        <v>1</v>
      </c>
      <c r="F282">
        <v>1</v>
      </c>
      <c r="G282">
        <v>1</v>
      </c>
      <c r="H282">
        <v>3</v>
      </c>
      <c r="I282" t="s">
        <v>852</v>
      </c>
      <c r="J282" t="s">
        <v>853</v>
      </c>
      <c r="K282" t="s">
        <v>854</v>
      </c>
      <c r="L282">
        <v>1346</v>
      </c>
      <c r="N282">
        <v>1009</v>
      </c>
      <c r="O282" t="s">
        <v>138</v>
      </c>
      <c r="P282" t="s">
        <v>138</v>
      </c>
      <c r="Q282">
        <v>1</v>
      </c>
      <c r="X282">
        <v>0.11</v>
      </c>
      <c r="Y282">
        <v>30.4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0.11</v>
      </c>
      <c r="AH282">
        <v>2</v>
      </c>
      <c r="AI282">
        <v>39489002</v>
      </c>
      <c r="AJ282">
        <v>289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ROW(Source!A185)</f>
        <v>185</v>
      </c>
      <c r="B283">
        <v>39489003</v>
      </c>
      <c r="C283">
        <v>39488997</v>
      </c>
      <c r="D283">
        <v>36804580</v>
      </c>
      <c r="E283">
        <v>1</v>
      </c>
      <c r="F283">
        <v>1</v>
      </c>
      <c r="G283">
        <v>1</v>
      </c>
      <c r="H283">
        <v>3</v>
      </c>
      <c r="I283" t="s">
        <v>861</v>
      </c>
      <c r="J283" t="s">
        <v>862</v>
      </c>
      <c r="K283" t="s">
        <v>863</v>
      </c>
      <c r="L283">
        <v>1355</v>
      </c>
      <c r="N283">
        <v>1010</v>
      </c>
      <c r="O283" t="s">
        <v>161</v>
      </c>
      <c r="P283" t="s">
        <v>161</v>
      </c>
      <c r="Q283">
        <v>100</v>
      </c>
      <c r="X283">
        <v>1.02</v>
      </c>
      <c r="Y283">
        <v>86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1.02</v>
      </c>
      <c r="AH283">
        <v>2</v>
      </c>
      <c r="AI283">
        <v>39489003</v>
      </c>
      <c r="AJ283">
        <v>290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ROW(Source!A185)</f>
        <v>185</v>
      </c>
      <c r="B284">
        <v>39489004</v>
      </c>
      <c r="C284">
        <v>39488997</v>
      </c>
      <c r="D284">
        <v>36804940</v>
      </c>
      <c r="E284">
        <v>1</v>
      </c>
      <c r="F284">
        <v>1</v>
      </c>
      <c r="G284">
        <v>1</v>
      </c>
      <c r="H284">
        <v>3</v>
      </c>
      <c r="I284" t="s">
        <v>914</v>
      </c>
      <c r="J284" t="s">
        <v>915</v>
      </c>
      <c r="K284" t="s">
        <v>916</v>
      </c>
      <c r="L284">
        <v>1348</v>
      </c>
      <c r="N284">
        <v>1009</v>
      </c>
      <c r="O284" t="s">
        <v>110</v>
      </c>
      <c r="P284" t="s">
        <v>110</v>
      </c>
      <c r="Q284">
        <v>1000</v>
      </c>
      <c r="X284">
        <v>1.6000000000000001E-4</v>
      </c>
      <c r="Y284">
        <v>29800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1.6000000000000001E-4</v>
      </c>
      <c r="AH284">
        <v>2</v>
      </c>
      <c r="AI284">
        <v>39489004</v>
      </c>
      <c r="AJ284">
        <v>291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ROW(Source!A185)</f>
        <v>185</v>
      </c>
      <c r="B285">
        <v>39489005</v>
      </c>
      <c r="C285">
        <v>39488997</v>
      </c>
      <c r="D285">
        <v>36804944</v>
      </c>
      <c r="E285">
        <v>1</v>
      </c>
      <c r="F285">
        <v>1</v>
      </c>
      <c r="G285">
        <v>1</v>
      </c>
      <c r="H285">
        <v>3</v>
      </c>
      <c r="I285" t="s">
        <v>832</v>
      </c>
      <c r="J285" t="s">
        <v>833</v>
      </c>
      <c r="K285" t="s">
        <v>834</v>
      </c>
      <c r="L285">
        <v>1348</v>
      </c>
      <c r="N285">
        <v>1009</v>
      </c>
      <c r="O285" t="s">
        <v>110</v>
      </c>
      <c r="P285" t="s">
        <v>110</v>
      </c>
      <c r="Q285">
        <v>1000</v>
      </c>
      <c r="X285">
        <v>2.9999999999999997E-4</v>
      </c>
      <c r="Y285">
        <v>12430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2.9999999999999997E-4</v>
      </c>
      <c r="AH285">
        <v>2</v>
      </c>
      <c r="AI285">
        <v>39489005</v>
      </c>
      <c r="AJ285">
        <v>292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ROW(Source!A185)</f>
        <v>185</v>
      </c>
      <c r="B286">
        <v>39489006</v>
      </c>
      <c r="C286">
        <v>39488997</v>
      </c>
      <c r="D286">
        <v>36799065</v>
      </c>
      <c r="E286">
        <v>17</v>
      </c>
      <c r="F286">
        <v>1</v>
      </c>
      <c r="G286">
        <v>1</v>
      </c>
      <c r="H286">
        <v>3</v>
      </c>
      <c r="I286" t="s">
        <v>835</v>
      </c>
      <c r="J286" t="s">
        <v>3</v>
      </c>
      <c r="K286" t="s">
        <v>836</v>
      </c>
      <c r="L286">
        <v>1374</v>
      </c>
      <c r="N286">
        <v>1013</v>
      </c>
      <c r="O286" t="s">
        <v>837</v>
      </c>
      <c r="P286" t="s">
        <v>837</v>
      </c>
      <c r="Q286">
        <v>1</v>
      </c>
      <c r="X286">
        <v>6.86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6.86</v>
      </c>
      <c r="AH286">
        <v>2</v>
      </c>
      <c r="AI286">
        <v>39489006</v>
      </c>
      <c r="AJ286">
        <v>295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ROW(Source!A188)</f>
        <v>188</v>
      </c>
      <c r="B287">
        <v>39489062</v>
      </c>
      <c r="C287">
        <v>39096919</v>
      </c>
      <c r="D287">
        <v>37077359</v>
      </c>
      <c r="E287">
        <v>1</v>
      </c>
      <c r="F287">
        <v>1</v>
      </c>
      <c r="G287">
        <v>1</v>
      </c>
      <c r="H287">
        <v>1</v>
      </c>
      <c r="I287" t="s">
        <v>917</v>
      </c>
      <c r="J287" t="s">
        <v>3</v>
      </c>
      <c r="K287" t="s">
        <v>918</v>
      </c>
      <c r="L287">
        <v>1191</v>
      </c>
      <c r="N287">
        <v>1013</v>
      </c>
      <c r="O287" t="s">
        <v>660</v>
      </c>
      <c r="P287" t="s">
        <v>660</v>
      </c>
      <c r="Q287">
        <v>1</v>
      </c>
      <c r="X287">
        <v>0.9</v>
      </c>
      <c r="Y287">
        <v>0</v>
      </c>
      <c r="Z287">
        <v>0</v>
      </c>
      <c r="AA287">
        <v>0</v>
      </c>
      <c r="AB287">
        <v>10.5</v>
      </c>
      <c r="AC287">
        <v>0</v>
      </c>
      <c r="AD287">
        <v>1</v>
      </c>
      <c r="AE287">
        <v>1</v>
      </c>
      <c r="AF287" t="s">
        <v>3</v>
      </c>
      <c r="AG287">
        <v>0.9</v>
      </c>
      <c r="AH287">
        <v>2</v>
      </c>
      <c r="AI287">
        <v>39489062</v>
      </c>
      <c r="AJ287">
        <v>296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ROW(Source!A188)</f>
        <v>188</v>
      </c>
      <c r="B288">
        <v>39489063</v>
      </c>
      <c r="C288">
        <v>39096919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661</v>
      </c>
      <c r="J288" t="s">
        <v>3</v>
      </c>
      <c r="K288" t="s">
        <v>662</v>
      </c>
      <c r="L288">
        <v>1191</v>
      </c>
      <c r="N288">
        <v>1013</v>
      </c>
      <c r="O288" t="s">
        <v>660</v>
      </c>
      <c r="P288" t="s">
        <v>660</v>
      </c>
      <c r="Q288">
        <v>1</v>
      </c>
      <c r="X288">
        <v>0.2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3</v>
      </c>
      <c r="AG288">
        <v>0.2</v>
      </c>
      <c r="AH288">
        <v>2</v>
      </c>
      <c r="AI288">
        <v>39489063</v>
      </c>
      <c r="AJ288">
        <v>297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ROW(Source!A188)</f>
        <v>188</v>
      </c>
      <c r="B289">
        <v>39489064</v>
      </c>
      <c r="C289">
        <v>39096919</v>
      </c>
      <c r="D289">
        <v>36882159</v>
      </c>
      <c r="E289">
        <v>1</v>
      </c>
      <c r="F289">
        <v>1</v>
      </c>
      <c r="G289">
        <v>1</v>
      </c>
      <c r="H289">
        <v>2</v>
      </c>
      <c r="I289" t="s">
        <v>802</v>
      </c>
      <c r="J289" t="s">
        <v>803</v>
      </c>
      <c r="K289" t="s">
        <v>804</v>
      </c>
      <c r="L289">
        <v>1368</v>
      </c>
      <c r="N289">
        <v>1011</v>
      </c>
      <c r="O289" t="s">
        <v>666</v>
      </c>
      <c r="P289" t="s">
        <v>666</v>
      </c>
      <c r="Q289">
        <v>1</v>
      </c>
      <c r="X289">
        <v>0.1</v>
      </c>
      <c r="Y289">
        <v>0</v>
      </c>
      <c r="Z289">
        <v>111.99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0.1</v>
      </c>
      <c r="AH289">
        <v>2</v>
      </c>
      <c r="AI289">
        <v>39489064</v>
      </c>
      <c r="AJ289">
        <v>298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ROW(Source!A188)</f>
        <v>188</v>
      </c>
      <c r="B290">
        <v>39489065</v>
      </c>
      <c r="C290">
        <v>39096919</v>
      </c>
      <c r="D290">
        <v>36883554</v>
      </c>
      <c r="E290">
        <v>1</v>
      </c>
      <c r="F290">
        <v>1</v>
      </c>
      <c r="G290">
        <v>1</v>
      </c>
      <c r="H290">
        <v>2</v>
      </c>
      <c r="I290" t="s">
        <v>679</v>
      </c>
      <c r="J290" t="s">
        <v>680</v>
      </c>
      <c r="K290" t="s">
        <v>681</v>
      </c>
      <c r="L290">
        <v>1368</v>
      </c>
      <c r="N290">
        <v>1011</v>
      </c>
      <c r="O290" t="s">
        <v>666</v>
      </c>
      <c r="P290" t="s">
        <v>666</v>
      </c>
      <c r="Q290">
        <v>1</v>
      </c>
      <c r="X290">
        <v>0.1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0.1</v>
      </c>
      <c r="AH290">
        <v>2</v>
      </c>
      <c r="AI290">
        <v>39489065</v>
      </c>
      <c r="AJ290">
        <v>299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ROW(Source!A188)</f>
        <v>188</v>
      </c>
      <c r="B291">
        <v>39489066</v>
      </c>
      <c r="C291">
        <v>39096919</v>
      </c>
      <c r="D291">
        <v>36802094</v>
      </c>
      <c r="E291">
        <v>1</v>
      </c>
      <c r="F291">
        <v>1</v>
      </c>
      <c r="G291">
        <v>1</v>
      </c>
      <c r="H291">
        <v>3</v>
      </c>
      <c r="I291" t="s">
        <v>852</v>
      </c>
      <c r="J291" t="s">
        <v>853</v>
      </c>
      <c r="K291" t="s">
        <v>854</v>
      </c>
      <c r="L291">
        <v>1346</v>
      </c>
      <c r="N291">
        <v>1009</v>
      </c>
      <c r="O291" t="s">
        <v>138</v>
      </c>
      <c r="P291" t="s">
        <v>138</v>
      </c>
      <c r="Q291">
        <v>1</v>
      </c>
      <c r="X291">
        <v>0.01</v>
      </c>
      <c r="Y291">
        <v>30.4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0.01</v>
      </c>
      <c r="AH291">
        <v>2</v>
      </c>
      <c r="AI291">
        <v>39489066</v>
      </c>
      <c r="AJ291">
        <v>300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ROW(Source!A188)</f>
        <v>188</v>
      </c>
      <c r="B292">
        <v>39489067</v>
      </c>
      <c r="C292">
        <v>39096919</v>
      </c>
      <c r="D292">
        <v>36804448</v>
      </c>
      <c r="E292">
        <v>1</v>
      </c>
      <c r="F292">
        <v>1</v>
      </c>
      <c r="G292">
        <v>1</v>
      </c>
      <c r="H292">
        <v>3</v>
      </c>
      <c r="I292" t="s">
        <v>858</v>
      </c>
      <c r="J292" t="s">
        <v>859</v>
      </c>
      <c r="K292" t="s">
        <v>860</v>
      </c>
      <c r="L292">
        <v>1346</v>
      </c>
      <c r="N292">
        <v>1009</v>
      </c>
      <c r="O292" t="s">
        <v>138</v>
      </c>
      <c r="P292" t="s">
        <v>138</v>
      </c>
      <c r="Q292">
        <v>1</v>
      </c>
      <c r="X292">
        <v>0.3</v>
      </c>
      <c r="Y292">
        <v>9.0399999999999991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0.3</v>
      </c>
      <c r="AH292">
        <v>2</v>
      </c>
      <c r="AI292">
        <v>39489067</v>
      </c>
      <c r="AJ292">
        <v>301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ROW(Source!A188)</f>
        <v>188</v>
      </c>
      <c r="B293">
        <v>39489068</v>
      </c>
      <c r="C293">
        <v>39096919</v>
      </c>
      <c r="D293">
        <v>36825981</v>
      </c>
      <c r="E293">
        <v>1</v>
      </c>
      <c r="F293">
        <v>1</v>
      </c>
      <c r="G293">
        <v>1</v>
      </c>
      <c r="H293">
        <v>3</v>
      </c>
      <c r="I293" t="s">
        <v>919</v>
      </c>
      <c r="J293" t="s">
        <v>920</v>
      </c>
      <c r="K293" t="s">
        <v>921</v>
      </c>
      <c r="L293">
        <v>1348</v>
      </c>
      <c r="N293">
        <v>1009</v>
      </c>
      <c r="O293" t="s">
        <v>110</v>
      </c>
      <c r="P293" t="s">
        <v>110</v>
      </c>
      <c r="Q293">
        <v>1000</v>
      </c>
      <c r="X293">
        <v>5.9999999999999995E-4</v>
      </c>
      <c r="Y293">
        <v>5000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5.9999999999999995E-4</v>
      </c>
      <c r="AH293">
        <v>2</v>
      </c>
      <c r="AI293">
        <v>39489068</v>
      </c>
      <c r="AJ293">
        <v>302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ROW(Source!A188)</f>
        <v>188</v>
      </c>
      <c r="B294">
        <v>39489069</v>
      </c>
      <c r="C294">
        <v>39096919</v>
      </c>
      <c r="D294">
        <v>36799065</v>
      </c>
      <c r="E294">
        <v>17</v>
      </c>
      <c r="F294">
        <v>1</v>
      </c>
      <c r="G294">
        <v>1</v>
      </c>
      <c r="H294">
        <v>3</v>
      </c>
      <c r="I294" t="s">
        <v>835</v>
      </c>
      <c r="J294" t="s">
        <v>3</v>
      </c>
      <c r="K294" t="s">
        <v>836</v>
      </c>
      <c r="L294">
        <v>1374</v>
      </c>
      <c r="N294">
        <v>1013</v>
      </c>
      <c r="O294" t="s">
        <v>837</v>
      </c>
      <c r="P294" t="s">
        <v>837</v>
      </c>
      <c r="Q294">
        <v>1</v>
      </c>
      <c r="X294">
        <v>0.19</v>
      </c>
      <c r="Y294">
        <v>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0.19</v>
      </c>
      <c r="AH294">
        <v>2</v>
      </c>
      <c r="AI294">
        <v>39489069</v>
      </c>
      <c r="AJ294">
        <v>304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ROW(Source!A190)</f>
        <v>190</v>
      </c>
      <c r="B295">
        <v>39489032</v>
      </c>
      <c r="C295">
        <v>39489031</v>
      </c>
      <c r="D295">
        <v>37070202</v>
      </c>
      <c r="E295">
        <v>1</v>
      </c>
      <c r="F295">
        <v>1</v>
      </c>
      <c r="G295">
        <v>1</v>
      </c>
      <c r="H295">
        <v>1</v>
      </c>
      <c r="I295" t="s">
        <v>677</v>
      </c>
      <c r="J295" t="s">
        <v>3</v>
      </c>
      <c r="K295" t="s">
        <v>678</v>
      </c>
      <c r="L295">
        <v>1191</v>
      </c>
      <c r="N295">
        <v>1013</v>
      </c>
      <c r="O295" t="s">
        <v>660</v>
      </c>
      <c r="P295" t="s">
        <v>660</v>
      </c>
      <c r="Q295">
        <v>1</v>
      </c>
      <c r="X295">
        <v>1.56</v>
      </c>
      <c r="Y295">
        <v>0</v>
      </c>
      <c r="Z295">
        <v>0</v>
      </c>
      <c r="AA295">
        <v>0</v>
      </c>
      <c r="AB295">
        <v>9.51</v>
      </c>
      <c r="AC295">
        <v>0</v>
      </c>
      <c r="AD295">
        <v>1</v>
      </c>
      <c r="AE295">
        <v>1</v>
      </c>
      <c r="AF295" t="s">
        <v>3</v>
      </c>
      <c r="AG295">
        <v>1.56</v>
      </c>
      <c r="AH295">
        <v>2</v>
      </c>
      <c r="AI295">
        <v>39489032</v>
      </c>
      <c r="AJ295">
        <v>305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ROW(Source!A190)</f>
        <v>190</v>
      </c>
      <c r="B296">
        <v>39489033</v>
      </c>
      <c r="C296">
        <v>39489031</v>
      </c>
      <c r="D296">
        <v>36883858</v>
      </c>
      <c r="E296">
        <v>1</v>
      </c>
      <c r="F296">
        <v>1</v>
      </c>
      <c r="G296">
        <v>1</v>
      </c>
      <c r="H296">
        <v>2</v>
      </c>
      <c r="I296" t="s">
        <v>704</v>
      </c>
      <c r="J296" t="s">
        <v>705</v>
      </c>
      <c r="K296" t="s">
        <v>706</v>
      </c>
      <c r="L296">
        <v>1368</v>
      </c>
      <c r="N296">
        <v>1011</v>
      </c>
      <c r="O296" t="s">
        <v>666</v>
      </c>
      <c r="P296" t="s">
        <v>666</v>
      </c>
      <c r="Q296">
        <v>1</v>
      </c>
      <c r="X296">
        <v>0.13</v>
      </c>
      <c r="Y296">
        <v>0</v>
      </c>
      <c r="Z296">
        <v>8.1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0.13</v>
      </c>
      <c r="AH296">
        <v>2</v>
      </c>
      <c r="AI296">
        <v>39489033</v>
      </c>
      <c r="AJ296">
        <v>306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ROW(Source!A190)</f>
        <v>190</v>
      </c>
      <c r="B297">
        <v>39489034</v>
      </c>
      <c r="C297">
        <v>39489031</v>
      </c>
      <c r="D297">
        <v>36800043</v>
      </c>
      <c r="E297">
        <v>1</v>
      </c>
      <c r="F297">
        <v>1</v>
      </c>
      <c r="G297">
        <v>1</v>
      </c>
      <c r="H297">
        <v>3</v>
      </c>
      <c r="I297" t="s">
        <v>846</v>
      </c>
      <c r="J297" t="s">
        <v>847</v>
      </c>
      <c r="K297" t="s">
        <v>848</v>
      </c>
      <c r="L297">
        <v>1346</v>
      </c>
      <c r="N297">
        <v>1009</v>
      </c>
      <c r="O297" t="s">
        <v>138</v>
      </c>
      <c r="P297" t="s">
        <v>138</v>
      </c>
      <c r="Q297">
        <v>1</v>
      </c>
      <c r="X297">
        <v>6.0000000000000001E-3</v>
      </c>
      <c r="Y297">
        <v>44.97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6.0000000000000001E-3</v>
      </c>
      <c r="AH297">
        <v>2</v>
      </c>
      <c r="AI297">
        <v>39489034</v>
      </c>
      <c r="AJ297">
        <v>307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ROW(Source!A190)</f>
        <v>190</v>
      </c>
      <c r="B298">
        <v>39489035</v>
      </c>
      <c r="C298">
        <v>39489031</v>
      </c>
      <c r="D298">
        <v>36801775</v>
      </c>
      <c r="E298">
        <v>1</v>
      </c>
      <c r="F298">
        <v>1</v>
      </c>
      <c r="G298">
        <v>1</v>
      </c>
      <c r="H298">
        <v>3</v>
      </c>
      <c r="I298" t="s">
        <v>849</v>
      </c>
      <c r="J298" t="s">
        <v>850</v>
      </c>
      <c r="K298" t="s">
        <v>851</v>
      </c>
      <c r="L298">
        <v>1346</v>
      </c>
      <c r="N298">
        <v>1009</v>
      </c>
      <c r="O298" t="s">
        <v>138</v>
      </c>
      <c r="P298" t="s">
        <v>138</v>
      </c>
      <c r="Q298">
        <v>1</v>
      </c>
      <c r="X298">
        <v>1E-3</v>
      </c>
      <c r="Y298">
        <v>11.5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1E-3</v>
      </c>
      <c r="AH298">
        <v>2</v>
      </c>
      <c r="AI298">
        <v>39489035</v>
      </c>
      <c r="AJ298">
        <v>308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ROW(Source!A190)</f>
        <v>190</v>
      </c>
      <c r="B299">
        <v>39489036</v>
      </c>
      <c r="C299">
        <v>39489031</v>
      </c>
      <c r="D299">
        <v>36802094</v>
      </c>
      <c r="E299">
        <v>1</v>
      </c>
      <c r="F299">
        <v>1</v>
      </c>
      <c r="G299">
        <v>1</v>
      </c>
      <c r="H299">
        <v>3</v>
      </c>
      <c r="I299" t="s">
        <v>852</v>
      </c>
      <c r="J299" t="s">
        <v>853</v>
      </c>
      <c r="K299" t="s">
        <v>854</v>
      </c>
      <c r="L299">
        <v>1346</v>
      </c>
      <c r="N299">
        <v>1009</v>
      </c>
      <c r="O299" t="s">
        <v>138</v>
      </c>
      <c r="P299" t="s">
        <v>138</v>
      </c>
      <c r="Q299">
        <v>1</v>
      </c>
      <c r="X299">
        <v>1.2E-2</v>
      </c>
      <c r="Y299">
        <v>30.4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1.2E-2</v>
      </c>
      <c r="AH299">
        <v>2</v>
      </c>
      <c r="AI299">
        <v>39489036</v>
      </c>
      <c r="AJ299">
        <v>309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ROW(Source!A190)</f>
        <v>190</v>
      </c>
      <c r="B300">
        <v>39489037</v>
      </c>
      <c r="C300">
        <v>39489031</v>
      </c>
      <c r="D300">
        <v>36803258</v>
      </c>
      <c r="E300">
        <v>1</v>
      </c>
      <c r="F300">
        <v>1</v>
      </c>
      <c r="G300">
        <v>1</v>
      </c>
      <c r="H300">
        <v>3</v>
      </c>
      <c r="I300" t="s">
        <v>855</v>
      </c>
      <c r="J300" t="s">
        <v>856</v>
      </c>
      <c r="K300" t="s">
        <v>857</v>
      </c>
      <c r="L300">
        <v>1346</v>
      </c>
      <c r="N300">
        <v>1009</v>
      </c>
      <c r="O300" t="s">
        <v>138</v>
      </c>
      <c r="P300" t="s">
        <v>138</v>
      </c>
      <c r="Q300">
        <v>1</v>
      </c>
      <c r="X300">
        <v>7.0000000000000007E-2</v>
      </c>
      <c r="Y300">
        <v>10.57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7.0000000000000007E-2</v>
      </c>
      <c r="AH300">
        <v>2</v>
      </c>
      <c r="AI300">
        <v>39489037</v>
      </c>
      <c r="AJ300">
        <v>310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ROW(Source!A190)</f>
        <v>190</v>
      </c>
      <c r="B301">
        <v>39489038</v>
      </c>
      <c r="C301">
        <v>39489031</v>
      </c>
      <c r="D301">
        <v>36804448</v>
      </c>
      <c r="E301">
        <v>1</v>
      </c>
      <c r="F301">
        <v>1</v>
      </c>
      <c r="G301">
        <v>1</v>
      </c>
      <c r="H301">
        <v>3</v>
      </c>
      <c r="I301" t="s">
        <v>858</v>
      </c>
      <c r="J301" t="s">
        <v>859</v>
      </c>
      <c r="K301" t="s">
        <v>860</v>
      </c>
      <c r="L301">
        <v>1346</v>
      </c>
      <c r="N301">
        <v>1009</v>
      </c>
      <c r="O301" t="s">
        <v>138</v>
      </c>
      <c r="P301" t="s">
        <v>138</v>
      </c>
      <c r="Q301">
        <v>1</v>
      </c>
      <c r="X301">
        <v>4.9000000000000002E-2</v>
      </c>
      <c r="Y301">
        <v>9.0399999999999991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4.9000000000000002E-2</v>
      </c>
      <c r="AH301">
        <v>2</v>
      </c>
      <c r="AI301">
        <v>39489038</v>
      </c>
      <c r="AJ301">
        <v>311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ROW(Source!A190)</f>
        <v>190</v>
      </c>
      <c r="B302">
        <v>39489039</v>
      </c>
      <c r="C302">
        <v>39489031</v>
      </c>
      <c r="D302">
        <v>36804580</v>
      </c>
      <c r="E302">
        <v>1</v>
      </c>
      <c r="F302">
        <v>1</v>
      </c>
      <c r="G302">
        <v>1</v>
      </c>
      <c r="H302">
        <v>3</v>
      </c>
      <c r="I302" t="s">
        <v>861</v>
      </c>
      <c r="J302" t="s">
        <v>862</v>
      </c>
      <c r="K302" t="s">
        <v>863</v>
      </c>
      <c r="L302">
        <v>1355</v>
      </c>
      <c r="N302">
        <v>1010</v>
      </c>
      <c r="O302" t="s">
        <v>161</v>
      </c>
      <c r="P302" t="s">
        <v>161</v>
      </c>
      <c r="Q302">
        <v>100</v>
      </c>
      <c r="X302">
        <v>1.4E-2</v>
      </c>
      <c r="Y302">
        <v>86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1.4E-2</v>
      </c>
      <c r="AH302">
        <v>2</v>
      </c>
      <c r="AI302">
        <v>39489039</v>
      </c>
      <c r="AJ302">
        <v>312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ROW(Source!A190)</f>
        <v>190</v>
      </c>
      <c r="B303">
        <v>39489040</v>
      </c>
      <c r="C303">
        <v>39489031</v>
      </c>
      <c r="D303">
        <v>36805500</v>
      </c>
      <c r="E303">
        <v>1</v>
      </c>
      <c r="F303">
        <v>1</v>
      </c>
      <c r="G303">
        <v>1</v>
      </c>
      <c r="H303">
        <v>3</v>
      </c>
      <c r="I303" t="s">
        <v>864</v>
      </c>
      <c r="J303" t="s">
        <v>865</v>
      </c>
      <c r="K303" t="s">
        <v>866</v>
      </c>
      <c r="L303">
        <v>1346</v>
      </c>
      <c r="N303">
        <v>1009</v>
      </c>
      <c r="O303" t="s">
        <v>138</v>
      </c>
      <c r="P303" t="s">
        <v>138</v>
      </c>
      <c r="Q303">
        <v>1</v>
      </c>
      <c r="X303">
        <v>1E-3</v>
      </c>
      <c r="Y303">
        <v>133.05000000000001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1E-3</v>
      </c>
      <c r="AH303">
        <v>2</v>
      </c>
      <c r="AI303">
        <v>39489040</v>
      </c>
      <c r="AJ303">
        <v>313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ROW(Source!A190)</f>
        <v>190</v>
      </c>
      <c r="B304">
        <v>39489041</v>
      </c>
      <c r="C304">
        <v>39489031</v>
      </c>
      <c r="D304">
        <v>36823140</v>
      </c>
      <c r="E304">
        <v>1</v>
      </c>
      <c r="F304">
        <v>1</v>
      </c>
      <c r="G304">
        <v>1</v>
      </c>
      <c r="H304">
        <v>3</v>
      </c>
      <c r="I304" t="s">
        <v>867</v>
      </c>
      <c r="J304" t="s">
        <v>868</v>
      </c>
      <c r="K304" t="s">
        <v>869</v>
      </c>
      <c r="L304">
        <v>1348</v>
      </c>
      <c r="N304">
        <v>1009</v>
      </c>
      <c r="O304" t="s">
        <v>110</v>
      </c>
      <c r="P304" t="s">
        <v>110</v>
      </c>
      <c r="Q304">
        <v>1000</v>
      </c>
      <c r="X304">
        <v>1E-3</v>
      </c>
      <c r="Y304">
        <v>11500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1E-3</v>
      </c>
      <c r="AH304">
        <v>2</v>
      </c>
      <c r="AI304">
        <v>39489041</v>
      </c>
      <c r="AJ304">
        <v>314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ROW(Source!A190)</f>
        <v>190</v>
      </c>
      <c r="B305">
        <v>39489042</v>
      </c>
      <c r="C305">
        <v>39489031</v>
      </c>
      <c r="D305">
        <v>36838317</v>
      </c>
      <c r="E305">
        <v>1</v>
      </c>
      <c r="F305">
        <v>1</v>
      </c>
      <c r="G305">
        <v>1</v>
      </c>
      <c r="H305">
        <v>3</v>
      </c>
      <c r="I305" t="s">
        <v>870</v>
      </c>
      <c r="J305" t="s">
        <v>871</v>
      </c>
      <c r="K305" t="s">
        <v>872</v>
      </c>
      <c r="L305">
        <v>1346</v>
      </c>
      <c r="N305">
        <v>1009</v>
      </c>
      <c r="O305" t="s">
        <v>138</v>
      </c>
      <c r="P305" t="s">
        <v>138</v>
      </c>
      <c r="Q305">
        <v>1</v>
      </c>
      <c r="X305">
        <v>3.5999999999999997E-2</v>
      </c>
      <c r="Y305">
        <v>28.6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3.5999999999999997E-2</v>
      </c>
      <c r="AH305">
        <v>2</v>
      </c>
      <c r="AI305">
        <v>39489042</v>
      </c>
      <c r="AJ305">
        <v>315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ROW(Source!A190)</f>
        <v>190</v>
      </c>
      <c r="B306">
        <v>39489043</v>
      </c>
      <c r="C306">
        <v>39489031</v>
      </c>
      <c r="D306">
        <v>36838470</v>
      </c>
      <c r="E306">
        <v>1</v>
      </c>
      <c r="F306">
        <v>1</v>
      </c>
      <c r="G306">
        <v>1</v>
      </c>
      <c r="H306">
        <v>3</v>
      </c>
      <c r="I306" t="s">
        <v>873</v>
      </c>
      <c r="J306" t="s">
        <v>874</v>
      </c>
      <c r="K306" t="s">
        <v>875</v>
      </c>
      <c r="L306">
        <v>1346</v>
      </c>
      <c r="N306">
        <v>1009</v>
      </c>
      <c r="O306" t="s">
        <v>138</v>
      </c>
      <c r="P306" t="s">
        <v>138</v>
      </c>
      <c r="Q306">
        <v>1</v>
      </c>
      <c r="X306">
        <v>6.0000000000000001E-3</v>
      </c>
      <c r="Y306">
        <v>35.630000000000003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6.0000000000000001E-3</v>
      </c>
      <c r="AH306">
        <v>2</v>
      </c>
      <c r="AI306">
        <v>39489043</v>
      </c>
      <c r="AJ306">
        <v>316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ROW(Source!A190)</f>
        <v>190</v>
      </c>
      <c r="B307">
        <v>39489044</v>
      </c>
      <c r="C307">
        <v>39489031</v>
      </c>
      <c r="D307">
        <v>36851945</v>
      </c>
      <c r="E307">
        <v>1</v>
      </c>
      <c r="F307">
        <v>1</v>
      </c>
      <c r="G307">
        <v>1</v>
      </c>
      <c r="H307">
        <v>3</v>
      </c>
      <c r="I307" t="s">
        <v>876</v>
      </c>
      <c r="J307" t="s">
        <v>877</v>
      </c>
      <c r="K307" t="s">
        <v>878</v>
      </c>
      <c r="L307">
        <v>1358</v>
      </c>
      <c r="N307">
        <v>1010</v>
      </c>
      <c r="O307" t="s">
        <v>436</v>
      </c>
      <c r="P307" t="s">
        <v>436</v>
      </c>
      <c r="Q307">
        <v>10</v>
      </c>
      <c r="X307">
        <v>0.1</v>
      </c>
      <c r="Y307">
        <v>39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0.1</v>
      </c>
      <c r="AH307">
        <v>2</v>
      </c>
      <c r="AI307">
        <v>39489044</v>
      </c>
      <c r="AJ307">
        <v>317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ROW(Source!A190)</f>
        <v>190</v>
      </c>
      <c r="B308">
        <v>39489045</v>
      </c>
      <c r="C308">
        <v>39489031</v>
      </c>
      <c r="D308">
        <v>36799065</v>
      </c>
      <c r="E308">
        <v>17</v>
      </c>
      <c r="F308">
        <v>1</v>
      </c>
      <c r="G308">
        <v>1</v>
      </c>
      <c r="H308">
        <v>3</v>
      </c>
      <c r="I308" t="s">
        <v>835</v>
      </c>
      <c r="J308" t="s">
        <v>3</v>
      </c>
      <c r="K308" t="s">
        <v>836</v>
      </c>
      <c r="L308">
        <v>1374</v>
      </c>
      <c r="N308">
        <v>1013</v>
      </c>
      <c r="O308" t="s">
        <v>837</v>
      </c>
      <c r="P308" t="s">
        <v>837</v>
      </c>
      <c r="Q308">
        <v>1</v>
      </c>
      <c r="X308">
        <v>0.3</v>
      </c>
      <c r="Y308">
        <v>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0.3</v>
      </c>
      <c r="AH308">
        <v>2</v>
      </c>
      <c r="AI308">
        <v>39489045</v>
      </c>
      <c r="AJ308">
        <v>323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ROW(Source!A196)</f>
        <v>196</v>
      </c>
      <c r="B309">
        <v>39100957</v>
      </c>
      <c r="C309">
        <v>39100956</v>
      </c>
      <c r="D309">
        <v>37080781</v>
      </c>
      <c r="E309">
        <v>1</v>
      </c>
      <c r="F309">
        <v>1</v>
      </c>
      <c r="G309">
        <v>1</v>
      </c>
      <c r="H309">
        <v>1</v>
      </c>
      <c r="I309" t="s">
        <v>702</v>
      </c>
      <c r="J309" t="s">
        <v>3</v>
      </c>
      <c r="K309" t="s">
        <v>703</v>
      </c>
      <c r="L309">
        <v>1191</v>
      </c>
      <c r="N309">
        <v>1013</v>
      </c>
      <c r="O309" t="s">
        <v>660</v>
      </c>
      <c r="P309" t="s">
        <v>660</v>
      </c>
      <c r="Q309">
        <v>1</v>
      </c>
      <c r="X309">
        <v>213.6</v>
      </c>
      <c r="Y309">
        <v>0</v>
      </c>
      <c r="Z309">
        <v>0</v>
      </c>
      <c r="AA309">
        <v>0</v>
      </c>
      <c r="AB309">
        <v>9.92</v>
      </c>
      <c r="AC309">
        <v>0</v>
      </c>
      <c r="AD309">
        <v>1</v>
      </c>
      <c r="AE309">
        <v>1</v>
      </c>
      <c r="AF309" t="s">
        <v>3</v>
      </c>
      <c r="AG309">
        <v>213.6</v>
      </c>
      <c r="AH309">
        <v>2</v>
      </c>
      <c r="AI309">
        <v>39100957</v>
      </c>
      <c r="AJ309">
        <v>324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ROW(Source!A196)</f>
        <v>196</v>
      </c>
      <c r="B310">
        <v>39100958</v>
      </c>
      <c r="C310">
        <v>39100956</v>
      </c>
      <c r="D310">
        <v>37064876</v>
      </c>
      <c r="E310">
        <v>1</v>
      </c>
      <c r="F310">
        <v>1</v>
      </c>
      <c r="G310">
        <v>1</v>
      </c>
      <c r="H310">
        <v>1</v>
      </c>
      <c r="I310" t="s">
        <v>661</v>
      </c>
      <c r="J310" t="s">
        <v>3</v>
      </c>
      <c r="K310" t="s">
        <v>662</v>
      </c>
      <c r="L310">
        <v>1191</v>
      </c>
      <c r="N310">
        <v>1013</v>
      </c>
      <c r="O310" t="s">
        <v>660</v>
      </c>
      <c r="P310" t="s">
        <v>660</v>
      </c>
      <c r="Q310">
        <v>1</v>
      </c>
      <c r="X310">
        <v>1.98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3</v>
      </c>
      <c r="AG310">
        <v>1.98</v>
      </c>
      <c r="AH310">
        <v>2</v>
      </c>
      <c r="AI310">
        <v>39100958</v>
      </c>
      <c r="AJ310">
        <v>325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ROW(Source!A196)</f>
        <v>196</v>
      </c>
      <c r="B311">
        <v>39100959</v>
      </c>
      <c r="C311">
        <v>39100956</v>
      </c>
      <c r="D311">
        <v>36882159</v>
      </c>
      <c r="E311">
        <v>1</v>
      </c>
      <c r="F311">
        <v>1</v>
      </c>
      <c r="G311">
        <v>1</v>
      </c>
      <c r="H311">
        <v>2</v>
      </c>
      <c r="I311" t="s">
        <v>802</v>
      </c>
      <c r="J311" t="s">
        <v>803</v>
      </c>
      <c r="K311" t="s">
        <v>804</v>
      </c>
      <c r="L311">
        <v>1368</v>
      </c>
      <c r="N311">
        <v>1011</v>
      </c>
      <c r="O311" t="s">
        <v>666</v>
      </c>
      <c r="P311" t="s">
        <v>666</v>
      </c>
      <c r="Q311">
        <v>1</v>
      </c>
      <c r="X311">
        <v>0.99</v>
      </c>
      <c r="Y311">
        <v>0</v>
      </c>
      <c r="Z311">
        <v>111.99</v>
      </c>
      <c r="AA311">
        <v>13.5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0.99</v>
      </c>
      <c r="AH311">
        <v>2</v>
      </c>
      <c r="AI311">
        <v>39100959</v>
      </c>
      <c r="AJ311">
        <v>326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ROW(Source!A196)</f>
        <v>196</v>
      </c>
      <c r="B312">
        <v>39100960</v>
      </c>
      <c r="C312">
        <v>39100956</v>
      </c>
      <c r="D312">
        <v>36883554</v>
      </c>
      <c r="E312">
        <v>1</v>
      </c>
      <c r="F312">
        <v>1</v>
      </c>
      <c r="G312">
        <v>1</v>
      </c>
      <c r="H312">
        <v>2</v>
      </c>
      <c r="I312" t="s">
        <v>679</v>
      </c>
      <c r="J312" t="s">
        <v>680</v>
      </c>
      <c r="K312" t="s">
        <v>681</v>
      </c>
      <c r="L312">
        <v>1368</v>
      </c>
      <c r="N312">
        <v>1011</v>
      </c>
      <c r="O312" t="s">
        <v>666</v>
      </c>
      <c r="P312" t="s">
        <v>666</v>
      </c>
      <c r="Q312">
        <v>1</v>
      </c>
      <c r="X312">
        <v>0.99</v>
      </c>
      <c r="Y312">
        <v>0</v>
      </c>
      <c r="Z312">
        <v>65.709999999999994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0.99</v>
      </c>
      <c r="AH312">
        <v>2</v>
      </c>
      <c r="AI312">
        <v>39100960</v>
      </c>
      <c r="AJ312">
        <v>327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ROW(Source!A196)</f>
        <v>196</v>
      </c>
      <c r="B313">
        <v>39100961</v>
      </c>
      <c r="C313">
        <v>39100956</v>
      </c>
      <c r="D313">
        <v>36883858</v>
      </c>
      <c r="E313">
        <v>1</v>
      </c>
      <c r="F313">
        <v>1</v>
      </c>
      <c r="G313">
        <v>1</v>
      </c>
      <c r="H313">
        <v>2</v>
      </c>
      <c r="I313" t="s">
        <v>704</v>
      </c>
      <c r="J313" t="s">
        <v>705</v>
      </c>
      <c r="K313" t="s">
        <v>706</v>
      </c>
      <c r="L313">
        <v>1368</v>
      </c>
      <c r="N313">
        <v>1011</v>
      </c>
      <c r="O313" t="s">
        <v>666</v>
      </c>
      <c r="P313" t="s">
        <v>666</v>
      </c>
      <c r="Q313">
        <v>1</v>
      </c>
      <c r="X313">
        <v>1.1399999999999999</v>
      </c>
      <c r="Y313">
        <v>0</v>
      </c>
      <c r="Z313">
        <v>8.1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1.1399999999999999</v>
      </c>
      <c r="AH313">
        <v>2</v>
      </c>
      <c r="AI313">
        <v>39100961</v>
      </c>
      <c r="AJ313">
        <v>328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ROW(Source!A196)</f>
        <v>196</v>
      </c>
      <c r="B314">
        <v>39100962</v>
      </c>
      <c r="C314">
        <v>39100956</v>
      </c>
      <c r="D314">
        <v>36802094</v>
      </c>
      <c r="E314">
        <v>1</v>
      </c>
      <c r="F314">
        <v>1</v>
      </c>
      <c r="G314">
        <v>1</v>
      </c>
      <c r="H314">
        <v>3</v>
      </c>
      <c r="I314" t="s">
        <v>852</v>
      </c>
      <c r="J314" t="s">
        <v>853</v>
      </c>
      <c r="K314" t="s">
        <v>854</v>
      </c>
      <c r="L314">
        <v>1346</v>
      </c>
      <c r="N314">
        <v>1009</v>
      </c>
      <c r="O314" t="s">
        <v>138</v>
      </c>
      <c r="P314" t="s">
        <v>138</v>
      </c>
      <c r="Q314">
        <v>1</v>
      </c>
      <c r="X314">
        <v>0.42</v>
      </c>
      <c r="Y314">
        <v>30.4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0.42</v>
      </c>
      <c r="AH314">
        <v>2</v>
      </c>
      <c r="AI314">
        <v>39100962</v>
      </c>
      <c r="AJ314">
        <v>329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ROW(Source!A196)</f>
        <v>196</v>
      </c>
      <c r="B315">
        <v>39100963</v>
      </c>
      <c r="C315">
        <v>39100956</v>
      </c>
      <c r="D315">
        <v>36802106</v>
      </c>
      <c r="E315">
        <v>1</v>
      </c>
      <c r="F315">
        <v>1</v>
      </c>
      <c r="G315">
        <v>1</v>
      </c>
      <c r="H315">
        <v>3</v>
      </c>
      <c r="I315" t="s">
        <v>902</v>
      </c>
      <c r="J315" t="s">
        <v>903</v>
      </c>
      <c r="K315" t="s">
        <v>904</v>
      </c>
      <c r="L315">
        <v>1308</v>
      </c>
      <c r="N315">
        <v>1003</v>
      </c>
      <c r="O315" t="s">
        <v>27</v>
      </c>
      <c r="P315" t="s">
        <v>27</v>
      </c>
      <c r="Q315">
        <v>100</v>
      </c>
      <c r="X315">
        <v>0.1</v>
      </c>
      <c r="Y315">
        <v>120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0.1</v>
      </c>
      <c r="AH315">
        <v>2</v>
      </c>
      <c r="AI315">
        <v>39100963</v>
      </c>
      <c r="AJ315">
        <v>330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ROW(Source!A196)</f>
        <v>196</v>
      </c>
      <c r="B316">
        <v>39100964</v>
      </c>
      <c r="C316">
        <v>39100956</v>
      </c>
      <c r="D316">
        <v>36803258</v>
      </c>
      <c r="E316">
        <v>1</v>
      </c>
      <c r="F316">
        <v>1</v>
      </c>
      <c r="G316">
        <v>1</v>
      </c>
      <c r="H316">
        <v>3</v>
      </c>
      <c r="I316" t="s">
        <v>855</v>
      </c>
      <c r="J316" t="s">
        <v>856</v>
      </c>
      <c r="K316" t="s">
        <v>857</v>
      </c>
      <c r="L316">
        <v>1346</v>
      </c>
      <c r="N316">
        <v>1009</v>
      </c>
      <c r="O316" t="s">
        <v>138</v>
      </c>
      <c r="P316" t="s">
        <v>138</v>
      </c>
      <c r="Q316">
        <v>1</v>
      </c>
      <c r="X316">
        <v>2.1</v>
      </c>
      <c r="Y316">
        <v>10.57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2.1</v>
      </c>
      <c r="AH316">
        <v>2</v>
      </c>
      <c r="AI316">
        <v>39100964</v>
      </c>
      <c r="AJ316">
        <v>331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ROW(Source!A196)</f>
        <v>196</v>
      </c>
      <c r="B317">
        <v>39100965</v>
      </c>
      <c r="C317">
        <v>39100956</v>
      </c>
      <c r="D317">
        <v>36804448</v>
      </c>
      <c r="E317">
        <v>1</v>
      </c>
      <c r="F317">
        <v>1</v>
      </c>
      <c r="G317">
        <v>1</v>
      </c>
      <c r="H317">
        <v>3</v>
      </c>
      <c r="I317" t="s">
        <v>858</v>
      </c>
      <c r="J317" t="s">
        <v>859</v>
      </c>
      <c r="K317" t="s">
        <v>860</v>
      </c>
      <c r="L317">
        <v>1346</v>
      </c>
      <c r="N317">
        <v>1009</v>
      </c>
      <c r="O317" t="s">
        <v>138</v>
      </c>
      <c r="P317" t="s">
        <v>138</v>
      </c>
      <c r="Q317">
        <v>1</v>
      </c>
      <c r="X317">
        <v>10.4</v>
      </c>
      <c r="Y317">
        <v>9.0399999999999991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10.4</v>
      </c>
      <c r="AH317">
        <v>2</v>
      </c>
      <c r="AI317">
        <v>39100965</v>
      </c>
      <c r="AJ317">
        <v>332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ROW(Source!A196)</f>
        <v>196</v>
      </c>
      <c r="B318">
        <v>39100966</v>
      </c>
      <c r="C318">
        <v>39100956</v>
      </c>
      <c r="D318">
        <v>36825981</v>
      </c>
      <c r="E318">
        <v>1</v>
      </c>
      <c r="F318">
        <v>1</v>
      </c>
      <c r="G318">
        <v>1</v>
      </c>
      <c r="H318">
        <v>3</v>
      </c>
      <c r="I318" t="s">
        <v>919</v>
      </c>
      <c r="J318" t="s">
        <v>920</v>
      </c>
      <c r="K318" t="s">
        <v>921</v>
      </c>
      <c r="L318">
        <v>1348</v>
      </c>
      <c r="N318">
        <v>1009</v>
      </c>
      <c r="O318" t="s">
        <v>110</v>
      </c>
      <c r="P318" t="s">
        <v>110</v>
      </c>
      <c r="Q318">
        <v>1000</v>
      </c>
      <c r="X318">
        <v>0.15</v>
      </c>
      <c r="Y318">
        <v>5000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0.15</v>
      </c>
      <c r="AH318">
        <v>2</v>
      </c>
      <c r="AI318">
        <v>39100966</v>
      </c>
      <c r="AJ318">
        <v>333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ROW(Source!A196)</f>
        <v>196</v>
      </c>
      <c r="B319">
        <v>39100967</v>
      </c>
      <c r="C319">
        <v>39100956</v>
      </c>
      <c r="D319">
        <v>36838317</v>
      </c>
      <c r="E319">
        <v>1</v>
      </c>
      <c r="F319">
        <v>1</v>
      </c>
      <c r="G319">
        <v>1</v>
      </c>
      <c r="H319">
        <v>3</v>
      </c>
      <c r="I319" t="s">
        <v>870</v>
      </c>
      <c r="J319" t="s">
        <v>871</v>
      </c>
      <c r="K319" t="s">
        <v>872</v>
      </c>
      <c r="L319">
        <v>1346</v>
      </c>
      <c r="N319">
        <v>1009</v>
      </c>
      <c r="O319" t="s">
        <v>138</v>
      </c>
      <c r="P319" t="s">
        <v>138</v>
      </c>
      <c r="Q319">
        <v>1</v>
      </c>
      <c r="X319">
        <v>3</v>
      </c>
      <c r="Y319">
        <v>28.6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3</v>
      </c>
      <c r="AH319">
        <v>2</v>
      </c>
      <c r="AI319">
        <v>39100967</v>
      </c>
      <c r="AJ319">
        <v>334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ROW(Source!A196)</f>
        <v>196</v>
      </c>
      <c r="B320">
        <v>39100968</v>
      </c>
      <c r="C320">
        <v>39100956</v>
      </c>
      <c r="D320">
        <v>36799065</v>
      </c>
      <c r="E320">
        <v>17</v>
      </c>
      <c r="F320">
        <v>1</v>
      </c>
      <c r="G320">
        <v>1</v>
      </c>
      <c r="H320">
        <v>3</v>
      </c>
      <c r="I320" t="s">
        <v>835</v>
      </c>
      <c r="J320" t="s">
        <v>3</v>
      </c>
      <c r="K320" t="s">
        <v>836</v>
      </c>
      <c r="L320">
        <v>1374</v>
      </c>
      <c r="N320">
        <v>1013</v>
      </c>
      <c r="O320" t="s">
        <v>837</v>
      </c>
      <c r="P320" t="s">
        <v>837</v>
      </c>
      <c r="Q320">
        <v>1</v>
      </c>
      <c r="X320">
        <v>42.38</v>
      </c>
      <c r="Y320">
        <v>1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42.38</v>
      </c>
      <c r="AH320">
        <v>2</v>
      </c>
      <c r="AI320">
        <v>39100968</v>
      </c>
      <c r="AJ320">
        <v>336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ROW(Source!A198)</f>
        <v>198</v>
      </c>
      <c r="B321">
        <v>39096999</v>
      </c>
      <c r="C321">
        <v>39096996</v>
      </c>
      <c r="D321">
        <v>37519679</v>
      </c>
      <c r="E321">
        <v>1</v>
      </c>
      <c r="F321">
        <v>1</v>
      </c>
      <c r="G321">
        <v>1</v>
      </c>
      <c r="H321">
        <v>1</v>
      </c>
      <c r="I321" t="s">
        <v>922</v>
      </c>
      <c r="J321" t="s">
        <v>3</v>
      </c>
      <c r="K321" t="s">
        <v>923</v>
      </c>
      <c r="L321">
        <v>1191</v>
      </c>
      <c r="N321">
        <v>1013</v>
      </c>
      <c r="O321" t="s">
        <v>660</v>
      </c>
      <c r="P321" t="s">
        <v>660</v>
      </c>
      <c r="Q321">
        <v>1</v>
      </c>
      <c r="X321">
        <v>0.16</v>
      </c>
      <c r="Y321">
        <v>0</v>
      </c>
      <c r="Z321">
        <v>0</v>
      </c>
      <c r="AA321">
        <v>0</v>
      </c>
      <c r="AB321">
        <v>12.92</v>
      </c>
      <c r="AC321">
        <v>0</v>
      </c>
      <c r="AD321">
        <v>1</v>
      </c>
      <c r="AE321">
        <v>1</v>
      </c>
      <c r="AF321" t="s">
        <v>58</v>
      </c>
      <c r="AG321">
        <v>0.128</v>
      </c>
      <c r="AH321">
        <v>2</v>
      </c>
      <c r="AI321">
        <v>39096997</v>
      </c>
      <c r="AJ321">
        <v>337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ROW(Source!A198)</f>
        <v>198</v>
      </c>
      <c r="B322">
        <v>39097000</v>
      </c>
      <c r="C322">
        <v>39096996</v>
      </c>
      <c r="D322">
        <v>37518716</v>
      </c>
      <c r="E322">
        <v>1</v>
      </c>
      <c r="F322">
        <v>1</v>
      </c>
      <c r="G322">
        <v>1</v>
      </c>
      <c r="H322">
        <v>1</v>
      </c>
      <c r="I322" t="s">
        <v>924</v>
      </c>
      <c r="J322" t="s">
        <v>3</v>
      </c>
      <c r="K322" t="s">
        <v>925</v>
      </c>
      <c r="L322">
        <v>1191</v>
      </c>
      <c r="N322">
        <v>1013</v>
      </c>
      <c r="O322" t="s">
        <v>660</v>
      </c>
      <c r="P322" t="s">
        <v>660</v>
      </c>
      <c r="Q322">
        <v>1</v>
      </c>
      <c r="X322">
        <v>0.16</v>
      </c>
      <c r="Y322">
        <v>0</v>
      </c>
      <c r="Z322">
        <v>0</v>
      </c>
      <c r="AA322">
        <v>0</v>
      </c>
      <c r="AB322">
        <v>12.69</v>
      </c>
      <c r="AC322">
        <v>0</v>
      </c>
      <c r="AD322">
        <v>1</v>
      </c>
      <c r="AE322">
        <v>1</v>
      </c>
      <c r="AF322" t="s">
        <v>58</v>
      </c>
      <c r="AG322">
        <v>0.128</v>
      </c>
      <c r="AH322">
        <v>2</v>
      </c>
      <c r="AI322">
        <v>39096998</v>
      </c>
      <c r="AJ322">
        <v>338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ROW(Source!A199)</f>
        <v>199</v>
      </c>
      <c r="B323">
        <v>39097004</v>
      </c>
      <c r="C323">
        <v>39097001</v>
      </c>
      <c r="D323">
        <v>37519679</v>
      </c>
      <c r="E323">
        <v>1</v>
      </c>
      <c r="F323">
        <v>1</v>
      </c>
      <c r="G323">
        <v>1</v>
      </c>
      <c r="H323">
        <v>1</v>
      </c>
      <c r="I323" t="s">
        <v>922</v>
      </c>
      <c r="J323" t="s">
        <v>3</v>
      </c>
      <c r="K323" t="s">
        <v>923</v>
      </c>
      <c r="L323">
        <v>1191</v>
      </c>
      <c r="N323">
        <v>1013</v>
      </c>
      <c r="O323" t="s">
        <v>660</v>
      </c>
      <c r="P323" t="s">
        <v>660</v>
      </c>
      <c r="Q323">
        <v>1</v>
      </c>
      <c r="X323">
        <v>6.48</v>
      </c>
      <c r="Y323">
        <v>0</v>
      </c>
      <c r="Z323">
        <v>0</v>
      </c>
      <c r="AA323">
        <v>0</v>
      </c>
      <c r="AB323">
        <v>12.92</v>
      </c>
      <c r="AC323">
        <v>0</v>
      </c>
      <c r="AD323">
        <v>1</v>
      </c>
      <c r="AE323">
        <v>1</v>
      </c>
      <c r="AF323" t="s">
        <v>58</v>
      </c>
      <c r="AG323">
        <v>5.1840000000000011</v>
      </c>
      <c r="AH323">
        <v>2</v>
      </c>
      <c r="AI323">
        <v>39097002</v>
      </c>
      <c r="AJ323">
        <v>339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ROW(Source!A199)</f>
        <v>199</v>
      </c>
      <c r="B324">
        <v>39097005</v>
      </c>
      <c r="C324">
        <v>39097001</v>
      </c>
      <c r="D324">
        <v>37518716</v>
      </c>
      <c r="E324">
        <v>1</v>
      </c>
      <c r="F324">
        <v>1</v>
      </c>
      <c r="G324">
        <v>1</v>
      </c>
      <c r="H324">
        <v>1</v>
      </c>
      <c r="I324" t="s">
        <v>924</v>
      </c>
      <c r="J324" t="s">
        <v>3</v>
      </c>
      <c r="K324" t="s">
        <v>925</v>
      </c>
      <c r="L324">
        <v>1191</v>
      </c>
      <c r="N324">
        <v>1013</v>
      </c>
      <c r="O324" t="s">
        <v>660</v>
      </c>
      <c r="P324" t="s">
        <v>660</v>
      </c>
      <c r="Q324">
        <v>1</v>
      </c>
      <c r="X324">
        <v>6.48</v>
      </c>
      <c r="Y324">
        <v>0</v>
      </c>
      <c r="Z324">
        <v>0</v>
      </c>
      <c r="AA324">
        <v>0</v>
      </c>
      <c r="AB324">
        <v>12.69</v>
      </c>
      <c r="AC324">
        <v>0</v>
      </c>
      <c r="AD324">
        <v>1</v>
      </c>
      <c r="AE324">
        <v>1</v>
      </c>
      <c r="AF324" t="s">
        <v>58</v>
      </c>
      <c r="AG324">
        <v>5.1840000000000011</v>
      </c>
      <c r="AH324">
        <v>2</v>
      </c>
      <c r="AI324">
        <v>39097003</v>
      </c>
      <c r="AJ324">
        <v>340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ROW(Source!A200)</f>
        <v>200</v>
      </c>
      <c r="B325">
        <v>39097009</v>
      </c>
      <c r="C325">
        <v>39097006</v>
      </c>
      <c r="D325">
        <v>37519679</v>
      </c>
      <c r="E325">
        <v>1</v>
      </c>
      <c r="F325">
        <v>1</v>
      </c>
      <c r="G325">
        <v>1</v>
      </c>
      <c r="H325">
        <v>1</v>
      </c>
      <c r="I325" t="s">
        <v>922</v>
      </c>
      <c r="J325" t="s">
        <v>3</v>
      </c>
      <c r="K325" t="s">
        <v>923</v>
      </c>
      <c r="L325">
        <v>1191</v>
      </c>
      <c r="N325">
        <v>1013</v>
      </c>
      <c r="O325" t="s">
        <v>660</v>
      </c>
      <c r="P325" t="s">
        <v>660</v>
      </c>
      <c r="Q325">
        <v>1</v>
      </c>
      <c r="X325">
        <v>0.61</v>
      </c>
      <c r="Y325">
        <v>0</v>
      </c>
      <c r="Z325">
        <v>0</v>
      </c>
      <c r="AA325">
        <v>0</v>
      </c>
      <c r="AB325">
        <v>12.92</v>
      </c>
      <c r="AC325">
        <v>0</v>
      </c>
      <c r="AD325">
        <v>1</v>
      </c>
      <c r="AE325">
        <v>1</v>
      </c>
      <c r="AF325" t="s">
        <v>58</v>
      </c>
      <c r="AG325">
        <v>0.48799999999999999</v>
      </c>
      <c r="AH325">
        <v>2</v>
      </c>
      <c r="AI325">
        <v>39097007</v>
      </c>
      <c r="AJ325">
        <v>341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ROW(Source!A200)</f>
        <v>200</v>
      </c>
      <c r="B326">
        <v>39097010</v>
      </c>
      <c r="C326">
        <v>39097006</v>
      </c>
      <c r="D326">
        <v>37518716</v>
      </c>
      <c r="E326">
        <v>1</v>
      </c>
      <c r="F326">
        <v>1</v>
      </c>
      <c r="G326">
        <v>1</v>
      </c>
      <c r="H326">
        <v>1</v>
      </c>
      <c r="I326" t="s">
        <v>924</v>
      </c>
      <c r="J326" t="s">
        <v>3</v>
      </c>
      <c r="K326" t="s">
        <v>925</v>
      </c>
      <c r="L326">
        <v>1191</v>
      </c>
      <c r="N326">
        <v>1013</v>
      </c>
      <c r="O326" t="s">
        <v>660</v>
      </c>
      <c r="P326" t="s">
        <v>660</v>
      </c>
      <c r="Q326">
        <v>1</v>
      </c>
      <c r="X326">
        <v>0.61</v>
      </c>
      <c r="Y326">
        <v>0</v>
      </c>
      <c r="Z326">
        <v>0</v>
      </c>
      <c r="AA326">
        <v>0</v>
      </c>
      <c r="AB326">
        <v>12.69</v>
      </c>
      <c r="AC326">
        <v>0</v>
      </c>
      <c r="AD326">
        <v>1</v>
      </c>
      <c r="AE326">
        <v>1</v>
      </c>
      <c r="AF326" t="s">
        <v>58</v>
      </c>
      <c r="AG326">
        <v>0.48799999999999999</v>
      </c>
      <c r="AH326">
        <v>2</v>
      </c>
      <c r="AI326">
        <v>39097008</v>
      </c>
      <c r="AJ326">
        <v>342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ROW(Source!A201)</f>
        <v>201</v>
      </c>
      <c r="B327">
        <v>39097014</v>
      </c>
      <c r="C327">
        <v>39097011</v>
      </c>
      <c r="D327">
        <v>37518712</v>
      </c>
      <c r="E327">
        <v>1</v>
      </c>
      <c r="F327">
        <v>1</v>
      </c>
      <c r="G327">
        <v>1</v>
      </c>
      <c r="H327">
        <v>1</v>
      </c>
      <c r="I327" t="s">
        <v>926</v>
      </c>
      <c r="J327" t="s">
        <v>3</v>
      </c>
      <c r="K327" t="s">
        <v>927</v>
      </c>
      <c r="L327">
        <v>1191</v>
      </c>
      <c r="N327">
        <v>1013</v>
      </c>
      <c r="O327" t="s">
        <v>660</v>
      </c>
      <c r="P327" t="s">
        <v>660</v>
      </c>
      <c r="Q327">
        <v>1</v>
      </c>
      <c r="X327">
        <v>1.1299999999999999</v>
      </c>
      <c r="Y327">
        <v>0</v>
      </c>
      <c r="Z327">
        <v>0</v>
      </c>
      <c r="AA327">
        <v>0</v>
      </c>
      <c r="AB327">
        <v>9.17</v>
      </c>
      <c r="AC327">
        <v>0</v>
      </c>
      <c r="AD327">
        <v>1</v>
      </c>
      <c r="AE327">
        <v>1</v>
      </c>
      <c r="AF327" t="s">
        <v>58</v>
      </c>
      <c r="AG327">
        <v>0.90399999999999991</v>
      </c>
      <c r="AH327">
        <v>2</v>
      </c>
      <c r="AI327">
        <v>39097012</v>
      </c>
      <c r="AJ327">
        <v>343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ROW(Source!A201)</f>
        <v>201</v>
      </c>
      <c r="B328">
        <v>39097015</v>
      </c>
      <c r="C328">
        <v>39097011</v>
      </c>
      <c r="D328">
        <v>37518766</v>
      </c>
      <c r="E328">
        <v>1</v>
      </c>
      <c r="F328">
        <v>1</v>
      </c>
      <c r="G328">
        <v>1</v>
      </c>
      <c r="H328">
        <v>1</v>
      </c>
      <c r="I328" t="s">
        <v>928</v>
      </c>
      <c r="J328" t="s">
        <v>3</v>
      </c>
      <c r="K328" t="s">
        <v>929</v>
      </c>
      <c r="L328">
        <v>1191</v>
      </c>
      <c r="N328">
        <v>1013</v>
      </c>
      <c r="O328" t="s">
        <v>660</v>
      </c>
      <c r="P328" t="s">
        <v>660</v>
      </c>
      <c r="Q328">
        <v>1</v>
      </c>
      <c r="X328">
        <v>1.7</v>
      </c>
      <c r="Y328">
        <v>0</v>
      </c>
      <c r="Z328">
        <v>0</v>
      </c>
      <c r="AA328">
        <v>0</v>
      </c>
      <c r="AB328">
        <v>14.09</v>
      </c>
      <c r="AC328">
        <v>0</v>
      </c>
      <c r="AD328">
        <v>1</v>
      </c>
      <c r="AE328">
        <v>1</v>
      </c>
      <c r="AF328" t="s">
        <v>58</v>
      </c>
      <c r="AG328">
        <v>1.36</v>
      </c>
      <c r="AH328">
        <v>2</v>
      </c>
      <c r="AI328">
        <v>39097013</v>
      </c>
      <c r="AJ328">
        <v>344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ROW(Source!A239)</f>
        <v>239</v>
      </c>
      <c r="B329">
        <v>39487460</v>
      </c>
      <c r="C329">
        <v>39487450</v>
      </c>
      <c r="D329">
        <v>37071037</v>
      </c>
      <c r="E329">
        <v>1</v>
      </c>
      <c r="F329">
        <v>1</v>
      </c>
      <c r="G329">
        <v>1</v>
      </c>
      <c r="H329">
        <v>1</v>
      </c>
      <c r="I329" t="s">
        <v>697</v>
      </c>
      <c r="J329" t="s">
        <v>3</v>
      </c>
      <c r="K329" t="s">
        <v>698</v>
      </c>
      <c r="L329">
        <v>1191</v>
      </c>
      <c r="N329">
        <v>1013</v>
      </c>
      <c r="O329" t="s">
        <v>660</v>
      </c>
      <c r="P329" t="s">
        <v>660</v>
      </c>
      <c r="Q329">
        <v>1</v>
      </c>
      <c r="X329">
        <v>0.84</v>
      </c>
      <c r="Y329">
        <v>0</v>
      </c>
      <c r="Z329">
        <v>0</v>
      </c>
      <c r="AA329">
        <v>0</v>
      </c>
      <c r="AB329">
        <v>9.6199999999999992</v>
      </c>
      <c r="AC329">
        <v>0</v>
      </c>
      <c r="AD329">
        <v>1</v>
      </c>
      <c r="AE329">
        <v>1</v>
      </c>
      <c r="AF329" t="s">
        <v>390</v>
      </c>
      <c r="AG329">
        <v>0.252</v>
      </c>
      <c r="AH329">
        <v>2</v>
      </c>
      <c r="AI329">
        <v>39487451</v>
      </c>
      <c r="AJ329">
        <v>345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ROW(Source!A239)</f>
        <v>239</v>
      </c>
      <c r="B330">
        <v>39487461</v>
      </c>
      <c r="C330">
        <v>39487450</v>
      </c>
      <c r="D330">
        <v>36800424</v>
      </c>
      <c r="E330">
        <v>1</v>
      </c>
      <c r="F330">
        <v>1</v>
      </c>
      <c r="G330">
        <v>1</v>
      </c>
      <c r="H330">
        <v>3</v>
      </c>
      <c r="I330" t="s">
        <v>930</v>
      </c>
      <c r="J330" t="s">
        <v>931</v>
      </c>
      <c r="K330" t="s">
        <v>932</v>
      </c>
      <c r="L330">
        <v>1346</v>
      </c>
      <c r="N330">
        <v>1009</v>
      </c>
      <c r="O330" t="s">
        <v>138</v>
      </c>
      <c r="P330" t="s">
        <v>138</v>
      </c>
      <c r="Q330">
        <v>1</v>
      </c>
      <c r="X330">
        <v>2.0000000000000001E-4</v>
      </c>
      <c r="Y330">
        <v>27.74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57</v>
      </c>
      <c r="AG330">
        <v>0</v>
      </c>
      <c r="AH330">
        <v>2</v>
      </c>
      <c r="AI330">
        <v>39487452</v>
      </c>
      <c r="AJ330">
        <v>346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ROW(Source!A239)</f>
        <v>239</v>
      </c>
      <c r="B331">
        <v>39487462</v>
      </c>
      <c r="C331">
        <v>39487450</v>
      </c>
      <c r="D331">
        <v>36804578</v>
      </c>
      <c r="E331">
        <v>1</v>
      </c>
      <c r="F331">
        <v>1</v>
      </c>
      <c r="G331">
        <v>1</v>
      </c>
      <c r="H331">
        <v>3</v>
      </c>
      <c r="I331" t="s">
        <v>933</v>
      </c>
      <c r="J331" t="s">
        <v>934</v>
      </c>
      <c r="K331" t="s">
        <v>935</v>
      </c>
      <c r="L331">
        <v>1355</v>
      </c>
      <c r="N331">
        <v>1010</v>
      </c>
      <c r="O331" t="s">
        <v>161</v>
      </c>
      <c r="P331" t="s">
        <v>161</v>
      </c>
      <c r="Q331">
        <v>100</v>
      </c>
      <c r="X331">
        <v>0.01</v>
      </c>
      <c r="Y331">
        <v>83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57</v>
      </c>
      <c r="AG331">
        <v>0</v>
      </c>
      <c r="AH331">
        <v>2</v>
      </c>
      <c r="AI331">
        <v>39487453</v>
      </c>
      <c r="AJ331">
        <v>347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ROW(Source!A239)</f>
        <v>239</v>
      </c>
      <c r="B332">
        <v>39487463</v>
      </c>
      <c r="C332">
        <v>39487450</v>
      </c>
      <c r="D332">
        <v>36806488</v>
      </c>
      <c r="E332">
        <v>1</v>
      </c>
      <c r="F332">
        <v>1</v>
      </c>
      <c r="G332">
        <v>1</v>
      </c>
      <c r="H332">
        <v>3</v>
      </c>
      <c r="I332" t="s">
        <v>674</v>
      </c>
      <c r="J332" t="s">
        <v>675</v>
      </c>
      <c r="K332" t="s">
        <v>676</v>
      </c>
      <c r="L332">
        <v>1348</v>
      </c>
      <c r="N332">
        <v>1009</v>
      </c>
      <c r="O332" t="s">
        <v>110</v>
      </c>
      <c r="P332" t="s">
        <v>110</v>
      </c>
      <c r="Q332">
        <v>1000</v>
      </c>
      <c r="X332">
        <v>1.0000000000000001E-5</v>
      </c>
      <c r="Y332">
        <v>729.98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57</v>
      </c>
      <c r="AG332">
        <v>0</v>
      </c>
      <c r="AH332">
        <v>2</v>
      </c>
      <c r="AI332">
        <v>39487454</v>
      </c>
      <c r="AJ332">
        <v>348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ROW(Source!A239)</f>
        <v>239</v>
      </c>
      <c r="B333">
        <v>39487464</v>
      </c>
      <c r="C333">
        <v>39487450</v>
      </c>
      <c r="D333">
        <v>36829536</v>
      </c>
      <c r="E333">
        <v>1</v>
      </c>
      <c r="F333">
        <v>1</v>
      </c>
      <c r="G333">
        <v>1</v>
      </c>
      <c r="H333">
        <v>3</v>
      </c>
      <c r="I333" t="s">
        <v>936</v>
      </c>
      <c r="J333" t="s">
        <v>937</v>
      </c>
      <c r="K333" t="s">
        <v>938</v>
      </c>
      <c r="L333">
        <v>1346</v>
      </c>
      <c r="N333">
        <v>1009</v>
      </c>
      <c r="O333" t="s">
        <v>138</v>
      </c>
      <c r="P333" t="s">
        <v>138</v>
      </c>
      <c r="Q333">
        <v>1</v>
      </c>
      <c r="X333">
        <v>2E-3</v>
      </c>
      <c r="Y333">
        <v>65.75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57</v>
      </c>
      <c r="AG333">
        <v>0</v>
      </c>
      <c r="AH333">
        <v>2</v>
      </c>
      <c r="AI333">
        <v>39487455</v>
      </c>
      <c r="AJ333">
        <v>349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ROW(Source!A239)</f>
        <v>239</v>
      </c>
      <c r="B334">
        <v>39487465</v>
      </c>
      <c r="C334">
        <v>39487450</v>
      </c>
      <c r="D334">
        <v>36836995</v>
      </c>
      <c r="E334">
        <v>1</v>
      </c>
      <c r="F334">
        <v>1</v>
      </c>
      <c r="G334">
        <v>1</v>
      </c>
      <c r="H334">
        <v>3</v>
      </c>
      <c r="I334" t="s">
        <v>939</v>
      </c>
      <c r="J334" t="s">
        <v>940</v>
      </c>
      <c r="K334" t="s">
        <v>941</v>
      </c>
      <c r="L334">
        <v>1346</v>
      </c>
      <c r="N334">
        <v>1009</v>
      </c>
      <c r="O334" t="s">
        <v>138</v>
      </c>
      <c r="P334" t="s">
        <v>138</v>
      </c>
      <c r="Q334">
        <v>1</v>
      </c>
      <c r="X334">
        <v>5.0000000000000001E-3</v>
      </c>
      <c r="Y334">
        <v>28.93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57</v>
      </c>
      <c r="AG334">
        <v>0</v>
      </c>
      <c r="AH334">
        <v>2</v>
      </c>
      <c r="AI334">
        <v>39487456</v>
      </c>
      <c r="AJ334">
        <v>350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ROW(Source!A239)</f>
        <v>239</v>
      </c>
      <c r="B335">
        <v>39487466</v>
      </c>
      <c r="C335">
        <v>39487450</v>
      </c>
      <c r="D335">
        <v>36799065</v>
      </c>
      <c r="E335">
        <v>17</v>
      </c>
      <c r="F335">
        <v>1</v>
      </c>
      <c r="G335">
        <v>1</v>
      </c>
      <c r="H335">
        <v>3</v>
      </c>
      <c r="I335" t="s">
        <v>835</v>
      </c>
      <c r="J335" t="s">
        <v>3</v>
      </c>
      <c r="K335" t="s">
        <v>836</v>
      </c>
      <c r="L335">
        <v>1374</v>
      </c>
      <c r="N335">
        <v>1013</v>
      </c>
      <c r="O335" t="s">
        <v>837</v>
      </c>
      <c r="P335" t="s">
        <v>837</v>
      </c>
      <c r="Q335">
        <v>1</v>
      </c>
      <c r="X335">
        <v>0.16</v>
      </c>
      <c r="Y335">
        <v>1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57</v>
      </c>
      <c r="AG335">
        <v>0</v>
      </c>
      <c r="AH335">
        <v>2</v>
      </c>
      <c r="AI335">
        <v>39487459</v>
      </c>
      <c r="AJ335">
        <v>351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ROW(Source!A240)</f>
        <v>240</v>
      </c>
      <c r="B336">
        <v>39097025</v>
      </c>
      <c r="C336">
        <v>39097016</v>
      </c>
      <c r="D336">
        <v>37071037</v>
      </c>
      <c r="E336">
        <v>1</v>
      </c>
      <c r="F336">
        <v>1</v>
      </c>
      <c r="G336">
        <v>1</v>
      </c>
      <c r="H336">
        <v>1</v>
      </c>
      <c r="I336" t="s">
        <v>697</v>
      </c>
      <c r="J336" t="s">
        <v>3</v>
      </c>
      <c r="K336" t="s">
        <v>698</v>
      </c>
      <c r="L336">
        <v>1191</v>
      </c>
      <c r="N336">
        <v>1013</v>
      </c>
      <c r="O336" t="s">
        <v>660</v>
      </c>
      <c r="P336" t="s">
        <v>660</v>
      </c>
      <c r="Q336">
        <v>1</v>
      </c>
      <c r="X336">
        <v>0.84</v>
      </c>
      <c r="Y336">
        <v>0</v>
      </c>
      <c r="Z336">
        <v>0</v>
      </c>
      <c r="AA336">
        <v>0</v>
      </c>
      <c r="AB336">
        <v>9.6199999999999992</v>
      </c>
      <c r="AC336">
        <v>0</v>
      </c>
      <c r="AD336">
        <v>1</v>
      </c>
      <c r="AE336">
        <v>1</v>
      </c>
      <c r="AF336" t="s">
        <v>3</v>
      </c>
      <c r="AG336">
        <v>0.84</v>
      </c>
      <c r="AH336">
        <v>2</v>
      </c>
      <c r="AI336">
        <v>39097017</v>
      </c>
      <c r="AJ336">
        <v>352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ROW(Source!A240)</f>
        <v>240</v>
      </c>
      <c r="B337">
        <v>39097026</v>
      </c>
      <c r="C337">
        <v>39097016</v>
      </c>
      <c r="D337">
        <v>36800424</v>
      </c>
      <c r="E337">
        <v>1</v>
      </c>
      <c r="F337">
        <v>1</v>
      </c>
      <c r="G337">
        <v>1</v>
      </c>
      <c r="H337">
        <v>3</v>
      </c>
      <c r="I337" t="s">
        <v>930</v>
      </c>
      <c r="J337" t="s">
        <v>931</v>
      </c>
      <c r="K337" t="s">
        <v>932</v>
      </c>
      <c r="L337">
        <v>1346</v>
      </c>
      <c r="N337">
        <v>1009</v>
      </c>
      <c r="O337" t="s">
        <v>138</v>
      </c>
      <c r="P337" t="s">
        <v>138</v>
      </c>
      <c r="Q337">
        <v>1</v>
      </c>
      <c r="X337">
        <v>2.0000000000000001E-4</v>
      </c>
      <c r="Y337">
        <v>27.74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2.0000000000000001E-4</v>
      </c>
      <c r="AH337">
        <v>2</v>
      </c>
      <c r="AI337">
        <v>39097018</v>
      </c>
      <c r="AJ337">
        <v>353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ROW(Source!A240)</f>
        <v>240</v>
      </c>
      <c r="B338">
        <v>39097027</v>
      </c>
      <c r="C338">
        <v>39097016</v>
      </c>
      <c r="D338">
        <v>36804578</v>
      </c>
      <c r="E338">
        <v>1</v>
      </c>
      <c r="F338">
        <v>1</v>
      </c>
      <c r="G338">
        <v>1</v>
      </c>
      <c r="H338">
        <v>3</v>
      </c>
      <c r="I338" t="s">
        <v>933</v>
      </c>
      <c r="J338" t="s">
        <v>934</v>
      </c>
      <c r="K338" t="s">
        <v>935</v>
      </c>
      <c r="L338">
        <v>1355</v>
      </c>
      <c r="N338">
        <v>1010</v>
      </c>
      <c r="O338" t="s">
        <v>161</v>
      </c>
      <c r="P338" t="s">
        <v>161</v>
      </c>
      <c r="Q338">
        <v>100</v>
      </c>
      <c r="X338">
        <v>0.01</v>
      </c>
      <c r="Y338">
        <v>83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0.01</v>
      </c>
      <c r="AH338">
        <v>2</v>
      </c>
      <c r="AI338">
        <v>39097019</v>
      </c>
      <c r="AJ338">
        <v>354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ROW(Source!A240)</f>
        <v>240</v>
      </c>
      <c r="B339">
        <v>39097028</v>
      </c>
      <c r="C339">
        <v>39097016</v>
      </c>
      <c r="D339">
        <v>36806488</v>
      </c>
      <c r="E339">
        <v>1</v>
      </c>
      <c r="F339">
        <v>1</v>
      </c>
      <c r="G339">
        <v>1</v>
      </c>
      <c r="H339">
        <v>3</v>
      </c>
      <c r="I339" t="s">
        <v>674</v>
      </c>
      <c r="J339" t="s">
        <v>675</v>
      </c>
      <c r="K339" t="s">
        <v>676</v>
      </c>
      <c r="L339">
        <v>1348</v>
      </c>
      <c r="N339">
        <v>1009</v>
      </c>
      <c r="O339" t="s">
        <v>110</v>
      </c>
      <c r="P339" t="s">
        <v>110</v>
      </c>
      <c r="Q339">
        <v>1000</v>
      </c>
      <c r="X339">
        <v>1.0000000000000001E-5</v>
      </c>
      <c r="Y339">
        <v>729.98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1.0000000000000001E-5</v>
      </c>
      <c r="AH339">
        <v>2</v>
      </c>
      <c r="AI339">
        <v>39097020</v>
      </c>
      <c r="AJ339">
        <v>355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ROW(Source!A240)</f>
        <v>240</v>
      </c>
      <c r="B340">
        <v>39097029</v>
      </c>
      <c r="C340">
        <v>39097016</v>
      </c>
      <c r="D340">
        <v>36829536</v>
      </c>
      <c r="E340">
        <v>1</v>
      </c>
      <c r="F340">
        <v>1</v>
      </c>
      <c r="G340">
        <v>1</v>
      </c>
      <c r="H340">
        <v>3</v>
      </c>
      <c r="I340" t="s">
        <v>936</v>
      </c>
      <c r="J340" t="s">
        <v>937</v>
      </c>
      <c r="K340" t="s">
        <v>938</v>
      </c>
      <c r="L340">
        <v>1346</v>
      </c>
      <c r="N340">
        <v>1009</v>
      </c>
      <c r="O340" t="s">
        <v>138</v>
      </c>
      <c r="P340" t="s">
        <v>138</v>
      </c>
      <c r="Q340">
        <v>1</v>
      </c>
      <c r="X340">
        <v>2E-3</v>
      </c>
      <c r="Y340">
        <v>65.75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2E-3</v>
      </c>
      <c r="AH340">
        <v>2</v>
      </c>
      <c r="AI340">
        <v>39097021</v>
      </c>
      <c r="AJ340">
        <v>356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ROW(Source!A240)</f>
        <v>240</v>
      </c>
      <c r="B341">
        <v>39097030</v>
      </c>
      <c r="C341">
        <v>39097016</v>
      </c>
      <c r="D341">
        <v>36836995</v>
      </c>
      <c r="E341">
        <v>1</v>
      </c>
      <c r="F341">
        <v>1</v>
      </c>
      <c r="G341">
        <v>1</v>
      </c>
      <c r="H341">
        <v>3</v>
      </c>
      <c r="I341" t="s">
        <v>939</v>
      </c>
      <c r="J341" t="s">
        <v>940</v>
      </c>
      <c r="K341" t="s">
        <v>941</v>
      </c>
      <c r="L341">
        <v>1346</v>
      </c>
      <c r="N341">
        <v>1009</v>
      </c>
      <c r="O341" t="s">
        <v>138</v>
      </c>
      <c r="P341" t="s">
        <v>138</v>
      </c>
      <c r="Q341">
        <v>1</v>
      </c>
      <c r="X341">
        <v>5.0000000000000001E-3</v>
      </c>
      <c r="Y341">
        <v>28.93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5.0000000000000001E-3</v>
      </c>
      <c r="AH341">
        <v>2</v>
      </c>
      <c r="AI341">
        <v>39097022</v>
      </c>
      <c r="AJ341">
        <v>357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ROW(Source!A240)</f>
        <v>240</v>
      </c>
      <c r="B342">
        <v>39097031</v>
      </c>
      <c r="C342">
        <v>39097016</v>
      </c>
      <c r="D342">
        <v>36799065</v>
      </c>
      <c r="E342">
        <v>17</v>
      </c>
      <c r="F342">
        <v>1</v>
      </c>
      <c r="G342">
        <v>1</v>
      </c>
      <c r="H342">
        <v>3</v>
      </c>
      <c r="I342" t="s">
        <v>835</v>
      </c>
      <c r="J342" t="s">
        <v>3</v>
      </c>
      <c r="K342" t="s">
        <v>836</v>
      </c>
      <c r="L342">
        <v>1374</v>
      </c>
      <c r="N342">
        <v>1013</v>
      </c>
      <c r="O342" t="s">
        <v>837</v>
      </c>
      <c r="P342" t="s">
        <v>837</v>
      </c>
      <c r="Q342">
        <v>1</v>
      </c>
      <c r="X342">
        <v>0.16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0.16</v>
      </c>
      <c r="AH342">
        <v>2</v>
      </c>
      <c r="AI342">
        <v>39097023</v>
      </c>
      <c r="AJ342">
        <v>359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ROW(Source!A242)</f>
        <v>242</v>
      </c>
      <c r="B343">
        <v>39490144</v>
      </c>
      <c r="C343">
        <v>39490143</v>
      </c>
      <c r="D343">
        <v>37080781</v>
      </c>
      <c r="E343">
        <v>1</v>
      </c>
      <c r="F343">
        <v>1</v>
      </c>
      <c r="G343">
        <v>1</v>
      </c>
      <c r="H343">
        <v>1</v>
      </c>
      <c r="I343" t="s">
        <v>702</v>
      </c>
      <c r="J343" t="s">
        <v>3</v>
      </c>
      <c r="K343" t="s">
        <v>703</v>
      </c>
      <c r="L343">
        <v>1191</v>
      </c>
      <c r="N343">
        <v>1013</v>
      </c>
      <c r="O343" t="s">
        <v>660</v>
      </c>
      <c r="P343" t="s">
        <v>660</v>
      </c>
      <c r="Q343">
        <v>1</v>
      </c>
      <c r="X343">
        <v>5.4</v>
      </c>
      <c r="Y343">
        <v>0</v>
      </c>
      <c r="Z343">
        <v>0</v>
      </c>
      <c r="AA343">
        <v>0</v>
      </c>
      <c r="AB343">
        <v>9.92</v>
      </c>
      <c r="AC343">
        <v>0</v>
      </c>
      <c r="AD343">
        <v>1</v>
      </c>
      <c r="AE343">
        <v>1</v>
      </c>
      <c r="AF343" t="s">
        <v>3</v>
      </c>
      <c r="AG343">
        <v>5.4</v>
      </c>
      <c r="AH343">
        <v>2</v>
      </c>
      <c r="AI343">
        <v>39490144</v>
      </c>
      <c r="AJ343">
        <v>360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ROW(Source!A242)</f>
        <v>242</v>
      </c>
      <c r="B344">
        <v>39490145</v>
      </c>
      <c r="C344">
        <v>39490143</v>
      </c>
      <c r="D344">
        <v>36800424</v>
      </c>
      <c r="E344">
        <v>1</v>
      </c>
      <c r="F344">
        <v>1</v>
      </c>
      <c r="G344">
        <v>1</v>
      </c>
      <c r="H344">
        <v>3</v>
      </c>
      <c r="I344" t="s">
        <v>930</v>
      </c>
      <c r="J344" t="s">
        <v>931</v>
      </c>
      <c r="K344" t="s">
        <v>932</v>
      </c>
      <c r="L344">
        <v>1346</v>
      </c>
      <c r="N344">
        <v>1009</v>
      </c>
      <c r="O344" t="s">
        <v>138</v>
      </c>
      <c r="P344" t="s">
        <v>138</v>
      </c>
      <c r="Q344">
        <v>1</v>
      </c>
      <c r="X344">
        <v>1.2E-2</v>
      </c>
      <c r="Y344">
        <v>27.74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1.2E-2</v>
      </c>
      <c r="AH344">
        <v>2</v>
      </c>
      <c r="AI344">
        <v>39490145</v>
      </c>
      <c r="AJ344">
        <v>361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ROW(Source!A242)</f>
        <v>242</v>
      </c>
      <c r="B345">
        <v>39490146</v>
      </c>
      <c r="C345">
        <v>39490143</v>
      </c>
      <c r="D345">
        <v>36804578</v>
      </c>
      <c r="E345">
        <v>1</v>
      </c>
      <c r="F345">
        <v>1</v>
      </c>
      <c r="G345">
        <v>1</v>
      </c>
      <c r="H345">
        <v>3</v>
      </c>
      <c r="I345" t="s">
        <v>933</v>
      </c>
      <c r="J345" t="s">
        <v>934</v>
      </c>
      <c r="K345" t="s">
        <v>935</v>
      </c>
      <c r="L345">
        <v>1355</v>
      </c>
      <c r="N345">
        <v>1010</v>
      </c>
      <c r="O345" t="s">
        <v>161</v>
      </c>
      <c r="P345" t="s">
        <v>161</v>
      </c>
      <c r="Q345">
        <v>100</v>
      </c>
      <c r="X345">
        <v>0.04</v>
      </c>
      <c r="Y345">
        <v>83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0.04</v>
      </c>
      <c r="AH345">
        <v>2</v>
      </c>
      <c r="AI345">
        <v>39490146</v>
      </c>
      <c r="AJ345">
        <v>362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ROW(Source!A242)</f>
        <v>242</v>
      </c>
      <c r="B346">
        <v>39490147</v>
      </c>
      <c r="C346">
        <v>39490143</v>
      </c>
      <c r="D346">
        <v>36829536</v>
      </c>
      <c r="E346">
        <v>1</v>
      </c>
      <c r="F346">
        <v>1</v>
      </c>
      <c r="G346">
        <v>1</v>
      </c>
      <c r="H346">
        <v>3</v>
      </c>
      <c r="I346" t="s">
        <v>936</v>
      </c>
      <c r="J346" t="s">
        <v>937</v>
      </c>
      <c r="K346" t="s">
        <v>938</v>
      </c>
      <c r="L346">
        <v>1346</v>
      </c>
      <c r="N346">
        <v>1009</v>
      </c>
      <c r="O346" t="s">
        <v>138</v>
      </c>
      <c r="P346" t="s">
        <v>138</v>
      </c>
      <c r="Q346">
        <v>1</v>
      </c>
      <c r="X346">
        <v>0.12</v>
      </c>
      <c r="Y346">
        <v>65.75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0.12</v>
      </c>
      <c r="AH346">
        <v>2</v>
      </c>
      <c r="AI346">
        <v>39490147</v>
      </c>
      <c r="AJ346">
        <v>363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ROW(Source!A242)</f>
        <v>242</v>
      </c>
      <c r="B347">
        <v>39490148</v>
      </c>
      <c r="C347">
        <v>39490143</v>
      </c>
      <c r="D347">
        <v>36799065</v>
      </c>
      <c r="E347">
        <v>17</v>
      </c>
      <c r="F347">
        <v>1</v>
      </c>
      <c r="G347">
        <v>1</v>
      </c>
      <c r="H347">
        <v>3</v>
      </c>
      <c r="I347" t="s">
        <v>835</v>
      </c>
      <c r="J347" t="s">
        <v>3</v>
      </c>
      <c r="K347" t="s">
        <v>836</v>
      </c>
      <c r="L347">
        <v>1374</v>
      </c>
      <c r="N347">
        <v>1013</v>
      </c>
      <c r="O347" t="s">
        <v>837</v>
      </c>
      <c r="P347" t="s">
        <v>837</v>
      </c>
      <c r="Q347">
        <v>1</v>
      </c>
      <c r="X347">
        <v>1.07</v>
      </c>
      <c r="Y347">
        <v>1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1.07</v>
      </c>
      <c r="AH347">
        <v>2</v>
      </c>
      <c r="AI347">
        <v>39490148</v>
      </c>
      <c r="AJ347">
        <v>365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ROW(Source!A244)</f>
        <v>244</v>
      </c>
      <c r="B348">
        <v>39097038</v>
      </c>
      <c r="C348">
        <v>39097033</v>
      </c>
      <c r="D348">
        <v>37072767</v>
      </c>
      <c r="E348">
        <v>1</v>
      </c>
      <c r="F348">
        <v>1</v>
      </c>
      <c r="G348">
        <v>1</v>
      </c>
      <c r="H348">
        <v>1</v>
      </c>
      <c r="I348" t="s">
        <v>733</v>
      </c>
      <c r="J348" t="s">
        <v>3</v>
      </c>
      <c r="K348" t="s">
        <v>734</v>
      </c>
      <c r="L348">
        <v>1191</v>
      </c>
      <c r="N348">
        <v>1013</v>
      </c>
      <c r="O348" t="s">
        <v>660</v>
      </c>
      <c r="P348" t="s">
        <v>660</v>
      </c>
      <c r="Q348">
        <v>1</v>
      </c>
      <c r="X348">
        <v>15.2</v>
      </c>
      <c r="Y348">
        <v>0</v>
      </c>
      <c r="Z348">
        <v>0</v>
      </c>
      <c r="AA348">
        <v>0</v>
      </c>
      <c r="AB348">
        <v>9.18</v>
      </c>
      <c r="AC348">
        <v>0</v>
      </c>
      <c r="AD348">
        <v>1</v>
      </c>
      <c r="AE348">
        <v>1</v>
      </c>
      <c r="AF348" t="s">
        <v>3</v>
      </c>
      <c r="AG348">
        <v>15.2</v>
      </c>
      <c r="AH348">
        <v>2</v>
      </c>
      <c r="AI348">
        <v>39097034</v>
      </c>
      <c r="AJ348">
        <v>366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ROW(Source!A244)</f>
        <v>244</v>
      </c>
      <c r="B349">
        <v>39097039</v>
      </c>
      <c r="C349">
        <v>39097033</v>
      </c>
      <c r="D349">
        <v>36804661</v>
      </c>
      <c r="E349">
        <v>1</v>
      </c>
      <c r="F349">
        <v>1</v>
      </c>
      <c r="G349">
        <v>1</v>
      </c>
      <c r="H349">
        <v>3</v>
      </c>
      <c r="I349" t="s">
        <v>899</v>
      </c>
      <c r="J349" t="s">
        <v>900</v>
      </c>
      <c r="K349" t="s">
        <v>901</v>
      </c>
      <c r="L349">
        <v>1355</v>
      </c>
      <c r="N349">
        <v>1010</v>
      </c>
      <c r="O349" t="s">
        <v>161</v>
      </c>
      <c r="P349" t="s">
        <v>161</v>
      </c>
      <c r="Q349">
        <v>100</v>
      </c>
      <c r="X349">
        <v>1.75</v>
      </c>
      <c r="Y349">
        <v>8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1.75</v>
      </c>
      <c r="AH349">
        <v>2</v>
      </c>
      <c r="AI349">
        <v>39097035</v>
      </c>
      <c r="AJ349">
        <v>367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ROW(Source!A244)</f>
        <v>244</v>
      </c>
      <c r="B350">
        <v>39097040</v>
      </c>
      <c r="C350">
        <v>39097033</v>
      </c>
      <c r="D350">
        <v>36799065</v>
      </c>
      <c r="E350">
        <v>17</v>
      </c>
      <c r="F350">
        <v>1</v>
      </c>
      <c r="G350">
        <v>1</v>
      </c>
      <c r="H350">
        <v>3</v>
      </c>
      <c r="I350" t="s">
        <v>835</v>
      </c>
      <c r="J350" t="s">
        <v>3</v>
      </c>
      <c r="K350" t="s">
        <v>836</v>
      </c>
      <c r="L350">
        <v>1374</v>
      </c>
      <c r="N350">
        <v>1013</v>
      </c>
      <c r="O350" t="s">
        <v>837</v>
      </c>
      <c r="P350" t="s">
        <v>837</v>
      </c>
      <c r="Q350">
        <v>1</v>
      </c>
      <c r="X350">
        <v>2.79</v>
      </c>
      <c r="Y350">
        <v>1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2.79</v>
      </c>
      <c r="AH350">
        <v>2</v>
      </c>
      <c r="AI350">
        <v>39097036</v>
      </c>
      <c r="AJ350">
        <v>369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ROW(Source!A246)</f>
        <v>246</v>
      </c>
      <c r="B351">
        <v>39097054</v>
      </c>
      <c r="C351">
        <v>39097042</v>
      </c>
      <c r="D351">
        <v>37064878</v>
      </c>
      <c r="E351">
        <v>1</v>
      </c>
      <c r="F351">
        <v>1</v>
      </c>
      <c r="G351">
        <v>1</v>
      </c>
      <c r="H351">
        <v>1</v>
      </c>
      <c r="I351" t="s">
        <v>744</v>
      </c>
      <c r="J351" t="s">
        <v>3</v>
      </c>
      <c r="K351" t="s">
        <v>745</v>
      </c>
      <c r="L351">
        <v>1191</v>
      </c>
      <c r="N351">
        <v>1013</v>
      </c>
      <c r="O351" t="s">
        <v>660</v>
      </c>
      <c r="P351" t="s">
        <v>660</v>
      </c>
      <c r="Q351">
        <v>1</v>
      </c>
      <c r="X351">
        <v>5.39</v>
      </c>
      <c r="Y351">
        <v>0</v>
      </c>
      <c r="Z351">
        <v>0</v>
      </c>
      <c r="AA351">
        <v>0</v>
      </c>
      <c r="AB351">
        <v>9.4</v>
      </c>
      <c r="AC351">
        <v>0</v>
      </c>
      <c r="AD351">
        <v>1</v>
      </c>
      <c r="AE351">
        <v>1</v>
      </c>
      <c r="AF351" t="s">
        <v>3</v>
      </c>
      <c r="AG351">
        <v>5.39</v>
      </c>
      <c r="AH351">
        <v>2</v>
      </c>
      <c r="AI351">
        <v>39097043</v>
      </c>
      <c r="AJ351">
        <v>370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ROW(Source!A246)</f>
        <v>246</v>
      </c>
      <c r="B352">
        <v>39097055</v>
      </c>
      <c r="C352">
        <v>39097042</v>
      </c>
      <c r="D352">
        <v>37064876</v>
      </c>
      <c r="E352">
        <v>1</v>
      </c>
      <c r="F352">
        <v>1</v>
      </c>
      <c r="G352">
        <v>1</v>
      </c>
      <c r="H352">
        <v>1</v>
      </c>
      <c r="I352" t="s">
        <v>661</v>
      </c>
      <c r="J352" t="s">
        <v>3</v>
      </c>
      <c r="K352" t="s">
        <v>662</v>
      </c>
      <c r="L352">
        <v>1191</v>
      </c>
      <c r="N352">
        <v>1013</v>
      </c>
      <c r="O352" t="s">
        <v>660</v>
      </c>
      <c r="P352" t="s">
        <v>660</v>
      </c>
      <c r="Q352">
        <v>1</v>
      </c>
      <c r="X352">
        <v>0.04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3</v>
      </c>
      <c r="AG352">
        <v>0.04</v>
      </c>
      <c r="AH352">
        <v>2</v>
      </c>
      <c r="AI352">
        <v>39097044</v>
      </c>
      <c r="AJ352">
        <v>371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ROW(Source!A246)</f>
        <v>246</v>
      </c>
      <c r="B353">
        <v>39097056</v>
      </c>
      <c r="C353">
        <v>39097042</v>
      </c>
      <c r="D353">
        <v>36882159</v>
      </c>
      <c r="E353">
        <v>1</v>
      </c>
      <c r="F353">
        <v>1</v>
      </c>
      <c r="G353">
        <v>1</v>
      </c>
      <c r="H353">
        <v>2</v>
      </c>
      <c r="I353" t="s">
        <v>802</v>
      </c>
      <c r="J353" t="s">
        <v>803</v>
      </c>
      <c r="K353" t="s">
        <v>804</v>
      </c>
      <c r="L353">
        <v>1368</v>
      </c>
      <c r="N353">
        <v>1011</v>
      </c>
      <c r="O353" t="s">
        <v>666</v>
      </c>
      <c r="P353" t="s">
        <v>666</v>
      </c>
      <c r="Q353">
        <v>1</v>
      </c>
      <c r="X353">
        <v>0.02</v>
      </c>
      <c r="Y353">
        <v>0</v>
      </c>
      <c r="Z353">
        <v>111.99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0.02</v>
      </c>
      <c r="AH353">
        <v>2</v>
      </c>
      <c r="AI353">
        <v>39097045</v>
      </c>
      <c r="AJ353">
        <v>372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ROW(Source!A246)</f>
        <v>246</v>
      </c>
      <c r="B354">
        <v>39097057</v>
      </c>
      <c r="C354">
        <v>39097042</v>
      </c>
      <c r="D354">
        <v>36883554</v>
      </c>
      <c r="E354">
        <v>1</v>
      </c>
      <c r="F354">
        <v>1</v>
      </c>
      <c r="G354">
        <v>1</v>
      </c>
      <c r="H354">
        <v>2</v>
      </c>
      <c r="I354" t="s">
        <v>679</v>
      </c>
      <c r="J354" t="s">
        <v>680</v>
      </c>
      <c r="K354" t="s">
        <v>681</v>
      </c>
      <c r="L354">
        <v>1368</v>
      </c>
      <c r="N354">
        <v>1011</v>
      </c>
      <c r="O354" t="s">
        <v>666</v>
      </c>
      <c r="P354" t="s">
        <v>666</v>
      </c>
      <c r="Q354">
        <v>1</v>
      </c>
      <c r="X354">
        <v>0.02</v>
      </c>
      <c r="Y354">
        <v>0</v>
      </c>
      <c r="Z354">
        <v>65.709999999999994</v>
      </c>
      <c r="AA354">
        <v>11.6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0.02</v>
      </c>
      <c r="AH354">
        <v>2</v>
      </c>
      <c r="AI354">
        <v>39097046</v>
      </c>
      <c r="AJ354">
        <v>373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ROW(Source!A246)</f>
        <v>246</v>
      </c>
      <c r="B355">
        <v>39097058</v>
      </c>
      <c r="C355">
        <v>39097042</v>
      </c>
      <c r="D355">
        <v>36802094</v>
      </c>
      <c r="E355">
        <v>1</v>
      </c>
      <c r="F355">
        <v>1</v>
      </c>
      <c r="G355">
        <v>1</v>
      </c>
      <c r="H355">
        <v>3</v>
      </c>
      <c r="I355" t="s">
        <v>852</v>
      </c>
      <c r="J355" t="s">
        <v>853</v>
      </c>
      <c r="K355" t="s">
        <v>854</v>
      </c>
      <c r="L355">
        <v>1346</v>
      </c>
      <c r="N355">
        <v>1009</v>
      </c>
      <c r="O355" t="s">
        <v>138</v>
      </c>
      <c r="P355" t="s">
        <v>138</v>
      </c>
      <c r="Q355">
        <v>1</v>
      </c>
      <c r="X355">
        <v>0.16</v>
      </c>
      <c r="Y355">
        <v>30.4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0.16</v>
      </c>
      <c r="AH355">
        <v>2</v>
      </c>
      <c r="AI355">
        <v>39097047</v>
      </c>
      <c r="AJ355">
        <v>374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ROW(Source!A246)</f>
        <v>246</v>
      </c>
      <c r="B356">
        <v>39097059</v>
      </c>
      <c r="C356">
        <v>39097042</v>
      </c>
      <c r="D356">
        <v>36802373</v>
      </c>
      <c r="E356">
        <v>1</v>
      </c>
      <c r="F356">
        <v>1</v>
      </c>
      <c r="G356">
        <v>1</v>
      </c>
      <c r="H356">
        <v>3</v>
      </c>
      <c r="I356" t="s">
        <v>905</v>
      </c>
      <c r="J356" t="s">
        <v>906</v>
      </c>
      <c r="K356" t="s">
        <v>907</v>
      </c>
      <c r="L356">
        <v>1348</v>
      </c>
      <c r="N356">
        <v>1009</v>
      </c>
      <c r="O356" t="s">
        <v>110</v>
      </c>
      <c r="P356" t="s">
        <v>110</v>
      </c>
      <c r="Q356">
        <v>1000</v>
      </c>
      <c r="X356">
        <v>5.9999999999999995E-4</v>
      </c>
      <c r="Y356">
        <v>1820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5.9999999999999995E-4</v>
      </c>
      <c r="AH356">
        <v>2</v>
      </c>
      <c r="AI356">
        <v>39097048</v>
      </c>
      <c r="AJ356">
        <v>375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ROW(Source!A246)</f>
        <v>246</v>
      </c>
      <c r="B357">
        <v>39097060</v>
      </c>
      <c r="C357">
        <v>39097042</v>
      </c>
      <c r="D357">
        <v>36838317</v>
      </c>
      <c r="E357">
        <v>1</v>
      </c>
      <c r="F357">
        <v>1</v>
      </c>
      <c r="G357">
        <v>1</v>
      </c>
      <c r="H357">
        <v>3</v>
      </c>
      <c r="I357" t="s">
        <v>870</v>
      </c>
      <c r="J357" t="s">
        <v>871</v>
      </c>
      <c r="K357" t="s">
        <v>872</v>
      </c>
      <c r="L357">
        <v>1346</v>
      </c>
      <c r="N357">
        <v>1009</v>
      </c>
      <c r="O357" t="s">
        <v>138</v>
      </c>
      <c r="P357" t="s">
        <v>138</v>
      </c>
      <c r="Q357">
        <v>1</v>
      </c>
      <c r="X357">
        <v>0.02</v>
      </c>
      <c r="Y357">
        <v>28.6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0.02</v>
      </c>
      <c r="AH357">
        <v>2</v>
      </c>
      <c r="AI357">
        <v>39097049</v>
      </c>
      <c r="AJ357">
        <v>376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ROW(Source!A246)</f>
        <v>246</v>
      </c>
      <c r="B358">
        <v>39097061</v>
      </c>
      <c r="C358">
        <v>39097042</v>
      </c>
      <c r="D358">
        <v>36852009</v>
      </c>
      <c r="E358">
        <v>1</v>
      </c>
      <c r="F358">
        <v>1</v>
      </c>
      <c r="G358">
        <v>1</v>
      </c>
      <c r="H358">
        <v>3</v>
      </c>
      <c r="I358" t="s">
        <v>942</v>
      </c>
      <c r="J358" t="s">
        <v>943</v>
      </c>
      <c r="K358" t="s">
        <v>944</v>
      </c>
      <c r="L358">
        <v>1355</v>
      </c>
      <c r="N358">
        <v>1010</v>
      </c>
      <c r="O358" t="s">
        <v>161</v>
      </c>
      <c r="P358" t="s">
        <v>161</v>
      </c>
      <c r="Q358">
        <v>100</v>
      </c>
      <c r="X358">
        <v>0.05</v>
      </c>
      <c r="Y358">
        <v>110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0.05</v>
      </c>
      <c r="AH358">
        <v>2</v>
      </c>
      <c r="AI358">
        <v>39097050</v>
      </c>
      <c r="AJ358">
        <v>377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ROW(Source!A246)</f>
        <v>246</v>
      </c>
      <c r="B359">
        <v>39097062</v>
      </c>
      <c r="C359">
        <v>39097042</v>
      </c>
      <c r="D359">
        <v>36852060</v>
      </c>
      <c r="E359">
        <v>1</v>
      </c>
      <c r="F359">
        <v>1</v>
      </c>
      <c r="G359">
        <v>1</v>
      </c>
      <c r="H359">
        <v>3</v>
      </c>
      <c r="I359" t="s">
        <v>945</v>
      </c>
      <c r="J359" t="s">
        <v>946</v>
      </c>
      <c r="K359" t="s">
        <v>947</v>
      </c>
      <c r="L359">
        <v>1356</v>
      </c>
      <c r="N359">
        <v>1010</v>
      </c>
      <c r="O359" t="s">
        <v>741</v>
      </c>
      <c r="P359" t="s">
        <v>741</v>
      </c>
      <c r="Q359">
        <v>1000</v>
      </c>
      <c r="X359">
        <v>1.2200000000000001E-2</v>
      </c>
      <c r="Y359">
        <v>119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1.2200000000000001E-2</v>
      </c>
      <c r="AH359">
        <v>2</v>
      </c>
      <c r="AI359">
        <v>39097051</v>
      </c>
      <c r="AJ359">
        <v>378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ROW(Source!A246)</f>
        <v>246</v>
      </c>
      <c r="B360">
        <v>39097063</v>
      </c>
      <c r="C360">
        <v>39097042</v>
      </c>
      <c r="D360">
        <v>36799065</v>
      </c>
      <c r="E360">
        <v>17</v>
      </c>
      <c r="F360">
        <v>1</v>
      </c>
      <c r="G360">
        <v>1</v>
      </c>
      <c r="H360">
        <v>3</v>
      </c>
      <c r="I360" t="s">
        <v>835</v>
      </c>
      <c r="J360" t="s">
        <v>3</v>
      </c>
      <c r="K360" t="s">
        <v>836</v>
      </c>
      <c r="L360">
        <v>1374</v>
      </c>
      <c r="N360">
        <v>1013</v>
      </c>
      <c r="O360" t="s">
        <v>837</v>
      </c>
      <c r="P360" t="s">
        <v>837</v>
      </c>
      <c r="Q360">
        <v>1</v>
      </c>
      <c r="X360">
        <v>1.01</v>
      </c>
      <c r="Y360">
        <v>1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1.01</v>
      </c>
      <c r="AH360">
        <v>2</v>
      </c>
      <c r="AI360">
        <v>39097052</v>
      </c>
      <c r="AJ360">
        <v>380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ROW(Source!A248)</f>
        <v>248</v>
      </c>
      <c r="B361">
        <v>39097828</v>
      </c>
      <c r="C361">
        <v>39097827</v>
      </c>
      <c r="D361">
        <v>37113247</v>
      </c>
      <c r="E361">
        <v>1</v>
      </c>
      <c r="F361">
        <v>1</v>
      </c>
      <c r="G361">
        <v>1</v>
      </c>
      <c r="H361">
        <v>1</v>
      </c>
      <c r="I361" t="s">
        <v>948</v>
      </c>
      <c r="J361" t="s">
        <v>3</v>
      </c>
      <c r="K361" t="s">
        <v>949</v>
      </c>
      <c r="L361">
        <v>1191</v>
      </c>
      <c r="N361">
        <v>1013</v>
      </c>
      <c r="O361" t="s">
        <v>660</v>
      </c>
      <c r="P361" t="s">
        <v>660</v>
      </c>
      <c r="Q361">
        <v>1</v>
      </c>
      <c r="X361">
        <v>0.4</v>
      </c>
      <c r="Y361">
        <v>0</v>
      </c>
      <c r="Z361">
        <v>0</v>
      </c>
      <c r="AA361">
        <v>0</v>
      </c>
      <c r="AB361">
        <v>11.09</v>
      </c>
      <c r="AC361">
        <v>0</v>
      </c>
      <c r="AD361">
        <v>1</v>
      </c>
      <c r="AE361">
        <v>1</v>
      </c>
      <c r="AF361" t="s">
        <v>3</v>
      </c>
      <c r="AG361">
        <v>0.4</v>
      </c>
      <c r="AH361">
        <v>2</v>
      </c>
      <c r="AI361">
        <v>39097828</v>
      </c>
      <c r="AJ361">
        <v>381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ROW(Source!A248)</f>
        <v>248</v>
      </c>
      <c r="B362">
        <v>39097829</v>
      </c>
      <c r="C362">
        <v>39097827</v>
      </c>
      <c r="D362">
        <v>36799065</v>
      </c>
      <c r="E362">
        <v>17</v>
      </c>
      <c r="F362">
        <v>1</v>
      </c>
      <c r="G362">
        <v>1</v>
      </c>
      <c r="H362">
        <v>3</v>
      </c>
      <c r="I362" t="s">
        <v>835</v>
      </c>
      <c r="J362" t="s">
        <v>3</v>
      </c>
      <c r="K362" t="s">
        <v>836</v>
      </c>
      <c r="L362">
        <v>1374</v>
      </c>
      <c r="N362">
        <v>1013</v>
      </c>
      <c r="O362" t="s">
        <v>837</v>
      </c>
      <c r="P362" t="s">
        <v>837</v>
      </c>
      <c r="Q362">
        <v>1</v>
      </c>
      <c r="X362">
        <v>0.09</v>
      </c>
      <c r="Y362">
        <v>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0.09</v>
      </c>
      <c r="AH362">
        <v>2</v>
      </c>
      <c r="AI362">
        <v>39097829</v>
      </c>
      <c r="AJ362">
        <v>382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2018-10-12T14:24:56Z</cp:lastPrinted>
  <dcterms:created xsi:type="dcterms:W3CDTF">2018-10-11T09:50:34Z</dcterms:created>
  <dcterms:modified xsi:type="dcterms:W3CDTF">2018-10-12T14:25:55Z</dcterms:modified>
</cp:coreProperties>
</file>