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80" windowHeight="1170"/>
  </bookViews>
  <sheets>
    <sheet name="Смета 12 гр. по ФЕР" sheetId="5" r:id="rId1"/>
    <sheet name="Акт КС-2 c НР и СП" sheetId="6" r:id="rId2"/>
    <sheet name="Source" sheetId="1" r:id="rId3"/>
    <sheet name="SourceObSm" sheetId="2" r:id="rId4"/>
    <sheet name="SmtRes" sheetId="3" r:id="rId5"/>
    <sheet name="EtalonRes" sheetId="4" r:id="rId6"/>
  </sheets>
  <definedNames>
    <definedName name="_xlnm.Print_Titles" localSheetId="1">'Акт КС-2 c НР и СП'!$35:$35</definedName>
    <definedName name="_xlnm.Print_Titles" localSheetId="0">'Смета 12 гр. по ФЕР'!$21:$21</definedName>
    <definedName name="_xlnm.Print_Area" localSheetId="1">'Акт КС-2 c НР и СП'!$A$1:$H$153</definedName>
    <definedName name="_xlnm.Print_Area" localSheetId="0">'Смета 12 гр. по ФЕР'!$A$1:$L$107</definedName>
  </definedNames>
  <calcPr calcId="145621"/>
</workbook>
</file>

<file path=xl/calcChain.xml><?xml version="1.0" encoding="utf-8"?>
<calcChain xmlns="http://schemas.openxmlformats.org/spreadsheetml/2006/main">
  <c r="G148" i="6" l="1"/>
  <c r="G143" i="6"/>
  <c r="C148" i="6"/>
  <c r="C143" i="6"/>
  <c r="C140" i="6"/>
  <c r="C139" i="6"/>
  <c r="C138" i="6"/>
  <c r="C134" i="6"/>
  <c r="C133" i="6"/>
  <c r="C132" i="6"/>
  <c r="D127" i="6"/>
  <c r="F126" i="6"/>
  <c r="E126" i="6"/>
  <c r="C126" i="6"/>
  <c r="D126" i="6"/>
  <c r="B126" i="6"/>
  <c r="D125" i="6"/>
  <c r="F124" i="6"/>
  <c r="E124" i="6"/>
  <c r="C124" i="6"/>
  <c r="D124" i="6"/>
  <c r="B124" i="6"/>
  <c r="D123" i="6"/>
  <c r="E122" i="6"/>
  <c r="C122" i="6"/>
  <c r="D122" i="6"/>
  <c r="B122" i="6"/>
  <c r="D121" i="6"/>
  <c r="E120" i="6"/>
  <c r="C120" i="6"/>
  <c r="D120" i="6"/>
  <c r="B120" i="6"/>
  <c r="H118" i="6"/>
  <c r="G118" i="6"/>
  <c r="F117" i="6"/>
  <c r="H116" i="6"/>
  <c r="G116" i="6"/>
  <c r="F115" i="6"/>
  <c r="D114" i="6"/>
  <c r="D113" i="6"/>
  <c r="D112" i="6"/>
  <c r="D111" i="6"/>
  <c r="E109" i="6"/>
  <c r="C109" i="6"/>
  <c r="D109" i="6"/>
  <c r="B109" i="6"/>
  <c r="D108" i="6"/>
  <c r="E107" i="6"/>
  <c r="C107" i="6"/>
  <c r="D107" i="6"/>
  <c r="B107" i="6"/>
  <c r="D106" i="6"/>
  <c r="E105" i="6"/>
  <c r="C105" i="6"/>
  <c r="D105" i="6"/>
  <c r="B105" i="6"/>
  <c r="D104" i="6"/>
  <c r="E103" i="6"/>
  <c r="C103" i="6"/>
  <c r="D103" i="6"/>
  <c r="B103" i="6"/>
  <c r="D102" i="6"/>
  <c r="E101" i="6"/>
  <c r="C101" i="6"/>
  <c r="D101" i="6"/>
  <c r="B101" i="6"/>
  <c r="D100" i="6"/>
  <c r="E99" i="6"/>
  <c r="C99" i="6"/>
  <c r="D99" i="6"/>
  <c r="B99" i="6"/>
  <c r="D98" i="6"/>
  <c r="E97" i="6"/>
  <c r="C97" i="6"/>
  <c r="D97" i="6"/>
  <c r="B97" i="6"/>
  <c r="H95" i="6"/>
  <c r="G95" i="6"/>
  <c r="F94" i="6"/>
  <c r="H93" i="6"/>
  <c r="G93" i="6"/>
  <c r="F92" i="6"/>
  <c r="D91" i="6"/>
  <c r="D90" i="6"/>
  <c r="D89" i="6"/>
  <c r="D88" i="6"/>
  <c r="E86" i="6"/>
  <c r="C86" i="6"/>
  <c r="D86" i="6"/>
  <c r="B86" i="6"/>
  <c r="D85" i="6"/>
  <c r="E84" i="6"/>
  <c r="D84" i="6"/>
  <c r="B84" i="6"/>
  <c r="F82" i="6"/>
  <c r="F81" i="6"/>
  <c r="D80" i="6"/>
  <c r="D79" i="6"/>
  <c r="D78" i="6"/>
  <c r="D77" i="6"/>
  <c r="E75" i="6"/>
  <c r="C75" i="6"/>
  <c r="D75" i="6"/>
  <c r="B75" i="6"/>
  <c r="D74" i="6"/>
  <c r="E73" i="6"/>
  <c r="D73" i="6"/>
  <c r="B73" i="6"/>
  <c r="H71" i="6"/>
  <c r="G71" i="6"/>
  <c r="F70" i="6"/>
  <c r="H69" i="6"/>
  <c r="G69" i="6"/>
  <c r="F68" i="6"/>
  <c r="D67" i="6"/>
  <c r="D66" i="6"/>
  <c r="D65" i="6"/>
  <c r="D64" i="6"/>
  <c r="E62" i="6"/>
  <c r="C62" i="6"/>
  <c r="D62" i="6"/>
  <c r="B62" i="6"/>
  <c r="D61" i="6"/>
  <c r="E60" i="6"/>
  <c r="D60" i="6"/>
  <c r="B60" i="6"/>
  <c r="H58" i="6"/>
  <c r="G58" i="6"/>
  <c r="F57" i="6"/>
  <c r="H56" i="6"/>
  <c r="G56" i="6"/>
  <c r="F55" i="6"/>
  <c r="D54" i="6"/>
  <c r="D53" i="6"/>
  <c r="D52" i="6"/>
  <c r="D51" i="6"/>
  <c r="E49" i="6"/>
  <c r="C49" i="6"/>
  <c r="D49" i="6"/>
  <c r="B49" i="6"/>
  <c r="H47" i="6"/>
  <c r="G47" i="6"/>
  <c r="F46" i="6"/>
  <c r="H45" i="6"/>
  <c r="G45" i="6"/>
  <c r="F44" i="6"/>
  <c r="D43" i="6"/>
  <c r="D42" i="6"/>
  <c r="D41" i="6"/>
  <c r="D40" i="6"/>
  <c r="E38" i="6"/>
  <c r="C38" i="6"/>
  <c r="D38" i="6"/>
  <c r="B38" i="6"/>
  <c r="A37" i="6"/>
  <c r="D26" i="6"/>
  <c r="G22" i="6"/>
  <c r="G21" i="6"/>
  <c r="G20" i="6"/>
  <c r="G19" i="6"/>
  <c r="G16" i="6"/>
  <c r="AE17" i="6"/>
  <c r="C17" i="6"/>
  <c r="G14" i="6"/>
  <c r="G12" i="6"/>
  <c r="C13" i="6"/>
  <c r="G10" i="6"/>
  <c r="C11" i="6"/>
  <c r="G8" i="6"/>
  <c r="C9" i="6"/>
  <c r="A1" i="6"/>
  <c r="AD10" i="5"/>
  <c r="I105" i="5"/>
  <c r="I102" i="5"/>
  <c r="D105" i="5"/>
  <c r="D102" i="5"/>
  <c r="C99" i="5"/>
  <c r="C98" i="5"/>
  <c r="Z95" i="5"/>
  <c r="Y95" i="5"/>
  <c r="X95" i="5"/>
  <c r="J94" i="5"/>
  <c r="G94" i="5"/>
  <c r="F94" i="5"/>
  <c r="U94" i="5"/>
  <c r="S94" i="5"/>
  <c r="E94" i="5"/>
  <c r="D94" i="5"/>
  <c r="I94" i="5"/>
  <c r="C94" i="5"/>
  <c r="B94" i="5"/>
  <c r="A94" i="5"/>
  <c r="Z93" i="5"/>
  <c r="Y93" i="5"/>
  <c r="X93" i="5"/>
  <c r="J92" i="5"/>
  <c r="G92" i="5"/>
  <c r="F92" i="5"/>
  <c r="U92" i="5"/>
  <c r="S92" i="5"/>
  <c r="E92" i="5"/>
  <c r="D92" i="5"/>
  <c r="I92" i="5"/>
  <c r="C92" i="5"/>
  <c r="B92" i="5"/>
  <c r="A92" i="5"/>
  <c r="Z91" i="5"/>
  <c r="Y91" i="5"/>
  <c r="X91" i="5"/>
  <c r="J90" i="5"/>
  <c r="Z90" i="5"/>
  <c r="Y90" i="5"/>
  <c r="X90" i="5"/>
  <c r="F90" i="5"/>
  <c r="D90" i="5"/>
  <c r="C90" i="5"/>
  <c r="B90" i="5"/>
  <c r="A90" i="5"/>
  <c r="J89" i="5"/>
  <c r="Z89" i="5"/>
  <c r="Y89" i="5"/>
  <c r="X89" i="5"/>
  <c r="F89" i="5"/>
  <c r="D89" i="5"/>
  <c r="C89" i="5"/>
  <c r="B89" i="5"/>
  <c r="A89" i="5"/>
  <c r="G88" i="5"/>
  <c r="E88" i="5"/>
  <c r="J87" i="5"/>
  <c r="F87" i="5"/>
  <c r="E87" i="5"/>
  <c r="J86" i="5"/>
  <c r="F86" i="5"/>
  <c r="E86" i="5"/>
  <c r="J85" i="5"/>
  <c r="G85" i="5"/>
  <c r="F85" i="5"/>
  <c r="J84" i="5"/>
  <c r="G84" i="5"/>
  <c r="F84" i="5"/>
  <c r="F82" i="5"/>
  <c r="D82" i="5"/>
  <c r="I82" i="5"/>
  <c r="C82" i="5"/>
  <c r="B82" i="5"/>
  <c r="A82" i="5"/>
  <c r="Z81" i="5"/>
  <c r="Y81" i="5"/>
  <c r="X81" i="5"/>
  <c r="J80" i="5"/>
  <c r="Z80" i="5"/>
  <c r="Y80" i="5"/>
  <c r="X80" i="5"/>
  <c r="F80" i="5"/>
  <c r="D80" i="5"/>
  <c r="C80" i="5"/>
  <c r="B80" i="5"/>
  <c r="A80" i="5"/>
  <c r="J79" i="5"/>
  <c r="Z79" i="5"/>
  <c r="Y79" i="5"/>
  <c r="X79" i="5"/>
  <c r="F79" i="5"/>
  <c r="D79" i="5"/>
  <c r="C79" i="5"/>
  <c r="B79" i="5"/>
  <c r="A79" i="5"/>
  <c r="J78" i="5"/>
  <c r="Z78" i="5"/>
  <c r="Y78" i="5"/>
  <c r="X78" i="5"/>
  <c r="F78" i="5"/>
  <c r="D78" i="5"/>
  <c r="C78" i="5"/>
  <c r="B78" i="5"/>
  <c r="A78" i="5"/>
  <c r="J77" i="5"/>
  <c r="Z77" i="5"/>
  <c r="Y77" i="5"/>
  <c r="X77" i="5"/>
  <c r="F77" i="5"/>
  <c r="D77" i="5"/>
  <c r="C77" i="5"/>
  <c r="B77" i="5"/>
  <c r="A77" i="5"/>
  <c r="J76" i="5"/>
  <c r="Z76" i="5"/>
  <c r="Y76" i="5"/>
  <c r="X76" i="5"/>
  <c r="F76" i="5"/>
  <c r="D76" i="5"/>
  <c r="C76" i="5"/>
  <c r="B76" i="5"/>
  <c r="A76" i="5"/>
  <c r="J75" i="5"/>
  <c r="Z75" i="5"/>
  <c r="Y75" i="5"/>
  <c r="X75" i="5"/>
  <c r="F75" i="5"/>
  <c r="D75" i="5"/>
  <c r="C75" i="5"/>
  <c r="B75" i="5"/>
  <c r="A75" i="5"/>
  <c r="G74" i="5"/>
  <c r="E74" i="5"/>
  <c r="J73" i="5"/>
  <c r="F73" i="5"/>
  <c r="E73" i="5"/>
  <c r="J72" i="5"/>
  <c r="F72" i="5"/>
  <c r="E72" i="5"/>
  <c r="J71" i="5"/>
  <c r="G71" i="5"/>
  <c r="F71" i="5"/>
  <c r="J70" i="5"/>
  <c r="G70" i="5"/>
  <c r="F70" i="5"/>
  <c r="J69" i="5"/>
  <c r="G69" i="5"/>
  <c r="F69" i="5"/>
  <c r="J68" i="5"/>
  <c r="G68" i="5"/>
  <c r="F68" i="5"/>
  <c r="F66" i="5"/>
  <c r="D66" i="5"/>
  <c r="I66" i="5"/>
  <c r="C66" i="5"/>
  <c r="B66" i="5"/>
  <c r="A66" i="5"/>
  <c r="Z65" i="5"/>
  <c r="Y65" i="5"/>
  <c r="X65" i="5"/>
  <c r="J64" i="5"/>
  <c r="Z64" i="5"/>
  <c r="Y64" i="5"/>
  <c r="X64" i="5"/>
  <c r="F64" i="5"/>
  <c r="D64" i="5"/>
  <c r="B64" i="5"/>
  <c r="A64" i="5"/>
  <c r="G63" i="5"/>
  <c r="E63" i="5"/>
  <c r="J62" i="5"/>
  <c r="E62" i="5"/>
  <c r="J61" i="5"/>
  <c r="E61" i="5"/>
  <c r="J60" i="5"/>
  <c r="G60" i="5"/>
  <c r="F60" i="5"/>
  <c r="J59" i="5"/>
  <c r="G59" i="5"/>
  <c r="F59" i="5"/>
  <c r="J58" i="5"/>
  <c r="G58" i="5"/>
  <c r="F58" i="5"/>
  <c r="J57" i="5"/>
  <c r="G57" i="5"/>
  <c r="F57" i="5"/>
  <c r="F55" i="5"/>
  <c r="D55" i="5"/>
  <c r="I55" i="5"/>
  <c r="C55" i="5"/>
  <c r="B55" i="5"/>
  <c r="A55" i="5"/>
  <c r="Z54" i="5"/>
  <c r="Y54" i="5"/>
  <c r="X54" i="5"/>
  <c r="J53" i="5"/>
  <c r="Z53" i="5"/>
  <c r="Y53" i="5"/>
  <c r="X53" i="5"/>
  <c r="F53" i="5"/>
  <c r="D53" i="5"/>
  <c r="B53" i="5"/>
  <c r="A53" i="5"/>
  <c r="G52" i="5"/>
  <c r="E52" i="5"/>
  <c r="J51" i="5"/>
  <c r="F51" i="5"/>
  <c r="E51" i="5"/>
  <c r="J50" i="5"/>
  <c r="F50" i="5"/>
  <c r="E50" i="5"/>
  <c r="J49" i="5"/>
  <c r="G49" i="5"/>
  <c r="F49" i="5"/>
  <c r="J48" i="5"/>
  <c r="G48" i="5"/>
  <c r="F48" i="5"/>
  <c r="J47" i="5"/>
  <c r="G47" i="5"/>
  <c r="F47" i="5"/>
  <c r="J46" i="5"/>
  <c r="G46" i="5"/>
  <c r="F46" i="5"/>
  <c r="F44" i="5"/>
  <c r="D44" i="5"/>
  <c r="I44" i="5"/>
  <c r="C44" i="5"/>
  <c r="B44" i="5"/>
  <c r="A44" i="5"/>
  <c r="Z43" i="5"/>
  <c r="Y43" i="5"/>
  <c r="X43" i="5"/>
  <c r="J42" i="5"/>
  <c r="Z42" i="5"/>
  <c r="Y42" i="5"/>
  <c r="X42" i="5"/>
  <c r="F42" i="5"/>
  <c r="D42" i="5"/>
  <c r="B42" i="5"/>
  <c r="A42" i="5"/>
  <c r="G41" i="5"/>
  <c r="E41" i="5"/>
  <c r="J40" i="5"/>
  <c r="F40" i="5"/>
  <c r="E40" i="5"/>
  <c r="J39" i="5"/>
  <c r="F39" i="5"/>
  <c r="E39" i="5"/>
  <c r="J38" i="5"/>
  <c r="G38" i="5"/>
  <c r="F38" i="5"/>
  <c r="J37" i="5"/>
  <c r="G37" i="5"/>
  <c r="F37" i="5"/>
  <c r="J36" i="5"/>
  <c r="G36" i="5"/>
  <c r="F36" i="5"/>
  <c r="J35" i="5"/>
  <c r="G35" i="5"/>
  <c r="F35" i="5"/>
  <c r="F33" i="5"/>
  <c r="D33" i="5"/>
  <c r="I33" i="5"/>
  <c r="C33" i="5"/>
  <c r="B33" i="5"/>
  <c r="A33" i="5"/>
  <c r="Z32" i="5"/>
  <c r="Y32" i="5"/>
  <c r="X32" i="5"/>
  <c r="G31" i="5"/>
  <c r="E31" i="5"/>
  <c r="J30" i="5"/>
  <c r="F30" i="5"/>
  <c r="E30" i="5"/>
  <c r="J29" i="5"/>
  <c r="F29" i="5"/>
  <c r="E29" i="5"/>
  <c r="J28" i="5"/>
  <c r="G28" i="5"/>
  <c r="F28" i="5"/>
  <c r="J27" i="5"/>
  <c r="G27" i="5"/>
  <c r="F27" i="5"/>
  <c r="J26" i="5"/>
  <c r="G26" i="5"/>
  <c r="F26" i="5"/>
  <c r="F24" i="5"/>
  <c r="D24" i="5"/>
  <c r="I24" i="5"/>
  <c r="C24" i="5"/>
  <c r="B24" i="5"/>
  <c r="A24" i="5"/>
  <c r="A23" i="5"/>
  <c r="A1" i="5"/>
  <c r="A1" i="4" l="1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1" i="3"/>
  <c r="CY1" i="3"/>
  <c r="CZ1" i="3"/>
  <c r="DA1" i="3"/>
  <c r="A2" i="3"/>
  <c r="CY2" i="3"/>
  <c r="CZ2" i="3"/>
  <c r="DA2" i="3"/>
  <c r="A3" i="3"/>
  <c r="CY3" i="3"/>
  <c r="CZ3" i="3"/>
  <c r="DA3" i="3"/>
  <c r="A4" i="3"/>
  <c r="CY4" i="3"/>
  <c r="CZ4" i="3"/>
  <c r="DA4" i="3"/>
  <c r="A5" i="3"/>
  <c r="CY5" i="3"/>
  <c r="CZ5" i="3"/>
  <c r="DA5" i="3"/>
  <c r="A6" i="3"/>
  <c r="CY6" i="3"/>
  <c r="CZ6" i="3"/>
  <c r="DA6" i="3"/>
  <c r="A7" i="3"/>
  <c r="CY7" i="3"/>
  <c r="CZ7" i="3"/>
  <c r="DA7" i="3"/>
  <c r="A8" i="3"/>
  <c r="CY8" i="3"/>
  <c r="CZ8" i="3"/>
  <c r="DA8" i="3"/>
  <c r="A9" i="3"/>
  <c r="CY9" i="3"/>
  <c r="CZ9" i="3"/>
  <c r="DA9" i="3"/>
  <c r="A10" i="3"/>
  <c r="CY10" i="3"/>
  <c r="CZ10" i="3"/>
  <c r="DA10" i="3"/>
  <c r="A11" i="3"/>
  <c r="CY11" i="3"/>
  <c r="CZ11" i="3"/>
  <c r="DA11" i="3"/>
  <c r="A12" i="3"/>
  <c r="CY12" i="3"/>
  <c r="CZ12" i="3"/>
  <c r="DA12" i="3"/>
  <c r="A13" i="3"/>
  <c r="CY13" i="3"/>
  <c r="CZ13" i="3"/>
  <c r="DA13" i="3"/>
  <c r="A14" i="3"/>
  <c r="CY14" i="3"/>
  <c r="CZ14" i="3"/>
  <c r="DA14" i="3"/>
  <c r="A15" i="3"/>
  <c r="CY15" i="3"/>
  <c r="CZ15" i="3"/>
  <c r="DA15" i="3"/>
  <c r="A16" i="3"/>
  <c r="CY16" i="3"/>
  <c r="CZ16" i="3"/>
  <c r="DA16" i="3"/>
  <c r="A17" i="3"/>
  <c r="CY17" i="3"/>
  <c r="CZ17" i="3"/>
  <c r="DA17" i="3"/>
  <c r="A18" i="3"/>
  <c r="CY18" i="3"/>
  <c r="CZ18" i="3"/>
  <c r="DA18" i="3"/>
  <c r="A19" i="3"/>
  <c r="CY19" i="3"/>
  <c r="CZ19" i="3"/>
  <c r="DA19" i="3"/>
  <c r="A20" i="3"/>
  <c r="CY20" i="3"/>
  <c r="CZ20" i="3"/>
  <c r="DA20" i="3"/>
  <c r="A21" i="3"/>
  <c r="CY21" i="3"/>
  <c r="CZ21" i="3"/>
  <c r="DA21" i="3"/>
  <c r="A22" i="3"/>
  <c r="CY22" i="3"/>
  <c r="CZ22" i="3"/>
  <c r="DA22" i="3"/>
  <c r="A23" i="3"/>
  <c r="CY23" i="3"/>
  <c r="CZ23" i="3"/>
  <c r="DA23" i="3"/>
  <c r="A24" i="3"/>
  <c r="CY24" i="3"/>
  <c r="CZ24" i="3"/>
  <c r="DA24" i="3"/>
  <c r="A25" i="3"/>
  <c r="CY25" i="3"/>
  <c r="CZ25" i="3"/>
  <c r="DA25" i="3"/>
  <c r="A26" i="3"/>
  <c r="CY26" i="3"/>
  <c r="CZ26" i="3"/>
  <c r="DA26" i="3"/>
  <c r="A27" i="3"/>
  <c r="CY27" i="3"/>
  <c r="CZ27" i="3"/>
  <c r="DA27" i="3"/>
  <c r="A28" i="3"/>
  <c r="CY28" i="3"/>
  <c r="CZ28" i="3"/>
  <c r="DA28" i="3"/>
  <c r="A29" i="3"/>
  <c r="CY29" i="3"/>
  <c r="CZ29" i="3"/>
  <c r="DA29" i="3"/>
  <c r="A30" i="3"/>
  <c r="CY30" i="3"/>
  <c r="CZ30" i="3"/>
  <c r="DA30" i="3"/>
  <c r="A31" i="3"/>
  <c r="CY31" i="3"/>
  <c r="CZ31" i="3"/>
  <c r="DA31" i="3"/>
  <c r="A32" i="3"/>
  <c r="CY32" i="3"/>
  <c r="CZ32" i="3"/>
  <c r="DA32" i="3"/>
  <c r="A33" i="3"/>
  <c r="CY33" i="3"/>
  <c r="CZ33" i="3"/>
  <c r="DA33" i="3"/>
  <c r="A34" i="3"/>
  <c r="CY34" i="3"/>
  <c r="CZ34" i="3"/>
  <c r="DA34" i="3"/>
  <c r="A35" i="3"/>
  <c r="CY35" i="3"/>
  <c r="CZ35" i="3"/>
  <c r="DA35" i="3"/>
  <c r="A36" i="3"/>
  <c r="CY36" i="3"/>
  <c r="CZ36" i="3"/>
  <c r="DA36" i="3"/>
  <c r="A37" i="3"/>
  <c r="CY37" i="3"/>
  <c r="CZ37" i="3"/>
  <c r="DA37" i="3"/>
  <c r="A38" i="3"/>
  <c r="CY38" i="3"/>
  <c r="CZ38" i="3"/>
  <c r="DA38" i="3"/>
  <c r="A39" i="3"/>
  <c r="CY39" i="3"/>
  <c r="CZ39" i="3"/>
  <c r="DA39" i="3"/>
  <c r="A40" i="3"/>
  <c r="CY40" i="3"/>
  <c r="CZ40" i="3"/>
  <c r="DA40" i="3"/>
  <c r="A41" i="3"/>
  <c r="CY41" i="3"/>
  <c r="CZ41" i="3"/>
  <c r="DA41" i="3"/>
  <c r="A42" i="3"/>
  <c r="CY42" i="3"/>
  <c r="CZ42" i="3"/>
  <c r="DA42" i="3"/>
  <c r="A43" i="3"/>
  <c r="CY43" i="3"/>
  <c r="CZ43" i="3"/>
  <c r="DA43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G18" i="1"/>
  <c r="DH18" i="1"/>
  <c r="DI18" i="1"/>
  <c r="DJ18" i="1"/>
  <c r="DK18" i="1"/>
  <c r="DL18" i="1"/>
  <c r="DM18" i="1"/>
  <c r="DN18" i="1"/>
  <c r="DO18" i="1"/>
  <c r="DP18" i="1"/>
  <c r="DQ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G18" i="1"/>
  <c r="EH18" i="1"/>
  <c r="EI18" i="1"/>
  <c r="EJ18" i="1"/>
  <c r="EK18" i="1"/>
  <c r="EL18" i="1"/>
  <c r="EM18" i="1"/>
  <c r="EN18" i="1"/>
  <c r="EO18" i="1"/>
  <c r="EP18" i="1"/>
  <c r="EQ18" i="1"/>
  <c r="ER18" i="1"/>
  <c r="ES18" i="1"/>
  <c r="ET18" i="1"/>
  <c r="EU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G22" i="1"/>
  <c r="DH22" i="1"/>
  <c r="DI22" i="1"/>
  <c r="DJ22" i="1"/>
  <c r="DK22" i="1"/>
  <c r="DL22" i="1"/>
  <c r="DM22" i="1"/>
  <c r="DN22" i="1"/>
  <c r="DO22" i="1"/>
  <c r="DP22" i="1"/>
  <c r="DQ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G22" i="1"/>
  <c r="EH22" i="1"/>
  <c r="EI22" i="1"/>
  <c r="EJ22" i="1"/>
  <c r="EK22" i="1"/>
  <c r="EL22" i="1"/>
  <c r="EM22" i="1"/>
  <c r="EN22" i="1"/>
  <c r="EO22" i="1"/>
  <c r="EP22" i="1"/>
  <c r="EQ22" i="1"/>
  <c r="ER22" i="1"/>
  <c r="ES22" i="1"/>
  <c r="ET22" i="1"/>
  <c r="EU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C24" i="1"/>
  <c r="D24" i="1"/>
  <c r="I24" i="1"/>
  <c r="AC24" i="1"/>
  <c r="CQ24" i="1" s="1"/>
  <c r="AE24" i="1"/>
  <c r="AF24" i="1"/>
  <c r="AG24" i="1"/>
  <c r="AH24" i="1"/>
  <c r="CV24" i="1" s="1"/>
  <c r="AI24" i="1"/>
  <c r="CW24" i="1" s="1"/>
  <c r="V24" i="1" s="1"/>
  <c r="Z38" i="6" s="1"/>
  <c r="AJ24" i="1"/>
  <c r="CX24" i="1" s="1"/>
  <c r="W24" i="1" s="1"/>
  <c r="CU24" i="1"/>
  <c r="T24" i="1" s="1"/>
  <c r="FR24" i="1"/>
  <c r="GL24" i="1"/>
  <c r="GO24" i="1"/>
  <c r="GP24" i="1"/>
  <c r="GV24" i="1"/>
  <c r="C25" i="1"/>
  <c r="D25" i="1"/>
  <c r="I25" i="1"/>
  <c r="I26" i="1" s="1"/>
  <c r="GX26" i="1" s="1"/>
  <c r="AC25" i="1"/>
  <c r="AE25" i="1"/>
  <c r="AF25" i="1"/>
  <c r="AG25" i="1"/>
  <c r="CU25" i="1" s="1"/>
  <c r="T25" i="1" s="1"/>
  <c r="AH25" i="1"/>
  <c r="CV25" i="1" s="1"/>
  <c r="U25" i="1" s="1"/>
  <c r="AI25" i="1"/>
  <c r="CW25" i="1" s="1"/>
  <c r="V25" i="1" s="1"/>
  <c r="Z49" i="6" s="1"/>
  <c r="AJ25" i="1"/>
  <c r="CX25" i="1"/>
  <c r="W25" i="1" s="1"/>
  <c r="FR25" i="1"/>
  <c r="GL25" i="1"/>
  <c r="GO25" i="1"/>
  <c r="GP25" i="1"/>
  <c r="GV25" i="1"/>
  <c r="GX25" i="1" s="1"/>
  <c r="AC26" i="1"/>
  <c r="AE26" i="1"/>
  <c r="AD26" i="1" s="1"/>
  <c r="CR26" i="1" s="1"/>
  <c r="Q26" i="1" s="1"/>
  <c r="W60" i="6" s="1"/>
  <c r="AF26" i="1"/>
  <c r="AG26" i="1"/>
  <c r="AH26" i="1"/>
  <c r="CV26" i="1" s="1"/>
  <c r="AI26" i="1"/>
  <c r="CW26" i="1" s="1"/>
  <c r="AJ26" i="1"/>
  <c r="CX26" i="1" s="1"/>
  <c r="CQ26" i="1"/>
  <c r="CU26" i="1"/>
  <c r="FR26" i="1"/>
  <c r="GL26" i="1"/>
  <c r="GO26" i="1"/>
  <c r="GP26" i="1"/>
  <c r="GV26" i="1"/>
  <c r="C27" i="1"/>
  <c r="D27" i="1"/>
  <c r="I27" i="1"/>
  <c r="AC27" i="1"/>
  <c r="AE27" i="1"/>
  <c r="AF27" i="1"/>
  <c r="AG27" i="1"/>
  <c r="CU27" i="1" s="1"/>
  <c r="T27" i="1" s="1"/>
  <c r="AH27" i="1"/>
  <c r="AI27" i="1"/>
  <c r="CW27" i="1" s="1"/>
  <c r="AJ27" i="1"/>
  <c r="CX27" i="1" s="1"/>
  <c r="W27" i="1" s="1"/>
  <c r="CT27" i="1"/>
  <c r="S27" i="1" s="1"/>
  <c r="CV27" i="1"/>
  <c r="U27" i="1" s="1"/>
  <c r="FR27" i="1"/>
  <c r="GL27" i="1"/>
  <c r="GO27" i="1"/>
  <c r="GP27" i="1"/>
  <c r="GV27" i="1"/>
  <c r="I28" i="1"/>
  <c r="AC28" i="1"/>
  <c r="CQ28" i="1" s="1"/>
  <c r="AE28" i="1"/>
  <c r="AF28" i="1"/>
  <c r="AG28" i="1"/>
  <c r="AH28" i="1"/>
  <c r="CV28" i="1" s="1"/>
  <c r="AI28" i="1"/>
  <c r="AJ28" i="1"/>
  <c r="CX28" i="1" s="1"/>
  <c r="CU28" i="1"/>
  <c r="T28" i="1" s="1"/>
  <c r="CW28" i="1"/>
  <c r="V28" i="1" s="1"/>
  <c r="Z73" i="6" s="1"/>
  <c r="FR28" i="1"/>
  <c r="GL28" i="1"/>
  <c r="GO28" i="1"/>
  <c r="GP28" i="1"/>
  <c r="GV28" i="1"/>
  <c r="GX28" i="1" s="1"/>
  <c r="C29" i="1"/>
  <c r="D29" i="1"/>
  <c r="I29" i="1"/>
  <c r="I30" i="1" s="1"/>
  <c r="AC29" i="1"/>
  <c r="AE29" i="1"/>
  <c r="AF29" i="1"/>
  <c r="AG29" i="1"/>
  <c r="CU29" i="1" s="1"/>
  <c r="AH29" i="1"/>
  <c r="AI29" i="1"/>
  <c r="CW29" i="1" s="1"/>
  <c r="AJ29" i="1"/>
  <c r="CX29" i="1" s="1"/>
  <c r="CT29" i="1"/>
  <c r="CV29" i="1"/>
  <c r="FR29" i="1"/>
  <c r="GL29" i="1"/>
  <c r="GO29" i="1"/>
  <c r="GP29" i="1"/>
  <c r="GV29" i="1"/>
  <c r="AC30" i="1"/>
  <c r="CQ30" i="1" s="1"/>
  <c r="AE30" i="1"/>
  <c r="AF30" i="1"/>
  <c r="AG30" i="1"/>
  <c r="AH30" i="1"/>
  <c r="CV30" i="1" s="1"/>
  <c r="AI30" i="1"/>
  <c r="AJ30" i="1"/>
  <c r="CX30" i="1" s="1"/>
  <c r="CU30" i="1"/>
  <c r="CW30" i="1"/>
  <c r="FR30" i="1"/>
  <c r="GL30" i="1"/>
  <c r="GO30" i="1"/>
  <c r="GP30" i="1"/>
  <c r="GV30" i="1"/>
  <c r="C31" i="1"/>
  <c r="D31" i="1"/>
  <c r="I31" i="1"/>
  <c r="AC31" i="1"/>
  <c r="AE31" i="1"/>
  <c r="H70" i="5" s="1"/>
  <c r="R70" i="5" s="1"/>
  <c r="AF31" i="1"/>
  <c r="CT31" i="1" s="1"/>
  <c r="S31" i="1" s="1"/>
  <c r="AG31" i="1"/>
  <c r="AH31" i="1"/>
  <c r="CV31" i="1" s="1"/>
  <c r="U31" i="1" s="1"/>
  <c r="AI31" i="1"/>
  <c r="CW31" i="1" s="1"/>
  <c r="V31" i="1" s="1"/>
  <c r="Z86" i="6" s="1"/>
  <c r="AJ31" i="1"/>
  <c r="CX31" i="1" s="1"/>
  <c r="W31" i="1" s="1"/>
  <c r="CU31" i="1"/>
  <c r="T31" i="1" s="1"/>
  <c r="FR31" i="1"/>
  <c r="GL31" i="1"/>
  <c r="GO31" i="1"/>
  <c r="GP31" i="1"/>
  <c r="GV31" i="1"/>
  <c r="GX31" i="1" s="1"/>
  <c r="I32" i="1"/>
  <c r="AC32" i="1"/>
  <c r="CQ32" i="1" s="1"/>
  <c r="AE32" i="1"/>
  <c r="AD32" i="1" s="1"/>
  <c r="CR32" i="1" s="1"/>
  <c r="AF32" i="1"/>
  <c r="CT32" i="1" s="1"/>
  <c r="AG32" i="1"/>
  <c r="CU32" i="1" s="1"/>
  <c r="AH32" i="1"/>
  <c r="CV32" i="1" s="1"/>
  <c r="AI32" i="1"/>
  <c r="CW32" i="1" s="1"/>
  <c r="AJ32" i="1"/>
  <c r="CX32" i="1" s="1"/>
  <c r="FR32" i="1"/>
  <c r="GL32" i="1"/>
  <c r="GO32" i="1"/>
  <c r="GP32" i="1"/>
  <c r="GV32" i="1"/>
  <c r="GX32" i="1" s="1"/>
  <c r="I33" i="1"/>
  <c r="GX33" i="1" s="1"/>
  <c r="AC33" i="1"/>
  <c r="AE33" i="1"/>
  <c r="AF33" i="1"/>
  <c r="AG33" i="1"/>
  <c r="CU33" i="1" s="1"/>
  <c r="T33" i="1" s="1"/>
  <c r="AH33" i="1"/>
  <c r="AI33" i="1"/>
  <c r="CW33" i="1" s="1"/>
  <c r="AJ33" i="1"/>
  <c r="CX33" i="1" s="1"/>
  <c r="W33" i="1" s="1"/>
  <c r="CV33" i="1"/>
  <c r="U33" i="1" s="1"/>
  <c r="Y99" i="6" s="1"/>
  <c r="FR33" i="1"/>
  <c r="GL33" i="1"/>
  <c r="GO33" i="1"/>
  <c r="GP33" i="1"/>
  <c r="GV33" i="1"/>
  <c r="I34" i="1"/>
  <c r="AC34" i="1"/>
  <c r="CQ34" i="1" s="1"/>
  <c r="P34" i="1" s="1"/>
  <c r="U101" i="6" s="1"/>
  <c r="AE34" i="1"/>
  <c r="AD34" i="1" s="1"/>
  <c r="AF34" i="1"/>
  <c r="AG34" i="1"/>
  <c r="CU34" i="1" s="1"/>
  <c r="AH34" i="1"/>
  <c r="CV34" i="1" s="1"/>
  <c r="AI34" i="1"/>
  <c r="CW34" i="1" s="1"/>
  <c r="AJ34" i="1"/>
  <c r="CX34" i="1" s="1"/>
  <c r="W34" i="1" s="1"/>
  <c r="FR34" i="1"/>
  <c r="GL34" i="1"/>
  <c r="GO34" i="1"/>
  <c r="GP34" i="1"/>
  <c r="GV34" i="1"/>
  <c r="I35" i="1"/>
  <c r="AC35" i="1"/>
  <c r="CQ35" i="1" s="1"/>
  <c r="P35" i="1" s="1"/>
  <c r="U103" i="6" s="1"/>
  <c r="AE35" i="1"/>
  <c r="CS35" i="1" s="1"/>
  <c r="AF35" i="1"/>
  <c r="CT35" i="1" s="1"/>
  <c r="S35" i="1" s="1"/>
  <c r="V103" i="6" s="1"/>
  <c r="AG35" i="1"/>
  <c r="CU35" i="1" s="1"/>
  <c r="T35" i="1" s="1"/>
  <c r="AH35" i="1"/>
  <c r="CV35" i="1" s="1"/>
  <c r="AI35" i="1"/>
  <c r="CW35" i="1" s="1"/>
  <c r="AJ35" i="1"/>
  <c r="CX35" i="1" s="1"/>
  <c r="W35" i="1" s="1"/>
  <c r="FR35" i="1"/>
  <c r="GL35" i="1"/>
  <c r="GO35" i="1"/>
  <c r="GP35" i="1"/>
  <c r="GV35" i="1"/>
  <c r="GX35" i="1" s="1"/>
  <c r="I36" i="1"/>
  <c r="AC36" i="1"/>
  <c r="AE36" i="1"/>
  <c r="AD36" i="1" s="1"/>
  <c r="CR36" i="1" s="1"/>
  <c r="AF36" i="1"/>
  <c r="AG36" i="1"/>
  <c r="AH36" i="1"/>
  <c r="CV36" i="1" s="1"/>
  <c r="AI36" i="1"/>
  <c r="CW36" i="1" s="1"/>
  <c r="V36" i="1" s="1"/>
  <c r="Z105" i="6" s="1"/>
  <c r="AJ36" i="1"/>
  <c r="CX36" i="1" s="1"/>
  <c r="W36" i="1" s="1"/>
  <c r="CU36" i="1"/>
  <c r="T36" i="1" s="1"/>
  <c r="FR36" i="1"/>
  <c r="GL36" i="1"/>
  <c r="GO36" i="1"/>
  <c r="GP36" i="1"/>
  <c r="GV36" i="1"/>
  <c r="GX36" i="1"/>
  <c r="I37" i="1"/>
  <c r="AC37" i="1"/>
  <c r="AE37" i="1"/>
  <c r="AD37" i="1" s="1"/>
  <c r="CR37" i="1" s="1"/>
  <c r="AF37" i="1"/>
  <c r="CT37" i="1" s="1"/>
  <c r="S37" i="1" s="1"/>
  <c r="V107" i="6" s="1"/>
  <c r="AG37" i="1"/>
  <c r="CU37" i="1" s="1"/>
  <c r="T37" i="1" s="1"/>
  <c r="AH37" i="1"/>
  <c r="CV37" i="1" s="1"/>
  <c r="U37" i="1" s="1"/>
  <c r="Y107" i="6" s="1"/>
  <c r="AI37" i="1"/>
  <c r="CW37" i="1" s="1"/>
  <c r="AJ37" i="1"/>
  <c r="CX37" i="1" s="1"/>
  <c r="FR37" i="1"/>
  <c r="GL37" i="1"/>
  <c r="GO37" i="1"/>
  <c r="GP37" i="1"/>
  <c r="GV37" i="1"/>
  <c r="GX37" i="1" s="1"/>
  <c r="C38" i="1"/>
  <c r="D38" i="1"/>
  <c r="I38" i="1"/>
  <c r="I40" i="1" s="1"/>
  <c r="AC38" i="1"/>
  <c r="AE38" i="1"/>
  <c r="AD38" i="1" s="1"/>
  <c r="CR38" i="1" s="1"/>
  <c r="AF38" i="1"/>
  <c r="CT38" i="1" s="1"/>
  <c r="S38" i="1" s="1"/>
  <c r="AG38" i="1"/>
  <c r="CU38" i="1" s="1"/>
  <c r="T38" i="1" s="1"/>
  <c r="AH38" i="1"/>
  <c r="CV38" i="1" s="1"/>
  <c r="AI38" i="1"/>
  <c r="CW38" i="1" s="1"/>
  <c r="AJ38" i="1"/>
  <c r="CX38" i="1" s="1"/>
  <c r="CQ38" i="1"/>
  <c r="FR38" i="1"/>
  <c r="GL38" i="1"/>
  <c r="GO38" i="1"/>
  <c r="GP38" i="1"/>
  <c r="GV38" i="1"/>
  <c r="GX38" i="1"/>
  <c r="AC39" i="1"/>
  <c r="AE39" i="1"/>
  <c r="AD39" i="1" s="1"/>
  <c r="CR39" i="1" s="1"/>
  <c r="AF39" i="1"/>
  <c r="AG39" i="1"/>
  <c r="CU39" i="1" s="1"/>
  <c r="AH39" i="1"/>
  <c r="AI39" i="1"/>
  <c r="CW39" i="1" s="1"/>
  <c r="AJ39" i="1"/>
  <c r="CX39" i="1" s="1"/>
  <c r="CT39" i="1"/>
  <c r="CV39" i="1"/>
  <c r="FR39" i="1"/>
  <c r="GL39" i="1"/>
  <c r="GO39" i="1"/>
  <c r="GP39" i="1"/>
  <c r="GV39" i="1"/>
  <c r="AC40" i="1"/>
  <c r="AE40" i="1"/>
  <c r="AD40" i="1" s="1"/>
  <c r="AF40" i="1"/>
  <c r="AG40" i="1"/>
  <c r="CU40" i="1" s="1"/>
  <c r="T40" i="1" s="1"/>
  <c r="AH40" i="1"/>
  <c r="CV40" i="1" s="1"/>
  <c r="AI40" i="1"/>
  <c r="CW40" i="1" s="1"/>
  <c r="AJ40" i="1"/>
  <c r="CX40" i="1" s="1"/>
  <c r="CQ40" i="1"/>
  <c r="FR40" i="1"/>
  <c r="GL40" i="1"/>
  <c r="GO40" i="1"/>
  <c r="GP40" i="1"/>
  <c r="GV40" i="1"/>
  <c r="O41" i="1"/>
  <c r="P41" i="1"/>
  <c r="U124" i="6" s="1"/>
  <c r="Q41" i="1"/>
  <c r="W124" i="6" s="1"/>
  <c r="R41" i="1"/>
  <c r="S41" i="1"/>
  <c r="V124" i="6" s="1"/>
  <c r="T41" i="1"/>
  <c r="U41" i="1"/>
  <c r="V41" i="1"/>
  <c r="Z124" i="6" s="1"/>
  <c r="W41" i="1"/>
  <c r="X41" i="1"/>
  <c r="Y41" i="1"/>
  <c r="AB41" i="1"/>
  <c r="AC41" i="1"/>
  <c r="AD41" i="1"/>
  <c r="AE41" i="1"/>
  <c r="AF41" i="1"/>
  <c r="AG41" i="1"/>
  <c r="AH41" i="1"/>
  <c r="AI41" i="1"/>
  <c r="AJ41" i="1"/>
  <c r="FR41" i="1"/>
  <c r="GL41" i="1"/>
  <c r="GO41" i="1"/>
  <c r="GP41" i="1"/>
  <c r="GV41" i="1"/>
  <c r="GX41" i="1" s="1"/>
  <c r="O42" i="1"/>
  <c r="P42" i="1"/>
  <c r="U126" i="6" s="1"/>
  <c r="Q42" i="1"/>
  <c r="W126" i="6" s="1"/>
  <c r="R42" i="1"/>
  <c r="S42" i="1"/>
  <c r="V126" i="6" s="1"/>
  <c r="T42" i="1"/>
  <c r="U42" i="1"/>
  <c r="V42" i="1"/>
  <c r="Z126" i="6" s="1"/>
  <c r="W42" i="1"/>
  <c r="X42" i="1"/>
  <c r="Y42" i="1"/>
  <c r="AB42" i="1"/>
  <c r="AC42" i="1"/>
  <c r="AD42" i="1"/>
  <c r="AE42" i="1"/>
  <c r="AF42" i="1"/>
  <c r="AG42" i="1"/>
  <c r="AH42" i="1"/>
  <c r="AI42" i="1"/>
  <c r="AJ42" i="1"/>
  <c r="FR42" i="1"/>
  <c r="GL42" i="1"/>
  <c r="GO42" i="1"/>
  <c r="GP42" i="1"/>
  <c r="GV42" i="1"/>
  <c r="GX42" i="1"/>
  <c r="B44" i="1"/>
  <c r="B22" i="1" s="1"/>
  <c r="C44" i="1"/>
  <c r="C22" i="1" s="1"/>
  <c r="D44" i="1"/>
  <c r="D22" i="1" s="1"/>
  <c r="F44" i="1"/>
  <c r="F22" i="1" s="1"/>
  <c r="G44" i="1"/>
  <c r="BX44" i="1"/>
  <c r="BX22" i="1" s="1"/>
  <c r="CK44" i="1"/>
  <c r="CK22" i="1" s="1"/>
  <c r="CL44" i="1"/>
  <c r="CL22" i="1" s="1"/>
  <c r="B76" i="1"/>
  <c r="B18" i="1" s="1"/>
  <c r="C76" i="1"/>
  <c r="C18" i="1" s="1"/>
  <c r="D76" i="1"/>
  <c r="D18" i="1" s="1"/>
  <c r="F76" i="1"/>
  <c r="F18" i="1" s="1"/>
  <c r="G76" i="1"/>
  <c r="T26" i="1" l="1"/>
  <c r="GX40" i="1"/>
  <c r="W40" i="1"/>
  <c r="W38" i="1"/>
  <c r="W29" i="1"/>
  <c r="CS26" i="1"/>
  <c r="R26" i="1" s="1"/>
  <c r="U26" i="1"/>
  <c r="Y60" i="6" s="1"/>
  <c r="T29" i="1"/>
  <c r="V26" i="1"/>
  <c r="Z60" i="6" s="1"/>
  <c r="V40" i="1"/>
  <c r="Z122" i="6" s="1"/>
  <c r="V38" i="1"/>
  <c r="Z109" i="6" s="1"/>
  <c r="Q38" i="1"/>
  <c r="W109" i="6" s="1"/>
  <c r="V35" i="1"/>
  <c r="Z103" i="6" s="1"/>
  <c r="R35" i="1"/>
  <c r="GX34" i="1"/>
  <c r="V33" i="1"/>
  <c r="Z99" i="6" s="1"/>
  <c r="GX29" i="1"/>
  <c r="P26" i="1"/>
  <c r="T30" i="1"/>
  <c r="S29" i="1"/>
  <c r="V75" i="6" s="1"/>
  <c r="CS40" i="1"/>
  <c r="R40" i="1" s="1"/>
  <c r="CS37" i="1"/>
  <c r="R37" i="1" s="1"/>
  <c r="U35" i="1"/>
  <c r="Y103" i="6" s="1"/>
  <c r="AD35" i="1"/>
  <c r="CR35" i="1" s="1"/>
  <c r="Q35" i="1" s="1"/>
  <c r="W103" i="6" s="1"/>
  <c r="T34" i="1"/>
  <c r="V30" i="1"/>
  <c r="Z84" i="6" s="1"/>
  <c r="U29" i="1"/>
  <c r="H60" i="5"/>
  <c r="W26" i="1"/>
  <c r="Y75" i="6"/>
  <c r="L65" i="5"/>
  <c r="Q65" i="5" s="1"/>
  <c r="L63" i="5"/>
  <c r="AB40" i="1"/>
  <c r="G122" i="6" s="1"/>
  <c r="CR40" i="1"/>
  <c r="Q40" i="1" s="1"/>
  <c r="W122" i="6" s="1"/>
  <c r="L93" i="5"/>
  <c r="Q93" i="5" s="1"/>
  <c r="Y124" i="6"/>
  <c r="V109" i="6"/>
  <c r="K84" i="5"/>
  <c r="AB36" i="1"/>
  <c r="G105" i="6" s="1"/>
  <c r="U79" i="5"/>
  <c r="S79" i="5"/>
  <c r="CT36" i="1"/>
  <c r="S36" i="1" s="1"/>
  <c r="V105" i="6" s="1"/>
  <c r="AD33" i="1"/>
  <c r="CR33" i="1" s="1"/>
  <c r="Q33" i="1" s="1"/>
  <c r="W99" i="6" s="1"/>
  <c r="CS33" i="1"/>
  <c r="R33" i="1" s="1"/>
  <c r="AD30" i="1"/>
  <c r="H64" i="5" s="1"/>
  <c r="W64" i="5" s="1"/>
  <c r="CS30" i="1"/>
  <c r="R30" i="1" s="1"/>
  <c r="GK26" i="1"/>
  <c r="X60" i="6"/>
  <c r="Y126" i="6"/>
  <c r="L95" i="5"/>
  <c r="Q95" i="5" s="1"/>
  <c r="GK40" i="1"/>
  <c r="X122" i="6"/>
  <c r="V32" i="1"/>
  <c r="Z97" i="6" s="1"/>
  <c r="V62" i="6"/>
  <c r="K46" i="5"/>
  <c r="CQ39" i="1"/>
  <c r="CT34" i="1"/>
  <c r="S34" i="1" s="1"/>
  <c r="V101" i="6" s="1"/>
  <c r="U77" i="5"/>
  <c r="S77" i="5"/>
  <c r="K57" i="5"/>
  <c r="G18" i="1"/>
  <c r="C136" i="6"/>
  <c r="AG136" i="6"/>
  <c r="G126" i="6"/>
  <c r="H94" i="5"/>
  <c r="GK42" i="1"/>
  <c r="X126" i="6"/>
  <c r="AB124" i="6"/>
  <c r="V92" i="5"/>
  <c r="F97" i="6"/>
  <c r="E75" i="5"/>
  <c r="V86" i="6"/>
  <c r="K68" i="5"/>
  <c r="AD28" i="1"/>
  <c r="CS28" i="1"/>
  <c r="R28" i="1" s="1"/>
  <c r="G46" i="6"/>
  <c r="H26" i="5"/>
  <c r="G44" i="6"/>
  <c r="U24" i="5"/>
  <c r="H30" i="5" s="1"/>
  <c r="S24" i="5"/>
  <c r="H29" i="5" s="1"/>
  <c r="CT24" i="1"/>
  <c r="S24" i="1" s="1"/>
  <c r="AB126" i="6"/>
  <c r="V94" i="5"/>
  <c r="CT40" i="1"/>
  <c r="S40" i="1" s="1"/>
  <c r="CZ40" i="1" s="1"/>
  <c r="Y40" i="1" s="1"/>
  <c r="U90" i="5"/>
  <c r="S90" i="5"/>
  <c r="CS38" i="1"/>
  <c r="R38" i="1" s="1"/>
  <c r="CY38" i="1" s="1"/>
  <c r="X38" i="1" s="1"/>
  <c r="CQ37" i="1"/>
  <c r="P37" i="1" s="1"/>
  <c r="U107" i="6" s="1"/>
  <c r="H80" i="5"/>
  <c r="W80" i="5" s="1"/>
  <c r="S32" i="1"/>
  <c r="V97" i="6" s="1"/>
  <c r="Y62" i="6"/>
  <c r="L54" i="5"/>
  <c r="Q54" i="5" s="1"/>
  <c r="L52" i="5"/>
  <c r="CS24" i="1"/>
  <c r="R24" i="1" s="1"/>
  <c r="H28" i="5"/>
  <c r="R28" i="5" s="1"/>
  <c r="AD24" i="1"/>
  <c r="BC44" i="1"/>
  <c r="BC22" i="1" s="1"/>
  <c r="F122" i="6"/>
  <c r="E90" i="5"/>
  <c r="GK37" i="1"/>
  <c r="X107" i="6"/>
  <c r="E80" i="5"/>
  <c r="F107" i="6"/>
  <c r="H79" i="5"/>
  <c r="W79" i="5" s="1"/>
  <c r="F101" i="6"/>
  <c r="E77" i="5"/>
  <c r="CS32" i="1"/>
  <c r="R32" i="1" s="1"/>
  <c r="F73" i="6"/>
  <c r="E53" i="5"/>
  <c r="G68" i="6"/>
  <c r="G70" i="6"/>
  <c r="H46" i="5"/>
  <c r="R46" i="5" s="1"/>
  <c r="U44" i="5"/>
  <c r="S44" i="5"/>
  <c r="CX16" i="3"/>
  <c r="F62" i="6"/>
  <c r="E44" i="5"/>
  <c r="C63" i="6"/>
  <c r="C45" i="5"/>
  <c r="G57" i="6"/>
  <c r="G55" i="6"/>
  <c r="H35" i="5"/>
  <c r="R35" i="5" s="1"/>
  <c r="U33" i="5"/>
  <c r="S33" i="5"/>
  <c r="CT25" i="1"/>
  <c r="S25" i="1" s="1"/>
  <c r="G22" i="1"/>
  <c r="C129" i="6"/>
  <c r="A97" i="5"/>
  <c r="CP42" i="1"/>
  <c r="CP41" i="1"/>
  <c r="G124" i="6"/>
  <c r="H92" i="5"/>
  <c r="X124" i="6"/>
  <c r="GK41" i="1"/>
  <c r="BZ44" i="1"/>
  <c r="BZ22" i="1" s="1"/>
  <c r="U40" i="1"/>
  <c r="Y122" i="6" s="1"/>
  <c r="CS39" i="1"/>
  <c r="AB39" i="1"/>
  <c r="G120" i="6" s="1"/>
  <c r="U82" i="5"/>
  <c r="G115" i="6"/>
  <c r="S82" i="5"/>
  <c r="H84" i="5"/>
  <c r="G117" i="6"/>
  <c r="C110" i="6"/>
  <c r="F109" i="6"/>
  <c r="C83" i="5"/>
  <c r="E82" i="5"/>
  <c r="I39" i="1"/>
  <c r="V39" i="1" s="1"/>
  <c r="Z120" i="6" s="1"/>
  <c r="BY44" i="1"/>
  <c r="AP44" i="1" s="1"/>
  <c r="CQ36" i="1"/>
  <c r="P36" i="1" s="1"/>
  <c r="U105" i="6" s="1"/>
  <c r="U76" i="5"/>
  <c r="S76" i="5"/>
  <c r="CT33" i="1"/>
  <c r="S33" i="1" s="1"/>
  <c r="V99" i="6" s="1"/>
  <c r="T32" i="1"/>
  <c r="Y86" i="6"/>
  <c r="L81" i="5"/>
  <c r="Q81" i="5" s="1"/>
  <c r="L74" i="5"/>
  <c r="H71" i="5"/>
  <c r="CQ31" i="1"/>
  <c r="P31" i="1" s="1"/>
  <c r="CT30" i="1"/>
  <c r="U64" i="5"/>
  <c r="S64" i="5"/>
  <c r="F84" i="6"/>
  <c r="E64" i="5"/>
  <c r="GX30" i="1"/>
  <c r="W28" i="1"/>
  <c r="CT28" i="1"/>
  <c r="S28" i="1" s="1"/>
  <c r="CZ28" i="1" s="1"/>
  <c r="Y28" i="1" s="1"/>
  <c r="U53" i="5"/>
  <c r="S53" i="5"/>
  <c r="GX27" i="1"/>
  <c r="AD25" i="1"/>
  <c r="AB25" i="1" s="1"/>
  <c r="H37" i="5"/>
  <c r="R37" i="5" s="1"/>
  <c r="CX1" i="3"/>
  <c r="C39" i="6"/>
  <c r="F38" i="6"/>
  <c r="E24" i="5"/>
  <c r="C25" i="5"/>
  <c r="GX24" i="1"/>
  <c r="U38" i="1"/>
  <c r="W37" i="1"/>
  <c r="U80" i="5"/>
  <c r="S80" i="5"/>
  <c r="E79" i="5"/>
  <c r="F105" i="6"/>
  <c r="S78" i="5"/>
  <c r="U78" i="5"/>
  <c r="V34" i="1"/>
  <c r="Z101" i="6" s="1"/>
  <c r="CQ33" i="1"/>
  <c r="P33" i="1" s="1"/>
  <c r="U99" i="6" s="1"/>
  <c r="H76" i="5"/>
  <c r="W76" i="5" s="1"/>
  <c r="P32" i="1"/>
  <c r="U97" i="6" s="1"/>
  <c r="H75" i="5"/>
  <c r="W75" i="5" s="1"/>
  <c r="U30" i="1"/>
  <c r="Y84" i="6" s="1"/>
  <c r="G82" i="6"/>
  <c r="G81" i="6"/>
  <c r="U55" i="5"/>
  <c r="H57" i="5"/>
  <c r="R57" i="5" s="1"/>
  <c r="S55" i="5"/>
  <c r="CX24" i="3"/>
  <c r="C76" i="6"/>
  <c r="F75" i="6"/>
  <c r="E55" i="5"/>
  <c r="C56" i="5"/>
  <c r="U28" i="1"/>
  <c r="Y73" i="6" s="1"/>
  <c r="V27" i="1"/>
  <c r="Z62" i="6" s="1"/>
  <c r="H48" i="5"/>
  <c r="R48" i="5" s="1"/>
  <c r="U60" i="6"/>
  <c r="H42" i="5"/>
  <c r="W42" i="5" s="1"/>
  <c r="Y49" i="6"/>
  <c r="L43" i="5"/>
  <c r="Q43" i="5" s="1"/>
  <c r="L41" i="5"/>
  <c r="CQ25" i="1"/>
  <c r="P25" i="1" s="1"/>
  <c r="H38" i="5"/>
  <c r="U24" i="1"/>
  <c r="BB44" i="1"/>
  <c r="T94" i="5"/>
  <c r="AA126" i="6"/>
  <c r="AA124" i="6"/>
  <c r="T92" i="5"/>
  <c r="CD44" i="1"/>
  <c r="CD22" i="1" s="1"/>
  <c r="P40" i="1"/>
  <c r="H90" i="5"/>
  <c r="W90" i="5" s="1"/>
  <c r="W39" i="1"/>
  <c r="U89" i="5"/>
  <c r="S89" i="5"/>
  <c r="P38" i="1"/>
  <c r="AB38" i="1"/>
  <c r="G109" i="6" s="1"/>
  <c r="H85" i="5"/>
  <c r="V37" i="1"/>
  <c r="Z107" i="6" s="1"/>
  <c r="Q37" i="1"/>
  <c r="W107" i="6" s="1"/>
  <c r="CS36" i="1"/>
  <c r="R36" i="1" s="1"/>
  <c r="F103" i="6"/>
  <c r="E78" i="5"/>
  <c r="CS34" i="1"/>
  <c r="R34" i="1" s="1"/>
  <c r="X101" i="6" s="1"/>
  <c r="U34" i="1"/>
  <c r="Y101" i="6" s="1"/>
  <c r="H77" i="5"/>
  <c r="W77" i="5" s="1"/>
  <c r="E76" i="5"/>
  <c r="F99" i="6"/>
  <c r="W32" i="1"/>
  <c r="AB32" i="1"/>
  <c r="G97" i="6" s="1"/>
  <c r="S75" i="5"/>
  <c r="U75" i="5"/>
  <c r="CC44" i="1"/>
  <c r="G94" i="6"/>
  <c r="S66" i="5"/>
  <c r="H68" i="5"/>
  <c r="R68" i="5" s="1"/>
  <c r="G92" i="6"/>
  <c r="U66" i="5"/>
  <c r="C87" i="6"/>
  <c r="F86" i="6"/>
  <c r="C67" i="5"/>
  <c r="E66" i="5"/>
  <c r="P30" i="1"/>
  <c r="U84" i="6" s="1"/>
  <c r="V29" i="1"/>
  <c r="Z75" i="6" s="1"/>
  <c r="H59" i="5"/>
  <c r="R59" i="5" s="1"/>
  <c r="P28" i="1"/>
  <c r="U73" i="6" s="1"/>
  <c r="H53" i="5"/>
  <c r="W53" i="5" s="1"/>
  <c r="CQ27" i="1"/>
  <c r="P27" i="1" s="1"/>
  <c r="H49" i="5"/>
  <c r="CT26" i="1"/>
  <c r="S26" i="1" s="1"/>
  <c r="U42" i="5"/>
  <c r="S42" i="5"/>
  <c r="F60" i="6"/>
  <c r="E42" i="5"/>
  <c r="CX4" i="3"/>
  <c r="F49" i="6"/>
  <c r="E33" i="5"/>
  <c r="C50" i="6"/>
  <c r="C34" i="5"/>
  <c r="P24" i="1"/>
  <c r="U38" i="6" s="1"/>
  <c r="CC22" i="1"/>
  <c r="AT44" i="1"/>
  <c r="CY37" i="1"/>
  <c r="X37" i="1" s="1"/>
  <c r="CZ37" i="1"/>
  <c r="Y37" i="1" s="1"/>
  <c r="CY35" i="1"/>
  <c r="X35" i="1" s="1"/>
  <c r="CZ35" i="1"/>
  <c r="Y35" i="1" s="1"/>
  <c r="CZ32" i="1"/>
  <c r="Y32" i="1" s="1"/>
  <c r="AQ44" i="1"/>
  <c r="CZ38" i="1"/>
  <c r="Y38" i="1" s="1"/>
  <c r="CZ36" i="1"/>
  <c r="Y36" i="1" s="1"/>
  <c r="CY36" i="1"/>
  <c r="X36" i="1" s="1"/>
  <c r="CR34" i="1"/>
  <c r="Q34" i="1" s="1"/>
  <c r="W101" i="6" s="1"/>
  <c r="AB34" i="1"/>
  <c r="G101" i="6" s="1"/>
  <c r="CZ33" i="1"/>
  <c r="Y33" i="1" s="1"/>
  <c r="BB76" i="1"/>
  <c r="F60" i="1"/>
  <c r="AO44" i="1"/>
  <c r="P39" i="1"/>
  <c r="CX40" i="3"/>
  <c r="CX41" i="3"/>
  <c r="CX42" i="3"/>
  <c r="CX43" i="3"/>
  <c r="AD31" i="1"/>
  <c r="CS31" i="1"/>
  <c r="R31" i="1" s="1"/>
  <c r="CR28" i="1"/>
  <c r="Q28" i="1" s="1"/>
  <c r="AB28" i="1"/>
  <c r="G73" i="6" s="1"/>
  <c r="AB30" i="1"/>
  <c r="G84" i="6" s="1"/>
  <c r="AD29" i="1"/>
  <c r="CS29" i="1"/>
  <c r="R29" i="1" s="1"/>
  <c r="BC76" i="1"/>
  <c r="AB37" i="1"/>
  <c r="G107" i="6" s="1"/>
  <c r="U36" i="1"/>
  <c r="Y105" i="6" s="1"/>
  <c r="Q36" i="1"/>
  <c r="AB33" i="1"/>
  <c r="G99" i="6" s="1"/>
  <c r="U32" i="1"/>
  <c r="Q32" i="1"/>
  <c r="CQ29" i="1"/>
  <c r="P29" i="1" s="1"/>
  <c r="CX32" i="3"/>
  <c r="CX36" i="3"/>
  <c r="CX29" i="3"/>
  <c r="CX33" i="3"/>
  <c r="CX37" i="3"/>
  <c r="CX30" i="3"/>
  <c r="CX34" i="3"/>
  <c r="CX38" i="3"/>
  <c r="CX31" i="3"/>
  <c r="CX35" i="3"/>
  <c r="CX39" i="3"/>
  <c r="W30" i="1"/>
  <c r="S30" i="1"/>
  <c r="V84" i="6" s="1"/>
  <c r="CZ24" i="1"/>
  <c r="Y24" i="1" s="1"/>
  <c r="AD27" i="1"/>
  <c r="CS27" i="1"/>
  <c r="R27" i="1" s="1"/>
  <c r="AB26" i="1"/>
  <c r="G60" i="6" s="1"/>
  <c r="CX27" i="3"/>
  <c r="CX23" i="3"/>
  <c r="CX19" i="3"/>
  <c r="CX15" i="3"/>
  <c r="CX11" i="3"/>
  <c r="CX7" i="3"/>
  <c r="CX3" i="3"/>
  <c r="CS25" i="1"/>
  <c r="R25" i="1" s="1"/>
  <c r="CX26" i="3"/>
  <c r="CX22" i="3"/>
  <c r="CX18" i="3"/>
  <c r="CX14" i="3"/>
  <c r="CX10" i="3"/>
  <c r="CX6" i="3"/>
  <c r="CX2" i="3"/>
  <c r="CX25" i="3"/>
  <c r="CX21" i="3"/>
  <c r="CX17" i="3"/>
  <c r="CX13" i="3"/>
  <c r="CX9" i="3"/>
  <c r="CX5" i="3"/>
  <c r="CX28" i="3"/>
  <c r="CX20" i="3"/>
  <c r="CX12" i="3"/>
  <c r="CX8" i="3"/>
  <c r="CP35" i="1" l="1"/>
  <c r="O35" i="1" s="1"/>
  <c r="R39" i="1"/>
  <c r="Q39" i="1"/>
  <c r="W120" i="6" s="1"/>
  <c r="H89" i="5"/>
  <c r="W89" i="5" s="1"/>
  <c r="G119" i="6"/>
  <c r="H78" i="5"/>
  <c r="W78" i="5" s="1"/>
  <c r="X103" i="6"/>
  <c r="GK35" i="1"/>
  <c r="GN35" i="1" s="1"/>
  <c r="AJ44" i="1"/>
  <c r="AB35" i="1"/>
  <c r="G103" i="6" s="1"/>
  <c r="CI44" i="1"/>
  <c r="GK34" i="1"/>
  <c r="GM34" i="1" s="1"/>
  <c r="AI44" i="1"/>
  <c r="AU44" i="1"/>
  <c r="S39" i="1"/>
  <c r="H40" i="5"/>
  <c r="H61" i="5"/>
  <c r="H86" i="5"/>
  <c r="H72" i="5"/>
  <c r="G49" i="6"/>
  <c r="G59" i="6"/>
  <c r="AB73" i="6"/>
  <c r="V53" i="5"/>
  <c r="CR27" i="1"/>
  <c r="Q27" i="1" s="1"/>
  <c r="CP27" i="1" s="1"/>
  <c r="O27" i="1" s="1"/>
  <c r="H47" i="5"/>
  <c r="X86" i="6"/>
  <c r="K70" i="5"/>
  <c r="V76" i="5"/>
  <c r="AB99" i="6"/>
  <c r="AA105" i="6"/>
  <c r="T79" i="5"/>
  <c r="T78" i="5"/>
  <c r="AA103" i="6"/>
  <c r="U62" i="6"/>
  <c r="K49" i="5"/>
  <c r="K38" i="5"/>
  <c r="U49" i="6"/>
  <c r="GK24" i="1"/>
  <c r="X38" i="6"/>
  <c r="K28" i="5"/>
  <c r="CY40" i="1"/>
  <c r="X40" i="1" s="1"/>
  <c r="V122" i="6"/>
  <c r="G95" i="5"/>
  <c r="O95" i="5" s="1"/>
  <c r="W95" i="5"/>
  <c r="CY24" i="1"/>
  <c r="X24" i="1" s="1"/>
  <c r="U75" i="6"/>
  <c r="K60" i="5"/>
  <c r="CP36" i="1"/>
  <c r="O36" i="1" s="1"/>
  <c r="W105" i="6"/>
  <c r="CR30" i="1"/>
  <c r="Q30" i="1" s="1"/>
  <c r="CP34" i="1"/>
  <c r="O34" i="1" s="1"/>
  <c r="CR31" i="1"/>
  <c r="Q31" i="1" s="1"/>
  <c r="H69" i="5"/>
  <c r="CG44" i="1"/>
  <c r="CZ34" i="1"/>
  <c r="Y34" i="1" s="1"/>
  <c r="CY33" i="1"/>
  <c r="X33" i="1" s="1"/>
  <c r="AB105" i="6"/>
  <c r="V79" i="5"/>
  <c r="CY34" i="1"/>
  <c r="X34" i="1" s="1"/>
  <c r="BY22" i="1"/>
  <c r="CY39" i="1"/>
  <c r="X39" i="1" s="1"/>
  <c r="CY32" i="1"/>
  <c r="X32" i="1" s="1"/>
  <c r="CP37" i="1"/>
  <c r="O37" i="1" s="1"/>
  <c r="GK36" i="1"/>
  <c r="X105" i="6"/>
  <c r="BB22" i="1"/>
  <c r="F57" i="1"/>
  <c r="H62" i="5"/>
  <c r="F120" i="6"/>
  <c r="E89" i="5"/>
  <c r="GX39" i="1"/>
  <c r="T39" i="1"/>
  <c r="AG44" i="1" s="1"/>
  <c r="T44" i="1" s="1"/>
  <c r="GM41" i="1"/>
  <c r="GN41" i="1"/>
  <c r="U39" i="1"/>
  <c r="Y120" i="6" s="1"/>
  <c r="GK33" i="1"/>
  <c r="X99" i="6"/>
  <c r="H46" i="6"/>
  <c r="AB38" i="6"/>
  <c r="V24" i="5"/>
  <c r="K30" i="5" s="1"/>
  <c r="AB122" i="6"/>
  <c r="V90" i="5"/>
  <c r="CZ25" i="1"/>
  <c r="Y25" i="1" s="1"/>
  <c r="X49" i="6"/>
  <c r="K37" i="5"/>
  <c r="CP32" i="1"/>
  <c r="O32" i="1" s="1"/>
  <c r="W97" i="6"/>
  <c r="GK29" i="1"/>
  <c r="X75" i="6"/>
  <c r="K59" i="5"/>
  <c r="CP39" i="1"/>
  <c r="O39" i="1" s="1"/>
  <c r="U120" i="6"/>
  <c r="T103" i="6"/>
  <c r="K78" i="5"/>
  <c r="H103" i="6"/>
  <c r="T82" i="5"/>
  <c r="AA109" i="6"/>
  <c r="H115" i="6"/>
  <c r="AB97" i="6"/>
  <c r="V75" i="5"/>
  <c r="V80" i="5"/>
  <c r="AB107" i="6"/>
  <c r="CZ26" i="1"/>
  <c r="Y26" i="1" s="1"/>
  <c r="V60" i="6"/>
  <c r="CY26" i="1"/>
  <c r="X26" i="1" s="1"/>
  <c r="CP38" i="1"/>
  <c r="O38" i="1" s="1"/>
  <c r="U109" i="6"/>
  <c r="K85" i="5"/>
  <c r="Y38" i="6"/>
  <c r="L32" i="5"/>
  <c r="Q32" i="5" s="1"/>
  <c r="L31" i="5"/>
  <c r="CP26" i="1"/>
  <c r="O26" i="1" s="1"/>
  <c r="L91" i="5"/>
  <c r="Q91" i="5" s="1"/>
  <c r="Y109" i="6"/>
  <c r="L88" i="5"/>
  <c r="CR25" i="1"/>
  <c r="Q25" i="1" s="1"/>
  <c r="H36" i="5"/>
  <c r="V73" i="6"/>
  <c r="CY28" i="1"/>
  <c r="X28" i="1" s="1"/>
  <c r="U86" i="6"/>
  <c r="K71" i="5"/>
  <c r="GK39" i="1"/>
  <c r="X120" i="6"/>
  <c r="GM42" i="1"/>
  <c r="GN42" i="1"/>
  <c r="V49" i="6"/>
  <c r="K35" i="5"/>
  <c r="H50" i="5"/>
  <c r="GK32" i="1"/>
  <c r="X97" i="6"/>
  <c r="CR24" i="1"/>
  <c r="Q24" i="1" s="1"/>
  <c r="H27" i="5"/>
  <c r="W32" i="5" s="1"/>
  <c r="GK28" i="1"/>
  <c r="X73" i="6"/>
  <c r="K48" i="5"/>
  <c r="X62" i="6"/>
  <c r="CY25" i="1"/>
  <c r="X25" i="1" s="1"/>
  <c r="CY27" i="1"/>
  <c r="X27" i="1" s="1"/>
  <c r="AH44" i="1"/>
  <c r="AH22" i="1" s="1"/>
  <c r="Y97" i="6"/>
  <c r="CR29" i="1"/>
  <c r="Q29" i="1" s="1"/>
  <c r="CP29" i="1" s="1"/>
  <c r="O29" i="1" s="1"/>
  <c r="H58" i="5"/>
  <c r="CP28" i="1"/>
  <c r="O28" i="1" s="1"/>
  <c r="W73" i="6"/>
  <c r="CP33" i="1"/>
  <c r="O33" i="1" s="1"/>
  <c r="AF44" i="1"/>
  <c r="S44" i="1" s="1"/>
  <c r="H117" i="6"/>
  <c r="AB109" i="6"/>
  <c r="V82" i="5"/>
  <c r="AB103" i="6"/>
  <c r="V78" i="5"/>
  <c r="AA107" i="6"/>
  <c r="T80" i="5"/>
  <c r="AB24" i="1"/>
  <c r="H73" i="5"/>
  <c r="CP40" i="1"/>
  <c r="O40" i="1" s="1"/>
  <c r="GN40" i="1" s="1"/>
  <c r="U122" i="6"/>
  <c r="CJ44" i="1"/>
  <c r="R84" i="5"/>
  <c r="H87" i="5"/>
  <c r="G93" i="5"/>
  <c r="O93" i="5" s="1"/>
  <c r="W93" i="5"/>
  <c r="H39" i="5"/>
  <c r="H51" i="5"/>
  <c r="X109" i="6"/>
  <c r="GK38" i="1"/>
  <c r="GM38" i="1" s="1"/>
  <c r="V38" i="6"/>
  <c r="K26" i="5"/>
  <c r="R26" i="5"/>
  <c r="G17" i="5" s="1"/>
  <c r="GK30" i="1"/>
  <c r="X84" i="6"/>
  <c r="GM36" i="1"/>
  <c r="GN36" i="1"/>
  <c r="U44" i="1"/>
  <c r="AB31" i="1"/>
  <c r="CI22" i="1"/>
  <c r="AZ44" i="1"/>
  <c r="AI22" i="1"/>
  <c r="V44" i="1"/>
  <c r="AU22" i="1"/>
  <c r="AU76" i="1"/>
  <c r="F63" i="1"/>
  <c r="AB27" i="1"/>
  <c r="CZ30" i="1"/>
  <c r="Y30" i="1" s="1"/>
  <c r="CY30" i="1"/>
  <c r="X30" i="1" s="1"/>
  <c r="AO22" i="1"/>
  <c r="F48" i="1"/>
  <c r="AO76" i="1"/>
  <c r="BB18" i="1"/>
  <c r="F89" i="1"/>
  <c r="AC44" i="1"/>
  <c r="CZ29" i="1"/>
  <c r="Y29" i="1" s="1"/>
  <c r="GK27" i="1"/>
  <c r="CZ27" i="1"/>
  <c r="Y27" i="1" s="1"/>
  <c r="AJ22" i="1"/>
  <c r="W44" i="1"/>
  <c r="AB29" i="1"/>
  <c r="CY31" i="1"/>
  <c r="X31" i="1" s="1"/>
  <c r="CZ31" i="1"/>
  <c r="Y31" i="1" s="1"/>
  <c r="GK31" i="1"/>
  <c r="CY29" i="1"/>
  <c r="X29" i="1" s="1"/>
  <c r="GM35" i="1"/>
  <c r="AQ22" i="1"/>
  <c r="F54" i="1"/>
  <c r="AQ76" i="1"/>
  <c r="GN37" i="1"/>
  <c r="GM37" i="1"/>
  <c r="AT22" i="1"/>
  <c r="AT76" i="1"/>
  <c r="F62" i="1"/>
  <c r="F16" i="2" s="1"/>
  <c r="F18" i="2" s="1"/>
  <c r="AG22" i="1"/>
  <c r="AP22" i="1"/>
  <c r="F53" i="1"/>
  <c r="G16" i="2" s="1"/>
  <c r="G18" i="2" s="1"/>
  <c r="AP76" i="1"/>
  <c r="BC18" i="1"/>
  <c r="F92" i="1"/>
  <c r="GN34" i="1"/>
  <c r="GK25" i="1"/>
  <c r="AE44" i="1"/>
  <c r="CG22" i="1"/>
  <c r="AX44" i="1"/>
  <c r="AK44" i="1" l="1"/>
  <c r="V120" i="6"/>
  <c r="CZ39" i="1"/>
  <c r="Y39" i="1" s="1"/>
  <c r="L97" i="5"/>
  <c r="GM32" i="1"/>
  <c r="G32" i="5"/>
  <c r="O32" i="5" s="1"/>
  <c r="G81" i="5"/>
  <c r="O81" i="5" s="1"/>
  <c r="G54" i="5"/>
  <c r="O54" i="5" s="1"/>
  <c r="G91" i="5"/>
  <c r="O91" i="5" s="1"/>
  <c r="W43" i="5"/>
  <c r="H73" i="6"/>
  <c r="T73" i="6"/>
  <c r="K53" i="5"/>
  <c r="K27" i="5"/>
  <c r="W38" i="6"/>
  <c r="CP24" i="1"/>
  <c r="O24" i="1" s="1"/>
  <c r="H62" i="6"/>
  <c r="H72" i="6"/>
  <c r="T62" i="6"/>
  <c r="GN29" i="1"/>
  <c r="H82" i="6"/>
  <c r="V55" i="5"/>
  <c r="AB75" i="6"/>
  <c r="G86" i="6"/>
  <c r="G96" i="6"/>
  <c r="W91" i="5"/>
  <c r="AA99" i="6"/>
  <c r="T76" i="5"/>
  <c r="GM33" i="1"/>
  <c r="GN33" i="1"/>
  <c r="H81" i="6"/>
  <c r="AA75" i="6"/>
  <c r="T55" i="5"/>
  <c r="V44" i="5"/>
  <c r="K51" i="5" s="1"/>
  <c r="AB62" i="6"/>
  <c r="H70" i="6"/>
  <c r="AF22" i="1"/>
  <c r="GM28" i="1"/>
  <c r="CJ22" i="1"/>
  <c r="BA44" i="1"/>
  <c r="G38" i="6"/>
  <c r="G48" i="6"/>
  <c r="T126" i="6"/>
  <c r="H126" i="6"/>
  <c r="K94" i="5"/>
  <c r="J95" i="5" s="1"/>
  <c r="P95" i="5" s="1"/>
  <c r="W49" i="6"/>
  <c r="K36" i="5"/>
  <c r="CP25" i="1"/>
  <c r="O25" i="1" s="1"/>
  <c r="T60" i="6"/>
  <c r="H60" i="6"/>
  <c r="K42" i="5"/>
  <c r="GN26" i="1"/>
  <c r="GM26" i="1"/>
  <c r="AA97" i="6"/>
  <c r="T75" i="5"/>
  <c r="CP30" i="1"/>
  <c r="O30" i="1" s="1"/>
  <c r="GM30" i="1" s="1"/>
  <c r="W84" i="6"/>
  <c r="H94" i="6"/>
  <c r="AB86" i="6"/>
  <c r="V66" i="5"/>
  <c r="T64" i="5"/>
  <c r="AA84" i="6"/>
  <c r="W54" i="5"/>
  <c r="AA73" i="6"/>
  <c r="T53" i="5"/>
  <c r="AB60" i="6"/>
  <c r="V42" i="5"/>
  <c r="K89" i="5"/>
  <c r="T120" i="6"/>
  <c r="H120" i="6"/>
  <c r="AB49" i="6"/>
  <c r="V33" i="5"/>
  <c r="H57" i="6"/>
  <c r="H124" i="6"/>
  <c r="K92" i="5"/>
  <c r="J93" i="5" s="1"/>
  <c r="P93" i="5" s="1"/>
  <c r="T124" i="6"/>
  <c r="T89" i="5"/>
  <c r="AA120" i="6"/>
  <c r="H83" i="6"/>
  <c r="H75" i="6"/>
  <c r="T75" i="6"/>
  <c r="H92" i="6"/>
  <c r="AA86" i="6"/>
  <c r="T66" i="5"/>
  <c r="AB84" i="6"/>
  <c r="V64" i="5"/>
  <c r="G62" i="6"/>
  <c r="G72" i="6"/>
  <c r="T122" i="6"/>
  <c r="K90" i="5"/>
  <c r="H122" i="6"/>
  <c r="GM40" i="1"/>
  <c r="W65" i="5"/>
  <c r="G65" i="5"/>
  <c r="O65" i="5" s="1"/>
  <c r="AA62" i="6"/>
  <c r="H68" i="6"/>
  <c r="T44" i="5"/>
  <c r="H119" i="6"/>
  <c r="T109" i="6"/>
  <c r="H109" i="6"/>
  <c r="GN38" i="1"/>
  <c r="T97" i="6"/>
  <c r="H97" i="6"/>
  <c r="K75" i="5"/>
  <c r="CP31" i="1"/>
  <c r="O31" i="1" s="1"/>
  <c r="GN31" i="1" s="1"/>
  <c r="W86" i="6"/>
  <c r="K69" i="5"/>
  <c r="T105" i="6"/>
  <c r="H105" i="6"/>
  <c r="K79" i="5"/>
  <c r="H44" i="6"/>
  <c r="T24" i="5"/>
  <c r="K29" i="5" s="1"/>
  <c r="AA38" i="6"/>
  <c r="G75" i="6"/>
  <c r="G83" i="6"/>
  <c r="GN28" i="1"/>
  <c r="GN32" i="1"/>
  <c r="W81" i="5"/>
  <c r="H99" i="6"/>
  <c r="T99" i="6"/>
  <c r="K76" i="5"/>
  <c r="K58" i="5"/>
  <c r="W75" i="6"/>
  <c r="H55" i="6"/>
  <c r="AA49" i="6"/>
  <c r="T33" i="5"/>
  <c r="G43" i="5"/>
  <c r="O43" i="5" s="1"/>
  <c r="AA60" i="6"/>
  <c r="T42" i="5"/>
  <c r="H107" i="6"/>
  <c r="T107" i="6"/>
  <c r="K80" i="5"/>
  <c r="T77" i="5"/>
  <c r="AA101" i="6"/>
  <c r="V77" i="5"/>
  <c r="AB101" i="6"/>
  <c r="T101" i="6"/>
  <c r="K77" i="5"/>
  <c r="H101" i="6"/>
  <c r="T90" i="5"/>
  <c r="AA122" i="6"/>
  <c r="AD44" i="1"/>
  <c r="W62" i="6"/>
  <c r="K47" i="5"/>
  <c r="V22" i="1"/>
  <c r="F67" i="1"/>
  <c r="V76" i="1"/>
  <c r="U22" i="1"/>
  <c r="F66" i="1"/>
  <c r="U76" i="1"/>
  <c r="GM31" i="1"/>
  <c r="AE22" i="1"/>
  <c r="R44" i="1"/>
  <c r="GM29" i="1"/>
  <c r="AT18" i="1"/>
  <c r="F94" i="1"/>
  <c r="AQ18" i="1"/>
  <c r="F86" i="1"/>
  <c r="AC22" i="1"/>
  <c r="P44" i="1"/>
  <c r="CE44" i="1"/>
  <c r="CH44" i="1"/>
  <c r="CF44" i="1"/>
  <c r="S22" i="1"/>
  <c r="S76" i="1"/>
  <c r="F59" i="1"/>
  <c r="J16" i="2" s="1"/>
  <c r="J18" i="2" s="1"/>
  <c r="AL44" i="1"/>
  <c r="GN27" i="1"/>
  <c r="GM27" i="1"/>
  <c r="T22" i="1"/>
  <c r="F65" i="1"/>
  <c r="T76" i="1"/>
  <c r="W22" i="1"/>
  <c r="F68" i="1"/>
  <c r="W76" i="1"/>
  <c r="AU18" i="1"/>
  <c r="F95" i="1"/>
  <c r="AZ22" i="1"/>
  <c r="AZ76" i="1"/>
  <c r="F55" i="1"/>
  <c r="GN30" i="1"/>
  <c r="AK22" i="1"/>
  <c r="X44" i="1"/>
  <c r="AP18" i="1"/>
  <c r="F85" i="1"/>
  <c r="AX22" i="1"/>
  <c r="AX76" i="1"/>
  <c r="F51" i="1"/>
  <c r="AO18" i="1"/>
  <c r="F80" i="1"/>
  <c r="AB120" i="6" l="1"/>
  <c r="V89" i="5"/>
  <c r="K87" i="5" s="1"/>
  <c r="GM39" i="1"/>
  <c r="GN39" i="1"/>
  <c r="G97" i="5"/>
  <c r="K86" i="5"/>
  <c r="K40" i="5"/>
  <c r="J32" i="5"/>
  <c r="P32" i="5" s="1"/>
  <c r="K50" i="5"/>
  <c r="J54" i="5" s="1"/>
  <c r="P54" i="5" s="1"/>
  <c r="K61" i="5"/>
  <c r="T49" i="6"/>
  <c r="H49" i="6"/>
  <c r="H59" i="6"/>
  <c r="GM25" i="1"/>
  <c r="GN25" i="1"/>
  <c r="BA22" i="1"/>
  <c r="F64" i="1"/>
  <c r="H16" i="2" s="1"/>
  <c r="H18" i="2" s="1"/>
  <c r="BA76" i="1"/>
  <c r="AD22" i="1"/>
  <c r="Q44" i="1"/>
  <c r="K39" i="5"/>
  <c r="K72" i="5"/>
  <c r="H48" i="6"/>
  <c r="T38" i="6"/>
  <c r="H38" i="6"/>
  <c r="AB44" i="1"/>
  <c r="GM24" i="1"/>
  <c r="CA44" i="1" s="1"/>
  <c r="CA22" i="1" s="1"/>
  <c r="GN24" i="1"/>
  <c r="CB44" i="1" s="1"/>
  <c r="G14" i="5"/>
  <c r="J91" i="5"/>
  <c r="P91" i="5" s="1"/>
  <c r="H96" i="6"/>
  <c r="T86" i="6"/>
  <c r="H86" i="6"/>
  <c r="G15" i="5"/>
  <c r="K73" i="5"/>
  <c r="T84" i="6"/>
  <c r="K64" i="5"/>
  <c r="H84" i="6"/>
  <c r="K62" i="5"/>
  <c r="W18" i="1"/>
  <c r="F100" i="1"/>
  <c r="AL22" i="1"/>
  <c r="Y44" i="1"/>
  <c r="CH22" i="1"/>
  <c r="AY44" i="1"/>
  <c r="U18" i="1"/>
  <c r="F98" i="1"/>
  <c r="CE22" i="1"/>
  <c r="AV44" i="1"/>
  <c r="R22" i="1"/>
  <c r="F58" i="1"/>
  <c r="R76" i="1"/>
  <c r="AX18" i="1"/>
  <c r="F83" i="1"/>
  <c r="X22" i="1"/>
  <c r="X76" i="1"/>
  <c r="F69" i="1"/>
  <c r="S18" i="1"/>
  <c r="F91" i="1"/>
  <c r="P22" i="1"/>
  <c r="P76" i="1"/>
  <c r="F47" i="1"/>
  <c r="AZ18" i="1"/>
  <c r="F87" i="1"/>
  <c r="T18" i="1"/>
  <c r="F97" i="1"/>
  <c r="CF22" i="1"/>
  <c r="AW44" i="1"/>
  <c r="V18" i="1"/>
  <c r="F99" i="1"/>
  <c r="J65" i="5" l="1"/>
  <c r="P65" i="5" s="1"/>
  <c r="J43" i="5"/>
  <c r="P43" i="5" s="1"/>
  <c r="AS44" i="1"/>
  <c r="AS22" i="1" s="1"/>
  <c r="CB22" i="1"/>
  <c r="Q22" i="1"/>
  <c r="Q76" i="1"/>
  <c r="F56" i="1"/>
  <c r="J81" i="5"/>
  <c r="P81" i="5" s="1"/>
  <c r="H136" i="6"/>
  <c r="H129" i="6"/>
  <c r="I16" i="5"/>
  <c r="G16" i="5" s="1"/>
  <c r="AR44" i="1"/>
  <c r="AB22" i="1"/>
  <c r="O44" i="1"/>
  <c r="BA18" i="1"/>
  <c r="F96" i="1"/>
  <c r="P18" i="1"/>
  <c r="F79" i="1"/>
  <c r="AW22" i="1"/>
  <c r="F50" i="1"/>
  <c r="AW76" i="1"/>
  <c r="X18" i="1"/>
  <c r="F101" i="1"/>
  <c r="AY22" i="1"/>
  <c r="F52" i="1"/>
  <c r="AY76" i="1"/>
  <c r="F61" i="1"/>
  <c r="E16" i="2" s="1"/>
  <c r="AS76" i="1"/>
  <c r="AV22" i="1"/>
  <c r="AV76" i="1"/>
  <c r="F49" i="1"/>
  <c r="R18" i="1"/>
  <c r="F90" i="1"/>
  <c r="I17" i="5" s="1"/>
  <c r="Y22" i="1"/>
  <c r="Y76" i="1"/>
  <c r="F70" i="1"/>
  <c r="AR22" i="1"/>
  <c r="AR76" i="1"/>
  <c r="F71" i="1"/>
  <c r="F72" i="1" s="1"/>
  <c r="G132" i="6" s="1"/>
  <c r="J97" i="5" l="1"/>
  <c r="O76" i="1"/>
  <c r="O22" i="1"/>
  <c r="F46" i="1"/>
  <c r="Q18" i="1"/>
  <c r="F88" i="1"/>
  <c r="AS18" i="1"/>
  <c r="F93" i="1"/>
  <c r="I15" i="5" s="1"/>
  <c r="AW18" i="1"/>
  <c r="F82" i="1"/>
  <c r="F73" i="1"/>
  <c r="G133" i="6" s="1"/>
  <c r="Y18" i="1"/>
  <c r="F102" i="1"/>
  <c r="E18" i="2"/>
  <c r="I16" i="2"/>
  <c r="I18" i="2" s="1"/>
  <c r="AR18" i="1"/>
  <c r="F103" i="1"/>
  <c r="F104" i="1" s="1"/>
  <c r="AV18" i="1"/>
  <c r="F81" i="1"/>
  <c r="AY18" i="1"/>
  <c r="F84" i="1"/>
  <c r="F74" i="1" l="1"/>
  <c r="G134" i="6" s="1"/>
  <c r="G138" i="6"/>
  <c r="F78" i="1"/>
  <c r="O18" i="1"/>
  <c r="F105" i="1"/>
  <c r="F106" i="1" l="1"/>
  <c r="G139" i="6"/>
  <c r="J98" i="5"/>
  <c r="G140" i="6" l="1"/>
  <c r="J99" i="5"/>
  <c r="I14" i="5"/>
  <c r="F31" i="6"/>
</calcChain>
</file>

<file path=xl/sharedStrings.xml><?xml version="1.0" encoding="utf-8"?>
<sst xmlns="http://schemas.openxmlformats.org/spreadsheetml/2006/main" count="1964" uniqueCount="384">
  <si>
    <t>Smeta.RU  (495) 974-1589</t>
  </si>
  <si>
    <t>_PS_</t>
  </si>
  <si>
    <t>Smeta.RU</t>
  </si>
  <si>
    <t>НИЯУ МИФИ  Доп. раб. место  MCCS-0027251</t>
  </si>
  <si>
    <t>Новый объект_(Копия)</t>
  </si>
  <si>
    <t>Капитальный ремонт окооных проемов общежития  301,332ДИТИ НИЯУ МИФИ_цена поставщика</t>
  </si>
  <si>
    <t/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</si>
  <si>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</si>
  <si>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</si>
  <si>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</si>
  <si>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</t>
  </si>
  <si>
    <t>Поправки  для ГСН 2017 от 31.03.2017 г</t>
  </si>
  <si>
    <t>Новая локальная смета</t>
  </si>
  <si>
    <t>1</t>
  </si>
  <si>
    <t>46-04-012-01</t>
  </si>
  <si>
    <t>Разборка деревянных заполнений проемов оконных с подоконными досками</t>
  </si>
  <si>
    <t>100 м2</t>
  </si>
  <si>
    <t>ФЕР-2001, 46-04-012-01, приказ Минстроя России №1039/пр от 30.12.2016г.</t>
  </si>
  <si>
    <t>Общестроительные работы</t>
  </si>
  <si>
    <t>Реконструкция зданий и сооружений</t>
  </si>
  <si>
    <t>ФЕР-46</t>
  </si>
  <si>
    <t>*0,9</t>
  </si>
  <si>
    <t>*0,85</t>
  </si>
  <si>
    <t>2</t>
  </si>
  <si>
    <t>10-01-034-08</t>
  </si>
  <si>
    <t>Установка в жилых и общественных зданиях оконных блоков из ПВХ профилей поворотных (откидных, поворотно-откидных) с площадью проема более 2 м2 трехстворчатых, в том числе при наличии створок глухого остекления</t>
  </si>
  <si>
    <t>ФЕР-2001, 10-01-034-08, приказ Минстроя России №1039/пр от 30.12.2016г.</t>
  </si>
  <si>
    <t>Деревянные конструкции</t>
  </si>
  <si>
    <t>ФЕР-10</t>
  </si>
  <si>
    <t>2,1</t>
  </si>
  <si>
    <t>Цена поставщика</t>
  </si>
  <si>
    <t>Блок оконный пластиковый</t>
  </si>
  <si>
    <t>м2</t>
  </si>
  <si>
    <t>[3 458,17 / 1,18 /  6,57]</t>
  </si>
  <si>
    <t>3</t>
  </si>
  <si>
    <t>10-01-035-03</t>
  </si>
  <si>
    <t>Установка подоконных досок из ПВХ в каменных стенах толщиной свыше 0,51 м</t>
  </si>
  <si>
    <t>100 м</t>
  </si>
  <si>
    <t>ФЕР-2001, 10-01-035-03, приказ Минстроя России №1039/пр от 30.12.2016г.</t>
  </si>
  <si>
    <t>3,1</t>
  </si>
  <si>
    <t>Доска подоконная</t>
  </si>
  <si>
    <t>м</t>
  </si>
  <si>
    <t>[1 798,67 / 1,18 /  6,57]</t>
  </si>
  <si>
    <t>4</t>
  </si>
  <si>
    <t>58-20-1</t>
  </si>
  <si>
    <t>Смена обделок из листовой стали (поясков, сандриков, отливов, карнизов) шириной до 0,4 м</t>
  </si>
  <si>
    <t>ФЕР-2001, 58-20-1, приказ Минстроя России №1039/пр от 30.12.2016г.</t>
  </si>
  <si>
    <t>Ремонтно-строительные работы</t>
  </si>
  <si>
    <t>Крыши, кровля</t>
  </si>
  <si>
    <t>рФЕР-58</t>
  </si>
  <si>
    <t>4,1</t>
  </si>
  <si>
    <t>Водоотлив оконный шириной планки 250 мм из оцинкованной стали с полимерным покрытием</t>
  </si>
  <si>
    <t>[222 / 1,18 /  6,57]</t>
  </si>
  <si>
    <t>5</t>
  </si>
  <si>
    <t>15-01-050-04</t>
  </si>
  <si>
    <t>Облицовка оконных и дверных откосов декоративным бумажно-слоистым пластиком или листами из синтетических материалов на клее</t>
  </si>
  <si>
    <t>ФЕР-2001, 15-01-050-04, приказ Минстроя России №1039/пр от 30.12.2016г.</t>
  </si>
  <si>
    <t>Отделочные работы</t>
  </si>
  <si>
    <t>ФЕР-15</t>
  </si>
  <si>
    <t>5,1</t>
  </si>
  <si>
    <t>01.6.01.11</t>
  </si>
  <si>
    <t>Листы облицовочные декоративные</t>
  </si>
  <si>
    <t>5,2</t>
  </si>
  <si>
    <t>11.3.03.05-0001</t>
  </si>
  <si>
    <t>Панели пластиковые для откосов "Реас Пласт" шириной 0,4 м, длиной 3,0 м, белые матовые, лакированные</t>
  </si>
  <si>
    <t>ФССЦ-2001, 11.3.03.05-0001, приказ Минстроя России №1039/пр от 30.12.2016г.</t>
  </si>
  <si>
    <t>5,3</t>
  </si>
  <si>
    <t>14.1.06.05</t>
  </si>
  <si>
    <t>Клей</t>
  </si>
  <si>
    <t>кг</t>
  </si>
  <si>
    <t>5,4</t>
  </si>
  <si>
    <t>14.1.02.03-0002</t>
  </si>
  <si>
    <t>Клей ПВА</t>
  </si>
  <si>
    <t>ФССЦ-2001, 14.1.02.03-0002, приказ Минстроя России №1039/пр от 30.12.2016г.</t>
  </si>
  <si>
    <t>5,5</t>
  </si>
  <si>
    <t>14.3.01.01-0001</t>
  </si>
  <si>
    <t>Грунтовка: «Бетоконтакт», КНАУФ</t>
  </si>
  <si>
    <t>ФССЦ-2001, 14.3.01.01-0001, приказ Минстроя России №1039/пр от 30.12.2016г.</t>
  </si>
  <si>
    <t>5,6</t>
  </si>
  <si>
    <t>14.4.01.21</t>
  </si>
  <si>
    <t>Грунтовка</t>
  </si>
  <si>
    <t>т</t>
  </si>
  <si>
    <t>6</t>
  </si>
  <si>
    <t>10-01-036-01</t>
  </si>
  <si>
    <t>Установка уголков ПВХ на клее</t>
  </si>
  <si>
    <t>ФЕР-2001, 10-01-036-01, приказ Минстроя России №1039/пр от 30.12.2016г.</t>
  </si>
  <si>
    <t>6,1</t>
  </si>
  <si>
    <t>11.3.03.13</t>
  </si>
  <si>
    <t>Уголок ПВХ</t>
  </si>
  <si>
    <t>П.М</t>
  </si>
  <si>
    <t>6,2</t>
  </si>
  <si>
    <t>11.3.03.13-0043</t>
  </si>
  <si>
    <t>Уголок ПВХ, размером 20х20 мм</t>
  </si>
  <si>
    <t>10 м</t>
  </si>
  <si>
    <t>ФССЦ-2001, 11.3.03.13-0043, приказ Минстроя России №1039/пр от 30.12.2016г.</t>
  </si>
  <si>
    <t>7</t>
  </si>
  <si>
    <t>т01-01-01-041</t>
  </si>
  <si>
    <t>Погрузочные работы при автомобильных перевозках мусора строительного с погрузкой вручную</t>
  </si>
  <si>
    <t>1 Т ГРУЗА</t>
  </si>
  <si>
    <t>ФССЦпг-2001, т01-01-01-041, приказ Минстроя России №1039/пр от 30.12.2016г.</t>
  </si>
  <si>
    <t>Погрузочно-разгрузочные работы</t>
  </si>
  <si>
    <t>Перевозка грузов , (ФССЦпр 2011-изм. № 4-6, раздел 1):  погрузочно-разгрузочные работы  (НР и СП в прям. затратах )</t>
  </si>
  <si>
    <t>ФССЦпр  пог. а/п (2011,изм. 4-6)</t>
  </si>
  <si>
    <t>8</t>
  </si>
  <si>
    <t>т03-21-01-015</t>
  </si>
  <si>
    <t>Перевозка грузов I класса автомобилями-самосвалами грузоподъемностью 10 т работающих вне карьера на расстояние до 15 км</t>
  </si>
  <si>
    <t>ФССЦпг-2001, т03-21-01-015, приказ Минстроя России №1039/пр от 30.12.2016г.</t>
  </si>
  <si>
    <t>Перевозка грузов авто/транспортом</t>
  </si>
  <si>
    <t>Перевозкуа грузов (ФССЦпр-2011 - изм. 7, разделы 1-4) - по сметной стоимости</t>
  </si>
  <si>
    <t>ФССЦпр , изм. 7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</si>
  <si>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</si>
  <si>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</si>
  <si>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</si>
  <si>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</si>
  <si>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</si>
  <si>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</si>
  <si>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</si>
  <si>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</si>
  <si>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</si>
  <si>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</si>
  <si>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</si>
  <si>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</si>
  <si>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</si>
  <si>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</si>
  <si>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</si>
  <si>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</si>
  <si>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</si>
  <si>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</si>
  <si>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</si>
  <si>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</si>
  <si>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</si>
  <si>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</si>
  <si>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</si>
  <si>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</si>
  <si>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</si>
  <si>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</si>
  <si>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</si>
  <si>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</si>
  <si>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</si>
  <si>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</si>
  <si>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</si>
  <si>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</si>
  <si>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</si>
  <si>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</si>
  <si>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</si>
  <si>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</si>
  <si>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</si>
  <si>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</si>
  <si>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</si>
  <si>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</si>
  <si>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</si>
  <si>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</si>
  <si>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</si>
  <si>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</si>
  <si>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</si>
  <si>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</si>
  <si>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</si>
  <si>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</si>
  <si>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</si>
  <si>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</si>
  <si>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</si>
  <si>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</si>
  <si>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Итого 1</t>
  </si>
  <si>
    <t>Итого2</t>
  </si>
  <si>
    <t>Итого НДС 18%</t>
  </si>
  <si>
    <t>Итого 3</t>
  </si>
  <si>
    <t>Всего по смете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</si>
  <si>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</si>
  <si>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</si>
  <si>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</si>
  <si>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</si>
  <si>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</si>
  <si>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</si>
  <si>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</si>
  <si>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</si>
  <si>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</si>
  <si>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</si>
  <si>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</si>
  <si>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</si>
  <si>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</si>
  <si>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</si>
  <si>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</si>
  <si>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</si>
  <si>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</si>
  <si>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</si>
  <si>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</si>
  <si>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</si>
  <si>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</si>
  <si>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</si>
  <si>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</si>
  <si>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</si>
  <si>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</si>
  <si>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</si>
  <si>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</si>
  <si>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</si>
  <si>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</si>
  <si>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</si>
  <si>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</si>
  <si>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</si>
  <si>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</si>
  <si>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</si>
  <si>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</si>
  <si>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</si>
  <si>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</si>
  <si>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</si>
  <si>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</si>
  <si>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</si>
  <si>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</si>
  <si>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</si>
  <si>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</si>
  <si>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</si>
  <si>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</si>
  <si>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</si>
  <si>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</si>
  <si>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</si>
  <si>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</si>
  <si>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</si>
  <si>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</si>
  <si>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</si>
  <si>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</si>
  <si>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</si>
  <si>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</si>
  <si>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</si>
  <si>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</si>
  <si>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</si>
  <si>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</si>
  <si>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</si>
  <si>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</si>
  <si>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Базовый</t>
  </si>
  <si>
    <t>Индексы за итогом</t>
  </si>
  <si>
    <t>_OBSM_</t>
  </si>
  <si>
    <t>1-100-24</t>
  </si>
  <si>
    <t>Рабочий среднего разряда 2.4</t>
  </si>
  <si>
    <t>чел.-ч.</t>
  </si>
  <si>
    <t>4-100-00</t>
  </si>
  <si>
    <t>Затраты труда машинистов</t>
  </si>
  <si>
    <t>91.06.06-048</t>
  </si>
  <si>
    <t>ФСЭМ-2001, 91.06.06-048, приказ Минстроя России №1039/пр от 30.12.2016г.</t>
  </si>
  <si>
    <t>Подъемники одномачтовые, грузоподъемность до 500 кг, высота подъема 45 м</t>
  </si>
  <si>
    <t>маш.-ч</t>
  </si>
  <si>
    <t>1-100-32</t>
  </si>
  <si>
    <t>Рабочий среднего разряда 3.2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</si>
  <si>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</si>
  <si>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</si>
  <si>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</si>
  <si>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01.7.06.02-0001</t>
  </si>
  <si>
    <t>ФССЦ-2001, 01.7.06.02-0001, приказ Минстроя России №1039/пр от 30.12.2016г.</t>
  </si>
  <si>
    <t>Лента бутиловая</t>
  </si>
  <si>
    <t>01.7.06.02-0002</t>
  </si>
  <si>
    <t>ФССЦ-2001, 01.7.06.02-0002, приказ Минстроя России №1039/пр от 30.12.2016г.</t>
  </si>
  <si>
    <t>Лента бутиловая диффузионная</t>
  </si>
  <si>
    <t>01.7.06.11-0001</t>
  </si>
  <si>
    <t>ФССЦ-2001, 01.7.06.11-0001, приказ Минстроя России №1039/пр от 30.12.2016г.</t>
  </si>
  <si>
    <t>Лента ПСУЛ</t>
  </si>
  <si>
    <t>01.7.15.07-0005</t>
  </si>
  <si>
    <t>ФССЦ-2001, 01.7.15.07-0005, приказ Минстроя России №1039/пр от 30.12.2016г.</t>
  </si>
  <si>
    <t>Дюбели монтажные 10х130 (10х132, 10х150) мм</t>
  </si>
  <si>
    <t>10 шт.</t>
  </si>
  <si>
    <t>11.3.03.15-0021</t>
  </si>
  <si>
    <t>ФССЦ-2001, 11.3.03.15-0021, приказ Минстроя России №1039/пр от 30.12.2016г.</t>
  </si>
  <si>
    <t>Клинья пластиковые монтажные</t>
  </si>
  <si>
    <t>100 шт.</t>
  </si>
  <si>
    <t>14.5.01.05-0001</t>
  </si>
  <si>
    <t>ФССЦ-2001, 14.5.01.05-0001, приказ Минстроя России №1039/пр от 30.12.2016г.</t>
  </si>
  <si>
    <t>Герметик пенополиуретановый (пена монтажная) типа Makrofleks, Soudal в баллонах по 750 мл</t>
  </si>
  <si>
    <t>шт.</t>
  </si>
  <si>
    <t>1-100-30</t>
  </si>
  <si>
    <t>Рабочий среднего разряда 3</t>
  </si>
  <si>
    <t>01.7.15.06-0111</t>
  </si>
  <si>
    <t>ФССЦ-2001, 01.7.15.06-0111, приказ Минстроя России №1039/пр от 30.12.2016г.</t>
  </si>
  <si>
    <t>Гвозди строительные</t>
  </si>
  <si>
    <t>08.3.03.05-0001</t>
  </si>
  <si>
    <t>ФССЦ-2001, 08.3.03.05-0001, приказ Минстроя России №1039/пр от 30.12.2016г.</t>
  </si>
  <si>
    <t>Проволока канатная оцинкованная, диаметром 2,6 мм</t>
  </si>
  <si>
    <t>1-100-36</t>
  </si>
  <si>
    <t>Рабочий среднего разряда 3.6</t>
  </si>
  <si>
    <t>01.7.20.08-0051</t>
  </si>
  <si>
    <t>ФССЦ-2001, 01.7.20.08-0051, приказ Минстроя России №1039/пр от 30.12.2016г.</t>
  </si>
  <si>
    <t>Ветошь</t>
  </si>
  <si>
    <t>14.1.04.02-0011</t>
  </si>
  <si>
    <t>ФССЦ-2001, 14.1.04.02-0011, приказ Минстроя России №1039/пр от 30.12.2016г.</t>
  </si>
  <si>
    <t>Клей резиновый № 88-Н</t>
  </si>
  <si>
    <t>11.3.02.03</t>
  </si>
  <si>
    <t>Блоки оконные пластиковые</t>
  </si>
  <si>
    <t>11.3.03.01</t>
  </si>
  <si>
    <t>Доски подоконные ПВХ</t>
  </si>
  <si>
    <t>01.7.07.07</t>
  </si>
  <si>
    <t>Строительный мусор</t>
  </si>
  <si>
    <t>08.3.05.05</t>
  </si>
  <si>
    <t>Сталь листовая оцинкованная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</si>
  <si>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</si>
  <si>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</si>
  <si>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</si>
  <si>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</si>
  <si>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</si>
  <si>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</si>
  <si>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</si>
  <si>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</si>
  <si>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</si>
  <si>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</si>
  <si>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</si>
  <si>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</si>
  <si>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</si>
  <si>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</si>
  <si>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</si>
  <si>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</si>
  <si>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</si>
  <si>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</si>
  <si>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</si>
  <si>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</si>
  <si>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Зарплата</t>
  </si>
  <si>
    <t>в т.ч. зарплата машинистов</t>
  </si>
  <si>
    <t>НР от ФОТ</t>
  </si>
  <si>
    <t>%</t>
  </si>
  <si>
    <t>СП от ФОТ</t>
  </si>
  <si>
    <t>Затраты труда</t>
  </si>
  <si>
    <t>чел-ч</t>
  </si>
  <si>
    <t>Материальные ресурсы</t>
  </si>
  <si>
    <r>
      <t>Блок оконный пластиковый</t>
    </r>
    <r>
      <rPr>
        <i/>
        <sz val="10"/>
        <rFont val="Arial"/>
        <family val="2"/>
        <charset val="204"/>
      </rPr>
      <t xml:space="preserve">
Базисная стоимость: 446,07 = [3 458,17 / 1,18 /  6,57]</t>
    </r>
  </si>
  <si>
    <r>
      <t>Доска подоконная</t>
    </r>
    <r>
      <rPr>
        <i/>
        <sz val="10"/>
        <rFont val="Arial"/>
        <family val="2"/>
        <charset val="204"/>
      </rPr>
      <t xml:space="preserve">
Базисная стоимость: 232,01 = [1 798,67 / 1,18 /  6,57]</t>
    </r>
  </si>
  <si>
    <r>
      <t>Водоотлив оконный шириной планки 250 мм из оцинкованной стали с полимерным покрытием</t>
    </r>
    <r>
      <rPr>
        <i/>
        <sz val="10"/>
        <rFont val="Arial"/>
        <family val="2"/>
        <charset val="204"/>
      </rPr>
      <t xml:space="preserve">
Базисная стоимость: 28,64 = [222 / 1,18 /  6,57]</t>
    </r>
  </si>
  <si>
    <t xml:space="preserve">   </t>
  </si>
  <si>
    <t xml:space="preserve">Составил  </t>
  </si>
  <si>
    <t>[должность,подпись(инициалы,фамилия)]</t>
  </si>
  <si>
    <t xml:space="preserve">Проверил  </t>
  </si>
  <si>
    <t>Унифицированная форма № КС-2</t>
  </si>
  <si>
    <t>Утверждена постановлением Госкомстата России</t>
  </si>
  <si>
    <t>от 11.11.99. № 100</t>
  </si>
  <si>
    <t>Код</t>
  </si>
  <si>
    <t>Форма по ОКУД</t>
  </si>
  <si>
    <t>0322005</t>
  </si>
  <si>
    <t>Инвестор</t>
  </si>
  <si>
    <t>по ОКПО</t>
  </si>
  <si>
    <t>организация, адрес, телефон, факс</t>
  </si>
  <si>
    <t>Заказчик</t>
  </si>
  <si>
    <t>Подрядчик</t>
  </si>
  <si>
    <t>Стройка</t>
  </si>
  <si>
    <t>наименование, адрес</t>
  </si>
  <si>
    <t>Объект</t>
  </si>
  <si>
    <t>наименование</t>
  </si>
  <si>
    <t xml:space="preserve">Вид деятельности по ОКДП  </t>
  </si>
  <si>
    <t xml:space="preserve">Договор подряда  </t>
  </si>
  <si>
    <t>номер</t>
  </si>
  <si>
    <t>дата</t>
  </si>
  <si>
    <t xml:space="preserve">Вид операции  </t>
  </si>
  <si>
    <t>Номер документа</t>
  </si>
  <si>
    <t>Дата составления</t>
  </si>
  <si>
    <t>Отчетный период</t>
  </si>
  <si>
    <t>с</t>
  </si>
  <si>
    <t>по</t>
  </si>
  <si>
    <t>AKT</t>
  </si>
  <si>
    <t>О ПРИЕМКЕ ВЫПОЛНЕННЫХ РАБОТ</t>
  </si>
  <si>
    <t>Сметная (договорная) стоимость в соответствии с договором подряда (субподряда)</t>
  </si>
  <si>
    <t xml:space="preserve"> тыс.руб</t>
  </si>
  <si>
    <t>Номер</t>
  </si>
  <si>
    <t>Наименование работ</t>
  </si>
  <si>
    <t>Номер единичной расценки</t>
  </si>
  <si>
    <t>Единица измерения</t>
  </si>
  <si>
    <t>Выполнено работ</t>
  </si>
  <si>
    <t>по порядку</t>
  </si>
  <si>
    <t>поз. по смете</t>
  </si>
  <si>
    <t>Количество</t>
  </si>
  <si>
    <t>цена за единицу, руб</t>
  </si>
  <si>
    <t>стоимость, руб</t>
  </si>
  <si>
    <t>Коэфф. к ОЗП</t>
  </si>
  <si>
    <t>Коэфф. к эксплуатации машин</t>
  </si>
  <si>
    <t>Коэфф. к материалам</t>
  </si>
  <si>
    <t>Коэфф. к ЗПМ</t>
  </si>
  <si>
    <t>% НР</t>
  </si>
  <si>
    <t>% НР с поправкой</t>
  </si>
  <si>
    <t>% СП</t>
  </si>
  <si>
    <t>СП с поправкой</t>
  </si>
  <si>
    <t xml:space="preserve">Итого с НР и СП </t>
  </si>
  <si>
    <t>Коэфф. к сметной цене</t>
  </si>
  <si>
    <t xml:space="preserve">Сдал </t>
  </si>
  <si>
    <t>должность</t>
  </si>
  <si>
    <t>подпись</t>
  </si>
  <si>
    <t>расшифровка подпись</t>
  </si>
  <si>
    <t>М.П.</t>
  </si>
  <si>
    <t xml:space="preserve">Принял </t>
  </si>
  <si>
    <t>СМЕТА</t>
  </si>
  <si>
    <t>Составлена в ценах IV квартал 2017 года</t>
  </si>
  <si>
    <t>Капитальный ремонт оконных проемов с заменой деревянных оконных блоков на оконные блоки из ПВХ в помещениях № 301-№ 332 3-го этажа, № 205-№ 232 2-го этажа, № 119,120,121,122 1-го этажа  в здании общежития Димитровградского инженерно-технологического института - филиала НИЯУ МИФИ (ДИТИ НИЯУ МИФИ) по адресу: Ульяновская область, г. Димитровград, ул. Куйбышева, д. 292</t>
  </si>
  <si>
    <t>ПРИЛОЖЕНИЕ 1 к ФОРМЕ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</si>
</sst>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\-\ #,##0.00"/>
    <numFmt numFmtId="165" formatCode="#,##0.00####;[Red]\-\ #,##0.00####"/>
  </numFmts>
  <fonts count="19" x14ac:knownFonts="1">
    <font>
      <sz val="10"/>
      <name val="Arial"/>
      <charset val="204"/>
    </font>
    <font>
      <b/>
      <sz val="10"/>
      <color indexed="12"/>
      <name val="Arial"/>
      <charset val="204"/>
    </font>
    <font>
      <b/>
      <sz val="10"/>
      <color indexed="16"/>
      <name val="Arial"/>
      <charset val="204"/>
    </font>
    <font>
      <b/>
      <sz val="10"/>
      <color indexed="20"/>
      <name val="Arial"/>
      <charset val="204"/>
    </font>
    <font>
      <b/>
      <sz val="10"/>
      <color indexed="17"/>
      <name val="Arial"/>
      <charset val="204"/>
    </font>
    <font>
      <sz val="10"/>
      <color indexed="17"/>
      <name val="Arial"/>
      <charset val="204"/>
    </font>
    <font>
      <sz val="10"/>
      <color indexed="12"/>
      <name val="Arial"/>
      <charset val="204"/>
    </font>
    <font>
      <sz val="10"/>
      <color indexed="14"/>
      <name val="Arial"/>
      <charset val="204"/>
    </font>
    <font>
      <b/>
      <sz val="10"/>
      <color indexed="14"/>
      <name val="Arial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i/>
      <sz val="11"/>
      <name val="Arial"/>
      <family val="2"/>
      <charset val="204"/>
    </font>
    <font>
      <i/>
      <sz val="10"/>
      <name val="Arial"/>
      <family val="2"/>
      <charset val="204"/>
    </font>
    <font>
      <b/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1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 applyAlignment="1">
      <alignment horizontal="right"/>
    </xf>
    <xf numFmtId="0" fontId="11" fillId="0" borderId="0" xfId="0" applyFont="1"/>
    <xf numFmtId="0" fontId="12" fillId="0" borderId="0" xfId="0" applyFont="1" applyAlignment="1"/>
    <xf numFmtId="0" fontId="11" fillId="0" borderId="0" xfId="0" applyFont="1" applyAlignment="1"/>
    <xf numFmtId="0" fontId="11" fillId="0" borderId="0" xfId="0" applyFont="1" applyBorder="1" applyAlignment="1">
      <alignment horizontal="left"/>
    </xf>
    <xf numFmtId="0" fontId="11" fillId="0" borderId="0" xfId="0" applyFont="1" applyAlignment="1">
      <alignment horizontal="left"/>
    </xf>
    <xf numFmtId="0" fontId="11" fillId="0" borderId="0" xfId="0" applyFont="1" applyBorder="1" applyAlignment="1">
      <alignment wrapText="1"/>
    </xf>
    <xf numFmtId="0" fontId="14" fillId="0" borderId="0" xfId="0" applyFont="1" applyAlignment="1">
      <alignment vertical="center" wrapText="1"/>
    </xf>
    <xf numFmtId="0" fontId="14" fillId="0" borderId="0" xfId="0" applyFont="1" applyBorder="1" applyAlignment="1">
      <alignment wrapText="1"/>
    </xf>
    <xf numFmtId="0" fontId="11" fillId="0" borderId="0" xfId="0" applyFont="1" applyAlignment="1">
      <alignment horizontal="center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165" fontId="11" fillId="0" borderId="0" xfId="0" applyNumberFormat="1" applyFont="1"/>
    <xf numFmtId="164" fontId="11" fillId="0" borderId="0" xfId="0" applyNumberFormat="1" applyFont="1"/>
    <xf numFmtId="0" fontId="9" fillId="0" borderId="0" xfId="0" applyFont="1" applyAlignment="1">
      <alignment wrapText="1"/>
    </xf>
    <xf numFmtId="164" fontId="0" fillId="0" borderId="0" xfId="0" applyNumberFormat="1"/>
    <xf numFmtId="0" fontId="11" fillId="0" borderId="2" xfId="0" applyFont="1" applyBorder="1"/>
    <xf numFmtId="0" fontId="11" fillId="0" borderId="0" xfId="0" applyFont="1" applyAlignment="1">
      <alignment vertical="center"/>
    </xf>
    <xf numFmtId="0" fontId="14" fillId="0" borderId="0" xfId="0" applyFont="1"/>
    <xf numFmtId="0" fontId="11" fillId="0" borderId="0" xfId="0" applyFont="1" applyAlignment="1">
      <alignment horizontal="left" wrapText="1"/>
    </xf>
    <xf numFmtId="0" fontId="11" fillId="0" borderId="2" xfId="0" applyFont="1" applyBorder="1" applyAlignment="1">
      <alignment horizontal="left" wrapText="1"/>
    </xf>
    <xf numFmtId="0" fontId="16" fillId="0" borderId="0" xfId="0" applyFont="1" applyAlignment="1">
      <alignment horizontal="right" wrapText="1"/>
    </xf>
    <xf numFmtId="165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right" wrapText="1"/>
    </xf>
    <xf numFmtId="164" fontId="11" fillId="0" borderId="0" xfId="0" applyNumberFormat="1" applyFont="1" applyAlignment="1">
      <alignment horizontal="right"/>
    </xf>
    <xf numFmtId="0" fontId="10" fillId="0" borderId="0" xfId="0" applyFont="1" applyAlignment="1">
      <alignment horizontal="right"/>
    </xf>
    <xf numFmtId="164" fontId="16" fillId="0" borderId="0" xfId="0" applyNumberFormat="1" applyFont="1" applyAlignment="1">
      <alignment horizontal="right"/>
    </xf>
    <xf numFmtId="0" fontId="9" fillId="0" borderId="0" xfId="0" applyFont="1" applyAlignment="1">
      <alignment horizontal="right" wrapText="1"/>
    </xf>
    <xf numFmtId="0" fontId="16" fillId="0" borderId="2" xfId="0" applyFont="1" applyBorder="1" applyAlignment="1">
      <alignment horizontal="right" wrapText="1"/>
    </xf>
    <xf numFmtId="0" fontId="11" fillId="0" borderId="2" xfId="0" applyFont="1" applyBorder="1" applyAlignment="1">
      <alignment horizontal="right"/>
    </xf>
    <xf numFmtId="165" fontId="11" fillId="0" borderId="2" xfId="0" applyNumberFormat="1" applyFont="1" applyBorder="1" applyAlignment="1">
      <alignment horizontal="right"/>
    </xf>
    <xf numFmtId="0" fontId="11" fillId="0" borderId="2" xfId="0" applyFont="1" applyBorder="1" applyAlignment="1">
      <alignment horizontal="right" wrapText="1"/>
    </xf>
    <xf numFmtId="164" fontId="11" fillId="0" borderId="2" xfId="0" applyNumberFormat="1" applyFont="1" applyBorder="1" applyAlignment="1">
      <alignment horizontal="right"/>
    </xf>
    <xf numFmtId="164" fontId="10" fillId="0" borderId="2" xfId="0" applyNumberFormat="1" applyFont="1" applyBorder="1" applyAlignment="1">
      <alignment horizontal="right"/>
    </xf>
    <xf numFmtId="164" fontId="18" fillId="0" borderId="0" xfId="0" applyNumberFormat="1" applyFont="1" applyAlignment="1">
      <alignment horizontal="right"/>
    </xf>
    <xf numFmtId="164" fontId="10" fillId="0" borderId="0" xfId="0" applyNumberFormat="1" applyFont="1" applyAlignment="1">
      <alignment horizontal="right"/>
    </xf>
    <xf numFmtId="0" fontId="11" fillId="0" borderId="2" xfId="0" quotePrefix="1" applyFont="1" applyBorder="1" applyAlignment="1">
      <alignment horizontal="right" wrapText="1"/>
    </xf>
    <xf numFmtId="0" fontId="10" fillId="0" borderId="2" xfId="0" applyFont="1" applyBorder="1" applyAlignment="1">
      <alignment horizontal="right"/>
    </xf>
    <xf numFmtId="0" fontId="11" fillId="0" borderId="0" xfId="0" quotePrefix="1" applyFont="1" applyAlignment="1">
      <alignment horizontal="right" wrapText="1"/>
    </xf>
    <xf numFmtId="0" fontId="11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 wrapText="1"/>
    </xf>
    <xf numFmtId="0" fontId="11" fillId="0" borderId="2" xfId="0" applyFont="1" applyBorder="1" applyAlignment="1">
      <alignment horizontal="left" vertical="top"/>
    </xf>
    <xf numFmtId="0" fontId="11" fillId="0" borderId="2" xfId="0" applyFont="1" applyBorder="1" applyAlignment="1">
      <alignment horizontal="left" vertical="top" wrapText="1"/>
    </xf>
    <xf numFmtId="165" fontId="9" fillId="0" borderId="0" xfId="0" applyNumberFormat="1" applyFont="1" applyAlignment="1">
      <alignment horizontal="left"/>
    </xf>
    <xf numFmtId="0" fontId="15" fillId="0" borderId="2" xfId="0" applyFont="1" applyBorder="1" applyAlignment="1">
      <alignment horizontal="center" wrapText="1"/>
    </xf>
    <xf numFmtId="0" fontId="14" fillId="0" borderId="0" xfId="0" applyFont="1" applyAlignment="1">
      <alignment horizontal="left" wrapText="1"/>
    </xf>
    <xf numFmtId="0" fontId="11" fillId="0" borderId="5" xfId="0" applyFont="1" applyBorder="1" applyAlignment="1">
      <alignment horizontal="center"/>
    </xf>
    <xf numFmtId="0" fontId="9" fillId="0" borderId="5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/>
    </xf>
    <xf numFmtId="14" fontId="9" fillId="0" borderId="4" xfId="0" applyNumberFormat="1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165" fontId="9" fillId="0" borderId="0" xfId="0" applyNumberFormat="1" applyFont="1" applyAlignment="1">
      <alignment horizontal="right" wrapText="1"/>
    </xf>
    <xf numFmtId="164" fontId="9" fillId="0" borderId="0" xfId="0" applyNumberFormat="1" applyFont="1" applyAlignment="1">
      <alignment horizontal="right" wrapText="1"/>
    </xf>
    <xf numFmtId="0" fontId="14" fillId="0" borderId="0" xfId="0" applyFont="1" applyAlignment="1">
      <alignment horizontal="right"/>
    </xf>
    <xf numFmtId="164" fontId="14" fillId="0" borderId="0" xfId="0" applyNumberFormat="1" applyFont="1" applyAlignment="1">
      <alignment horizontal="right"/>
    </xf>
    <xf numFmtId="0" fontId="11" fillId="0" borderId="14" xfId="0" applyFont="1" applyBorder="1" applyAlignment="1">
      <alignment horizontal="left" vertical="center" shrinkToFit="1"/>
    </xf>
    <xf numFmtId="0" fontId="11" fillId="0" borderId="14" xfId="0" applyFont="1" applyBorder="1" applyAlignment="1">
      <alignment horizontal="center" vertical="center" shrinkToFit="1"/>
    </xf>
    <xf numFmtId="0" fontId="10" fillId="0" borderId="0" xfId="0" applyFont="1" applyAlignment="1">
      <alignment horizontal="center" vertical="top" shrinkToFit="1"/>
    </xf>
    <xf numFmtId="0" fontId="11" fillId="0" borderId="0" xfId="0" applyFont="1" applyBorder="1" applyAlignment="1">
      <alignment horizontal="left" wrapText="1"/>
    </xf>
    <xf numFmtId="0" fontId="13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13" fillId="0" borderId="0" xfId="0" applyFont="1" applyBorder="1" applyAlignment="1">
      <alignment horizontal="center" wrapText="1"/>
    </xf>
    <xf numFmtId="0" fontId="15" fillId="0" borderId="0" xfId="0" applyFont="1" applyBorder="1" applyAlignment="1">
      <alignment horizontal="center" wrapText="1"/>
    </xf>
    <xf numFmtId="0" fontId="10" fillId="0" borderId="0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/>
    </xf>
    <xf numFmtId="0" fontId="14" fillId="0" borderId="0" xfId="0" applyFont="1" applyAlignment="1">
      <alignment horizontal="right"/>
    </xf>
    <xf numFmtId="164" fontId="11" fillId="0" borderId="0" xfId="0" applyNumberFormat="1" applyFont="1" applyAlignment="1">
      <alignment horizontal="right"/>
    </xf>
    <xf numFmtId="0" fontId="11" fillId="0" borderId="0" xfId="0" applyFont="1"/>
    <xf numFmtId="0" fontId="11" fillId="0" borderId="0" xfId="0" applyFont="1" applyAlignment="1">
      <alignment horizontal="right"/>
    </xf>
    <xf numFmtId="0" fontId="10" fillId="0" borderId="1" xfId="0" applyFont="1" applyBorder="1" applyAlignment="1">
      <alignment horizontal="center" vertical="top"/>
    </xf>
    <xf numFmtId="0" fontId="11" fillId="0" borderId="0" xfId="0" applyFont="1" applyAlignment="1">
      <alignment horizontal="right" wrapText="1"/>
    </xf>
    <xf numFmtId="164" fontId="14" fillId="0" borderId="1" xfId="0" applyNumberFormat="1" applyFont="1" applyBorder="1" applyAlignment="1">
      <alignment horizontal="right"/>
    </xf>
    <xf numFmtId="0" fontId="11" fillId="0" borderId="2" xfId="0" applyFont="1" applyBorder="1" applyAlignment="1">
      <alignment horizontal="left"/>
    </xf>
    <xf numFmtId="0" fontId="14" fillId="0" borderId="0" xfId="0" applyFont="1" applyAlignment="1">
      <alignment horizontal="left" wrapText="1"/>
    </xf>
    <xf numFmtId="164" fontId="14" fillId="0" borderId="0" xfId="0" applyNumberFormat="1" applyFont="1" applyAlignment="1">
      <alignment horizontal="right"/>
    </xf>
    <xf numFmtId="0" fontId="12" fillId="0" borderId="0" xfId="0" applyFont="1" applyAlignment="1">
      <alignment horizontal="center" wrapText="1"/>
    </xf>
    <xf numFmtId="0" fontId="11" fillId="0" borderId="5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1" fillId="0" borderId="2" xfId="0" applyFont="1" applyBorder="1" applyAlignment="1">
      <alignment horizontal="left" wrapText="1"/>
    </xf>
    <xf numFmtId="0" fontId="10" fillId="0" borderId="0" xfId="0" applyFont="1" applyAlignment="1">
      <alignment horizontal="right"/>
    </xf>
    <xf numFmtId="0" fontId="11" fillId="0" borderId="5" xfId="0" quotePrefix="1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11" fillId="0" borderId="8" xfId="0" applyFont="1" applyBorder="1" applyAlignment="1">
      <alignment horizontal="right"/>
    </xf>
    <xf numFmtId="14" fontId="11" fillId="0" borderId="5" xfId="0" applyNumberFormat="1" applyFont="1" applyBorder="1" applyAlignment="1">
      <alignment horizontal="center"/>
    </xf>
    <xf numFmtId="14" fontId="11" fillId="0" borderId="6" xfId="0" applyNumberFormat="1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164" fontId="14" fillId="0" borderId="2" xfId="0" applyNumberFormat="1" applyFont="1" applyBorder="1" applyAlignment="1">
      <alignment horizontal="right"/>
    </xf>
    <xf numFmtId="0" fontId="11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left" wrapText="1"/>
    </xf>
    <xf numFmtId="0" fontId="10" fillId="0" borderId="15" xfId="0" applyFont="1" applyBorder="1" applyAlignment="1">
      <alignment horizontal="center" vertical="top" shrinkToFit="1"/>
    </xf>
    <xf numFmtId="0" fontId="11" fillId="0" borderId="0" xfId="0" applyFont="1" applyAlignment="1">
      <alignment horizontal="right" vertical="center" shrinkToFit="1"/>
    </xf>
    <xf numFmtId="0" fontId="11" fillId="0" borderId="14" xfId="0" applyFont="1" applyBorder="1" applyAlignment="1">
      <alignment horizontal="left" vertical="center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06"/>
  <sheetViews>
    <sheetView tabSelected="1" topLeftCell="D1" zoomScaleNormal="100" workbookViewId="0">
      <selection activeCell="I1" sqref="I1"/>
    </sheetView>
  </sheetViews>
  <sheetFormatPr defaultRowHeight="12.75" x14ac:dyDescent="0.2"/>
  <cols>
    <col min="1" max="1" width="5.7109375" customWidth="1"/>
    <col min="2" max="2" width="11.7109375" customWidth="1"/>
    <col min="3" max="3" width="40.7109375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29" width="0" hidden="1" customWidth="1"/>
    <col min="30" max="30" width="147.7109375" hidden="1" customWidth="1"/>
    <col min="31" max="31" width="0" hidden="1" customWidth="1"/>
    <col min="32" max="32" width="91.7109375" hidden="1" customWidth="1"/>
    <col min="33" max="36" width="0" hidden="1" customWidth="1"/>
  </cols>
  <sheetData>
    <row r="1" spans="1:30" x14ac:dyDescent="0.2">
      <c r="A1" s="10" t="str">
        <f>Source!B1</f>
        <v>Smeta.RU  (495) 974-1589</v>
      </c>
      <c r="I1" t="s">
        <v>383</v>
      </c>
    </row>
    <row r="2" spans="1:30" ht="14.25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2"/>
      <c r="L2" s="12"/>
    </row>
    <row r="3" spans="1:30" ht="16.5" x14ac:dyDescent="0.25">
      <c r="A3" s="13"/>
      <c r="B3" s="72"/>
      <c r="C3" s="72"/>
      <c r="D3" s="72"/>
      <c r="E3" s="72"/>
      <c r="F3" s="12"/>
      <c r="G3" s="12"/>
      <c r="H3" s="72"/>
      <c r="I3" s="72"/>
      <c r="J3" s="72"/>
      <c r="K3" s="72"/>
      <c r="L3" s="72"/>
    </row>
    <row r="4" spans="1:30" ht="14.25" x14ac:dyDescent="0.2">
      <c r="A4" s="14"/>
      <c r="B4" s="14"/>
      <c r="C4" s="15"/>
      <c r="D4" s="15"/>
      <c r="E4" s="15"/>
      <c r="F4" s="12"/>
      <c r="G4" s="12"/>
      <c r="H4" s="16"/>
      <c r="I4" s="15"/>
      <c r="J4" s="15"/>
      <c r="K4" s="15"/>
      <c r="L4" s="16"/>
    </row>
    <row r="5" spans="1:30" ht="14.25" x14ac:dyDescent="0.2">
      <c r="A5" s="16"/>
      <c r="B5" s="73"/>
      <c r="C5" s="73"/>
      <c r="D5" s="73"/>
      <c r="E5" s="73"/>
      <c r="F5" s="12"/>
      <c r="G5" s="12"/>
      <c r="H5" s="73"/>
      <c r="I5" s="73"/>
      <c r="J5" s="73"/>
      <c r="K5" s="73"/>
      <c r="L5" s="73"/>
    </row>
    <row r="6" spans="1:30" ht="14.25" x14ac:dyDescent="0.2">
      <c r="A6" s="17"/>
      <c r="B6" s="71"/>
      <c r="C6" s="71"/>
      <c r="D6" s="71"/>
      <c r="E6" s="71"/>
      <c r="F6" s="12"/>
      <c r="G6" s="12"/>
      <c r="H6" s="71"/>
      <c r="I6" s="71"/>
      <c r="J6" s="71"/>
      <c r="K6" s="71"/>
      <c r="L6" s="71"/>
    </row>
    <row r="8" spans="1:30" ht="15.75" x14ac:dyDescent="0.25">
      <c r="A8" s="18"/>
      <c r="B8" s="74" t="s">
        <v>380</v>
      </c>
      <c r="C8" s="74"/>
      <c r="D8" s="74"/>
      <c r="E8" s="74"/>
      <c r="F8" s="74"/>
      <c r="G8" s="74"/>
      <c r="H8" s="74"/>
      <c r="I8" s="74"/>
      <c r="J8" s="74"/>
      <c r="K8" s="74"/>
      <c r="L8" s="18"/>
    </row>
    <row r="9" spans="1:30" ht="14.25" x14ac:dyDescent="0.2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</row>
    <row r="10" spans="1:30" ht="81" customHeight="1" x14ac:dyDescent="0.25">
      <c r="A10" s="12"/>
      <c r="B10" s="75" t="s">
        <v>382</v>
      </c>
      <c r="C10" s="75"/>
      <c r="D10" s="75"/>
      <c r="E10" s="75"/>
      <c r="F10" s="75"/>
      <c r="G10" s="75"/>
      <c r="H10" s="75"/>
      <c r="I10" s="75"/>
      <c r="J10" s="75"/>
      <c r="K10" s="75"/>
      <c r="L10" s="19"/>
      <c r="AD10" s="56" t="str">
        <f>IF(Source!G12&lt;&gt;"Новый объект", Source!G12, "")</f>
        <v>Капитальный ремонт окооных проемов общежития  301,332ДИТИ НИЯУ МИФИ_цена поставщика</v>
      </c>
    </row>
    <row r="11" spans="1:30" ht="14.25" x14ac:dyDescent="0.2">
      <c r="A11" s="12"/>
      <c r="B11" s="76"/>
      <c r="C11" s="76"/>
      <c r="D11" s="76"/>
      <c r="E11" s="76"/>
      <c r="F11" s="76"/>
      <c r="G11" s="76"/>
      <c r="H11" s="76"/>
      <c r="I11" s="76"/>
      <c r="J11" s="76"/>
      <c r="K11" s="76"/>
      <c r="L11" s="17"/>
    </row>
    <row r="12" spans="1:30" ht="14.25" x14ac:dyDescent="0.2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</row>
    <row r="13" spans="1:30" ht="14.25" x14ac:dyDescent="0.2">
      <c r="A13" s="12"/>
      <c r="B13" s="12"/>
      <c r="C13" s="12"/>
      <c r="D13" s="12"/>
      <c r="E13" s="20"/>
      <c r="F13" s="20"/>
      <c r="G13" s="77" t="s">
        <v>290</v>
      </c>
      <c r="H13" s="77"/>
      <c r="I13" s="77" t="s">
        <v>291</v>
      </c>
      <c r="J13" s="77"/>
      <c r="K13" s="12"/>
      <c r="L13" s="12"/>
    </row>
    <row r="14" spans="1:30" ht="15" x14ac:dyDescent="0.25">
      <c r="A14" s="12"/>
      <c r="B14" s="12"/>
      <c r="C14" s="78" t="s">
        <v>292</v>
      </c>
      <c r="D14" s="78"/>
      <c r="E14" s="78"/>
      <c r="F14" s="78"/>
      <c r="G14" s="79">
        <f>SUM(O1:O97)/1000</f>
        <v>149.96319</v>
      </c>
      <c r="H14" s="79"/>
      <c r="I14" s="79">
        <f>(Source!F106/1000)</f>
        <v>1162.8885600000001</v>
      </c>
      <c r="J14" s="79"/>
      <c r="K14" s="80" t="s">
        <v>293</v>
      </c>
      <c r="L14" s="80"/>
    </row>
    <row r="15" spans="1:30" ht="14.25" x14ac:dyDescent="0.2">
      <c r="A15" s="12"/>
      <c r="B15" s="12"/>
      <c r="C15" s="81" t="s">
        <v>294</v>
      </c>
      <c r="D15" s="81"/>
      <c r="E15" s="81"/>
      <c r="F15" s="81"/>
      <c r="G15" s="79">
        <f>SUM(W1:W97)/1000</f>
        <v>149.96318999999997</v>
      </c>
      <c r="H15" s="79"/>
      <c r="I15" s="79">
        <f>(Source!F93)/1000</f>
        <v>985.49878000000001</v>
      </c>
      <c r="J15" s="79"/>
      <c r="K15" s="80" t="s">
        <v>293</v>
      </c>
      <c r="L15" s="80"/>
    </row>
    <row r="16" spans="1:30" ht="15" x14ac:dyDescent="0.25">
      <c r="A16" s="12"/>
      <c r="B16" s="12"/>
      <c r="C16" s="78" t="s">
        <v>295</v>
      </c>
      <c r="D16" s="78"/>
      <c r="E16" s="78"/>
      <c r="F16" s="78"/>
      <c r="G16" s="79">
        <f>I16</f>
        <v>902.17609600000003</v>
      </c>
      <c r="H16" s="79"/>
      <c r="I16" s="79">
        <f>(Source!F98+Source!F99)</f>
        <v>902.17609600000003</v>
      </c>
      <c r="J16" s="79"/>
      <c r="K16" s="80" t="s">
        <v>296</v>
      </c>
      <c r="L16" s="80"/>
    </row>
    <row r="17" spans="1:26" ht="15" x14ac:dyDescent="0.25">
      <c r="A17" s="12"/>
      <c r="B17" s="12"/>
      <c r="C17" s="78" t="s">
        <v>297</v>
      </c>
      <c r="D17" s="78"/>
      <c r="E17" s="78"/>
      <c r="F17" s="78"/>
      <c r="G17" s="79">
        <f>SUM(R1:R97)/1000</f>
        <v>7.8624699999999992</v>
      </c>
      <c r="H17" s="79"/>
      <c r="I17" s="79">
        <f>(Source!F91+ Source!F90)/1000</f>
        <v>51.656459999999996</v>
      </c>
      <c r="J17" s="79"/>
      <c r="K17" s="80" t="s">
        <v>293</v>
      </c>
      <c r="L17" s="80"/>
    </row>
    <row r="18" spans="1:26" ht="14.25" x14ac:dyDescent="0.2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</row>
    <row r="19" spans="1:26" ht="14.25" x14ac:dyDescent="0.2">
      <c r="A19" s="85" t="s">
        <v>381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</row>
    <row r="20" spans="1:26" ht="57" x14ac:dyDescent="0.2">
      <c r="A20" s="21" t="s">
        <v>298</v>
      </c>
      <c r="B20" s="21" t="s">
        <v>299</v>
      </c>
      <c r="C20" s="21" t="s">
        <v>300</v>
      </c>
      <c r="D20" s="21" t="s">
        <v>301</v>
      </c>
      <c r="E20" s="21" t="s">
        <v>302</v>
      </c>
      <c r="F20" s="21" t="s">
        <v>303</v>
      </c>
      <c r="G20" s="21" t="s">
        <v>304</v>
      </c>
      <c r="H20" s="21" t="s">
        <v>305</v>
      </c>
      <c r="I20" s="21" t="s">
        <v>306</v>
      </c>
      <c r="J20" s="21" t="s">
        <v>307</v>
      </c>
      <c r="K20" s="21" t="s">
        <v>308</v>
      </c>
      <c r="L20" s="21" t="s">
        <v>309</v>
      </c>
    </row>
    <row r="21" spans="1:26" ht="14.25" x14ac:dyDescent="0.2">
      <c r="A21" s="22">
        <v>1</v>
      </c>
      <c r="B21" s="22">
        <v>2</v>
      </c>
      <c r="C21" s="22">
        <v>3</v>
      </c>
      <c r="D21" s="22">
        <v>4</v>
      </c>
      <c r="E21" s="22">
        <v>5</v>
      </c>
      <c r="F21" s="22">
        <v>6</v>
      </c>
      <c r="G21" s="22">
        <v>7</v>
      </c>
      <c r="H21" s="22">
        <v>8</v>
      </c>
      <c r="I21" s="22">
        <v>9</v>
      </c>
      <c r="J21" s="22">
        <v>10</v>
      </c>
      <c r="K21" s="22">
        <v>11</v>
      </c>
      <c r="L21" s="23">
        <v>12</v>
      </c>
    </row>
    <row r="23" spans="1:26" ht="16.5" x14ac:dyDescent="0.25">
      <c r="A23" s="88" t="str">
        <f>CONCATENATE("Локальная смета: ",IF(Source!G20&lt;&gt;"Новая локальная смета", Source!G20, ""))</f>
        <v xml:space="preserve">Локальная смета: </v>
      </c>
      <c r="B23" s="88"/>
      <c r="C23" s="88"/>
      <c r="D23" s="88"/>
      <c r="E23" s="88"/>
      <c r="F23" s="88"/>
      <c r="G23" s="88"/>
      <c r="H23" s="88"/>
      <c r="I23" s="88"/>
      <c r="J23" s="88"/>
      <c r="K23" s="88"/>
      <c r="L23" s="88"/>
    </row>
    <row r="24" spans="1:26" ht="42.75" x14ac:dyDescent="0.2">
      <c r="A24" s="51" t="str">
        <f>Source!E24</f>
        <v>1</v>
      </c>
      <c r="B24" s="52" t="str">
        <f>Source!F24</f>
        <v>46-04-012-01</v>
      </c>
      <c r="C24" s="52" t="str">
        <f>Source!G24</f>
        <v>Разборка деревянных заполнений проемов оконных с подоконными досками</v>
      </c>
      <c r="D24" s="33" t="str">
        <f>Source!H24</f>
        <v>100 м2</v>
      </c>
      <c r="E24" s="11">
        <f>Source!I24</f>
        <v>1.6128</v>
      </c>
      <c r="F24" s="34">
        <f>Source!AL24+Source!AM24+Source!AO24</f>
        <v>1767.24</v>
      </c>
      <c r="G24" s="35"/>
      <c r="H24" s="36"/>
      <c r="I24" s="35" t="str">
        <f>Source!BO24</f>
        <v/>
      </c>
      <c r="J24" s="35"/>
      <c r="K24" s="36"/>
      <c r="L24" s="37"/>
      <c r="S24">
        <f>ROUND((Source!FX24/100)*((ROUND(Source!AF24*Source!I24, 2)+ROUND(Source!AE24*Source!I24, 2))), 2)</f>
        <v>2602.2199999999998</v>
      </c>
      <c r="T24">
        <f>Source!X24</f>
        <v>17096.62</v>
      </c>
      <c r="U24">
        <f>ROUND((Source!FY24/100)*((ROUND(Source!AF24*Source!I24, 2)+ROUND(Source!AE24*Source!I24, 2))), 2)</f>
        <v>1563.96</v>
      </c>
      <c r="V24">
        <f>Source!Y24</f>
        <v>10361.59</v>
      </c>
    </row>
    <row r="25" spans="1:26" x14ac:dyDescent="0.2">
      <c r="C25" s="26" t="str">
        <f>"Объем: "&amp;Source!I24&amp;"=161,28/"&amp;"100"</f>
        <v>Объем: 1,6128=161,28/100</v>
      </c>
    </row>
    <row r="26" spans="1:26" ht="14.25" x14ac:dyDescent="0.2">
      <c r="A26" s="51"/>
      <c r="B26" s="52"/>
      <c r="C26" s="52" t="s">
        <v>310</v>
      </c>
      <c r="D26" s="33"/>
      <c r="E26" s="11"/>
      <c r="F26" s="34">
        <f>Source!AO24</f>
        <v>1525.29</v>
      </c>
      <c r="G26" s="35" t="str">
        <f>Source!DG24</f>
        <v/>
      </c>
      <c r="H26" s="36">
        <f>ROUND(Source!AF24*Source!I24, 2)</f>
        <v>2459.9899999999998</v>
      </c>
      <c r="I26" s="35"/>
      <c r="J26" s="35">
        <f>IF(Source!BA24&lt;&gt; 0, Source!BA24, 1)</f>
        <v>6.57</v>
      </c>
      <c r="K26" s="36">
        <f>Source!S24</f>
        <v>16162.12</v>
      </c>
      <c r="L26" s="37"/>
      <c r="R26">
        <f>H26</f>
        <v>2459.9899999999998</v>
      </c>
    </row>
    <row r="27" spans="1:26" ht="14.25" x14ac:dyDescent="0.2">
      <c r="A27" s="51"/>
      <c r="B27" s="52"/>
      <c r="C27" s="52" t="s">
        <v>131</v>
      </c>
      <c r="D27" s="33"/>
      <c r="E27" s="11"/>
      <c r="F27" s="34">
        <f>Source!AM24</f>
        <v>241.95</v>
      </c>
      <c r="G27" s="35" t="str">
        <f>Source!DE24</f>
        <v/>
      </c>
      <c r="H27" s="36">
        <f>ROUND(Source!AD24*Source!I24, 2)</f>
        <v>390.22</v>
      </c>
      <c r="I27" s="35"/>
      <c r="J27" s="35">
        <f>IF(Source!BB24&lt;&gt; 0, Source!BB24, 1)</f>
        <v>6.57</v>
      </c>
      <c r="K27" s="36">
        <f>Source!Q24</f>
        <v>2563.73</v>
      </c>
      <c r="L27" s="37"/>
    </row>
    <row r="28" spans="1:26" ht="14.25" x14ac:dyDescent="0.2">
      <c r="A28" s="51"/>
      <c r="B28" s="52"/>
      <c r="C28" s="52" t="s">
        <v>311</v>
      </c>
      <c r="D28" s="33"/>
      <c r="E28" s="11"/>
      <c r="F28" s="34">
        <f>Source!AN24</f>
        <v>104.49</v>
      </c>
      <c r="G28" s="35" t="str">
        <f>Source!DF24</f>
        <v/>
      </c>
      <c r="H28" s="38">
        <f>ROUND(Source!AE24*Source!I24, 2)</f>
        <v>168.52</v>
      </c>
      <c r="I28" s="35"/>
      <c r="J28" s="35">
        <f>IF(Source!BS24&lt;&gt; 0, Source!BS24, 1)</f>
        <v>6.57</v>
      </c>
      <c r="K28" s="38">
        <f>Source!R24</f>
        <v>1107.19</v>
      </c>
      <c r="L28" s="37"/>
      <c r="R28">
        <f>H28</f>
        <v>168.52</v>
      </c>
    </row>
    <row r="29" spans="1:26" ht="14.25" x14ac:dyDescent="0.2">
      <c r="A29" s="51"/>
      <c r="B29" s="52"/>
      <c r="C29" s="52" t="s">
        <v>312</v>
      </c>
      <c r="D29" s="33" t="s">
        <v>313</v>
      </c>
      <c r="E29" s="11">
        <f>Source!BZ24</f>
        <v>110</v>
      </c>
      <c r="F29" s="73" t="str">
        <f>CONCATENATE(" )", Source!DL24, Source!FT24, "=", Source!FX24)</f>
        <v xml:space="preserve"> )*0,9=99</v>
      </c>
      <c r="G29" s="83"/>
      <c r="H29" s="36">
        <f>SUM(S24:S31)</f>
        <v>2602.2199999999998</v>
      </c>
      <c r="I29" s="39"/>
      <c r="J29" s="31">
        <f>Source!AT24</f>
        <v>99</v>
      </c>
      <c r="K29" s="36">
        <f>SUM(T24:T31)</f>
        <v>17096.62</v>
      </c>
      <c r="L29" s="37"/>
    </row>
    <row r="30" spans="1:26" ht="14.25" x14ac:dyDescent="0.2">
      <c r="A30" s="51"/>
      <c r="B30" s="52"/>
      <c r="C30" s="52" t="s">
        <v>314</v>
      </c>
      <c r="D30" s="33" t="s">
        <v>313</v>
      </c>
      <c r="E30" s="11">
        <f>Source!CA24</f>
        <v>70</v>
      </c>
      <c r="F30" s="73" t="str">
        <f>CONCATENATE(" )", Source!DM24, Source!FU24, "=", Source!FY24)</f>
        <v xml:space="preserve"> )*0,85=59,5</v>
      </c>
      <c r="G30" s="83"/>
      <c r="H30" s="36">
        <f>SUM(U24:U31)</f>
        <v>1563.96</v>
      </c>
      <c r="I30" s="39"/>
      <c r="J30" s="31">
        <f>Source!AU24</f>
        <v>60</v>
      </c>
      <c r="K30" s="36">
        <f>SUM(V24:V31)</f>
        <v>10361.59</v>
      </c>
      <c r="L30" s="37"/>
    </row>
    <row r="31" spans="1:26" ht="14.25" x14ac:dyDescent="0.2">
      <c r="A31" s="53"/>
      <c r="B31" s="54"/>
      <c r="C31" s="54" t="s">
        <v>315</v>
      </c>
      <c r="D31" s="40" t="s">
        <v>316</v>
      </c>
      <c r="E31" s="41">
        <f>Source!AQ24</f>
        <v>188.54</v>
      </c>
      <c r="F31" s="42"/>
      <c r="G31" s="43" t="str">
        <f>Source!DI24</f>
        <v/>
      </c>
      <c r="H31" s="44"/>
      <c r="I31" s="43"/>
      <c r="J31" s="43"/>
      <c r="K31" s="44"/>
      <c r="L31" s="45">
        <f>Source!U24</f>
        <v>304.07731200000001</v>
      </c>
    </row>
    <row r="32" spans="1:26" ht="15" x14ac:dyDescent="0.25">
      <c r="G32" s="84">
        <f>H26+H27+H29+H30</f>
        <v>7016.39</v>
      </c>
      <c r="H32" s="84"/>
      <c r="J32" s="84">
        <f>K26+K27+K29+K30</f>
        <v>46184.06</v>
      </c>
      <c r="K32" s="84"/>
      <c r="L32" s="46">
        <f>Source!U24</f>
        <v>304.07731200000001</v>
      </c>
      <c r="O32" s="27">
        <f>G32</f>
        <v>7016.39</v>
      </c>
      <c r="P32" s="27">
        <f>J32</f>
        <v>46184.06</v>
      </c>
      <c r="Q32" s="27">
        <f>L32</f>
        <v>304.07731200000001</v>
      </c>
      <c r="W32">
        <f>IF(Source!BI24&lt;=1,H26+H27+H29+H30, 0)</f>
        <v>7016.39</v>
      </c>
      <c r="X32">
        <f>IF(Source!BI24=2,H26+H27+H29+H30, 0)</f>
        <v>0</v>
      </c>
      <c r="Y32">
        <f>IF(Source!BI24=3,H26+H27+H29+H30, 0)</f>
        <v>0</v>
      </c>
      <c r="Z32">
        <f>IF(Source!BI24=4,H26+H27+H29+H30, 0)</f>
        <v>0</v>
      </c>
    </row>
    <row r="33" spans="1:26" ht="99.75" x14ac:dyDescent="0.2">
      <c r="A33" s="51" t="str">
        <f>Source!E25</f>
        <v>2</v>
      </c>
      <c r="B33" s="52" t="str">
        <f>Source!F25</f>
        <v>10-01-034-08</v>
      </c>
      <c r="C33" s="52" t="str">
        <f>Source!G25</f>
        <v>Установка в жилых и общественных зданиях оконных блоков из ПВХ профилей поворотных (откидных, поворотно-откидных) с площадью проема более 2 м2 трехстворчатых, в том числе при наличии створок глухого остекления</v>
      </c>
      <c r="D33" s="33" t="str">
        <f>Source!H25</f>
        <v>100 м2</v>
      </c>
      <c r="E33" s="11">
        <f>Source!I25</f>
        <v>1.6128</v>
      </c>
      <c r="F33" s="34">
        <f>Source!AL25+Source!AM25+Source!AO25</f>
        <v>10107.89</v>
      </c>
      <c r="G33" s="35"/>
      <c r="H33" s="36"/>
      <c r="I33" s="35" t="str">
        <f>Source!BO25</f>
        <v/>
      </c>
      <c r="J33" s="35"/>
      <c r="K33" s="36"/>
      <c r="L33" s="37"/>
      <c r="S33">
        <f>ROUND((Source!FX25/100)*((ROUND(Source!AF25*Source!I25, 2)+ROUND(Source!AE25*Source!I25, 2))), 2)</f>
        <v>2319.09</v>
      </c>
      <c r="T33">
        <f>Source!X25</f>
        <v>15207.72</v>
      </c>
      <c r="U33">
        <f>ROUND((Source!FY25/100)*((ROUND(Source!AF25*Source!I25, 2)+ROUND(Source!AE25*Source!I25, 2))), 2)</f>
        <v>1169.3699999999999</v>
      </c>
      <c r="V33">
        <f>Source!Y25</f>
        <v>7747.33</v>
      </c>
    </row>
    <row r="34" spans="1:26" x14ac:dyDescent="0.2">
      <c r="C34" s="26" t="str">
        <f>"Объем: "&amp;Source!I25&amp;"=161,28/"&amp;"100"</f>
        <v>Объем: 1,6128=161,28/100</v>
      </c>
    </row>
    <row r="35" spans="1:26" ht="14.25" x14ac:dyDescent="0.2">
      <c r="A35" s="51"/>
      <c r="B35" s="52"/>
      <c r="C35" s="52" t="s">
        <v>310</v>
      </c>
      <c r="D35" s="33"/>
      <c r="E35" s="11"/>
      <c r="F35" s="34">
        <f>Source!AO25</f>
        <v>1303.6600000000001</v>
      </c>
      <c r="G35" s="35" t="str">
        <f>Source!DG25</f>
        <v/>
      </c>
      <c r="H35" s="36">
        <f>ROUND(Source!AF25*Source!I25, 2)</f>
        <v>2102.54</v>
      </c>
      <c r="I35" s="35"/>
      <c r="J35" s="35">
        <f>IF(Source!BA25&lt;&gt; 0, Source!BA25, 1)</f>
        <v>6.57</v>
      </c>
      <c r="K35" s="36">
        <f>Source!S25</f>
        <v>13813.71</v>
      </c>
      <c r="L35" s="37"/>
      <c r="R35">
        <f>H35</f>
        <v>2102.54</v>
      </c>
    </row>
    <row r="36" spans="1:26" ht="14.25" x14ac:dyDescent="0.2">
      <c r="A36" s="51"/>
      <c r="B36" s="52"/>
      <c r="C36" s="52" t="s">
        <v>131</v>
      </c>
      <c r="D36" s="33"/>
      <c r="E36" s="11"/>
      <c r="F36" s="34">
        <f>Source!AM25</f>
        <v>255.21</v>
      </c>
      <c r="G36" s="35" t="str">
        <f>Source!DE25</f>
        <v/>
      </c>
      <c r="H36" s="36">
        <f>ROUND(Source!AD25*Source!I25, 2)</f>
        <v>411.6</v>
      </c>
      <c r="I36" s="35"/>
      <c r="J36" s="35">
        <f>IF(Source!BB25&lt;&gt; 0, Source!BB25, 1)</f>
        <v>6.57</v>
      </c>
      <c r="K36" s="36">
        <f>Source!Q25</f>
        <v>2704.23</v>
      </c>
      <c r="L36" s="37"/>
    </row>
    <row r="37" spans="1:26" ht="14.25" x14ac:dyDescent="0.2">
      <c r="A37" s="51"/>
      <c r="B37" s="52"/>
      <c r="C37" s="52" t="s">
        <v>311</v>
      </c>
      <c r="D37" s="33"/>
      <c r="E37" s="11"/>
      <c r="F37" s="34">
        <f>Source!AN25</f>
        <v>50.32</v>
      </c>
      <c r="G37" s="35" t="str">
        <f>Source!DF25</f>
        <v/>
      </c>
      <c r="H37" s="38">
        <f>ROUND(Source!AE25*Source!I25, 2)</f>
        <v>81.16</v>
      </c>
      <c r="I37" s="35"/>
      <c r="J37" s="35">
        <f>IF(Source!BS25&lt;&gt; 0, Source!BS25, 1)</f>
        <v>6.57</v>
      </c>
      <c r="K37" s="38">
        <f>Source!R25</f>
        <v>533.20000000000005</v>
      </c>
      <c r="L37" s="37"/>
      <c r="R37">
        <f>H37</f>
        <v>81.16</v>
      </c>
    </row>
    <row r="38" spans="1:26" ht="14.25" x14ac:dyDescent="0.2">
      <c r="A38" s="51"/>
      <c r="B38" s="52"/>
      <c r="C38" s="52" t="s">
        <v>317</v>
      </c>
      <c r="D38" s="33"/>
      <c r="E38" s="11"/>
      <c r="F38" s="34">
        <f>Source!AL25</f>
        <v>8549.02</v>
      </c>
      <c r="G38" s="35" t="str">
        <f>Source!DD25</f>
        <v/>
      </c>
      <c r="H38" s="36">
        <f>ROUND(Source!AC25*Source!I25, 2)</f>
        <v>13787.86</v>
      </c>
      <c r="I38" s="35"/>
      <c r="J38" s="35">
        <f>IF(Source!BC25&lt;&gt; 0, Source!BC25, 1)</f>
        <v>6.57</v>
      </c>
      <c r="K38" s="36">
        <f>Source!P25</f>
        <v>90586.240000000005</v>
      </c>
      <c r="L38" s="37"/>
    </row>
    <row r="39" spans="1:26" ht="14.25" x14ac:dyDescent="0.2">
      <c r="A39" s="51"/>
      <c r="B39" s="52"/>
      <c r="C39" s="52" t="s">
        <v>312</v>
      </c>
      <c r="D39" s="33" t="s">
        <v>313</v>
      </c>
      <c r="E39" s="11">
        <f>Source!BZ25</f>
        <v>118</v>
      </c>
      <c r="F39" s="73" t="str">
        <f>CONCATENATE(" )", Source!DL25, Source!FT25, "=", Source!FX25)</f>
        <v xml:space="preserve"> )*0,9=106,2</v>
      </c>
      <c r="G39" s="83"/>
      <c r="H39" s="36">
        <f>SUM(S33:S42)</f>
        <v>2319.09</v>
      </c>
      <c r="I39" s="39"/>
      <c r="J39" s="31">
        <f>Source!AT25</f>
        <v>106</v>
      </c>
      <c r="K39" s="36">
        <f>SUM(T33:T42)</f>
        <v>15207.72</v>
      </c>
      <c r="L39" s="37"/>
    </row>
    <row r="40" spans="1:26" ht="14.25" x14ac:dyDescent="0.2">
      <c r="A40" s="51"/>
      <c r="B40" s="52"/>
      <c r="C40" s="52" t="s">
        <v>314</v>
      </c>
      <c r="D40" s="33" t="s">
        <v>313</v>
      </c>
      <c r="E40" s="11">
        <f>Source!CA25</f>
        <v>63</v>
      </c>
      <c r="F40" s="73" t="str">
        <f>CONCATENATE(" )", Source!DM25, Source!FU25, "=", Source!FY25)</f>
        <v xml:space="preserve"> )*0,85=53,55</v>
      </c>
      <c r="G40" s="83"/>
      <c r="H40" s="36">
        <f>SUM(U33:U42)</f>
        <v>1169.3699999999999</v>
      </c>
      <c r="I40" s="39"/>
      <c r="J40" s="31">
        <f>Source!AU25</f>
        <v>54</v>
      </c>
      <c r="K40" s="36">
        <f>SUM(V33:V42)</f>
        <v>7747.33</v>
      </c>
      <c r="L40" s="37"/>
    </row>
    <row r="41" spans="1:26" ht="14.25" x14ac:dyDescent="0.2">
      <c r="A41" s="51"/>
      <c r="B41" s="52"/>
      <c r="C41" s="52" t="s">
        <v>315</v>
      </c>
      <c r="D41" s="33" t="s">
        <v>316</v>
      </c>
      <c r="E41" s="11">
        <f>Source!AQ25</f>
        <v>149.16</v>
      </c>
      <c r="F41" s="34"/>
      <c r="G41" s="35" t="str">
        <f>Source!DI25</f>
        <v/>
      </c>
      <c r="H41" s="36"/>
      <c r="I41" s="35"/>
      <c r="J41" s="35"/>
      <c r="K41" s="36"/>
      <c r="L41" s="47">
        <f>Source!U25</f>
        <v>240.565248</v>
      </c>
    </row>
    <row r="42" spans="1:26" ht="42.75" x14ac:dyDescent="0.2">
      <c r="A42" s="53" t="str">
        <f>Source!E26</f>
        <v>2,1</v>
      </c>
      <c r="B42" s="54" t="str">
        <f>Source!F26</f>
        <v>Цена поставщика</v>
      </c>
      <c r="C42" s="54" t="s">
        <v>318</v>
      </c>
      <c r="D42" s="40" t="str">
        <f>Source!H26</f>
        <v>м2</v>
      </c>
      <c r="E42" s="41">
        <f>Source!I26</f>
        <v>161.28</v>
      </c>
      <c r="F42" s="42">
        <f>Source!AL26+Source!AM26+Source!AO26</f>
        <v>446.07</v>
      </c>
      <c r="G42" s="48" t="s">
        <v>6</v>
      </c>
      <c r="H42" s="44">
        <f>ROUND(Source!AC26*Source!I26, 2)+ROUND(Source!AD26*Source!I26, 2)+ROUND(Source!AF26*Source!I26, 2)</f>
        <v>71942.17</v>
      </c>
      <c r="I42" s="43"/>
      <c r="J42" s="43">
        <f>IF(Source!BC26&lt;&gt; 0, Source!BC26, 1)</f>
        <v>6.57</v>
      </c>
      <c r="K42" s="44">
        <f>Source!O26</f>
        <v>472660.05</v>
      </c>
      <c r="L42" s="49"/>
      <c r="S42">
        <f>ROUND((Source!FX26/100)*((ROUND(Source!AF26*Source!I26, 2)+ROUND(Source!AE26*Source!I26, 2))), 2)</f>
        <v>0</v>
      </c>
      <c r="T42">
        <f>Source!X26</f>
        <v>0</v>
      </c>
      <c r="U42">
        <f>ROUND((Source!FY26/100)*((ROUND(Source!AF26*Source!I26, 2)+ROUND(Source!AE26*Source!I26, 2))), 2)</f>
        <v>0</v>
      </c>
      <c r="V42">
        <f>Source!Y26</f>
        <v>0</v>
      </c>
      <c r="W42">
        <f>IF(Source!BI26&lt;=1,H42, 0)</f>
        <v>71942.17</v>
      </c>
      <c r="X42">
        <f>IF(Source!BI26=2,H42, 0)</f>
        <v>0</v>
      </c>
      <c r="Y42">
        <f>IF(Source!BI26=3,H42, 0)</f>
        <v>0</v>
      </c>
      <c r="Z42">
        <f>IF(Source!BI26=4,H42, 0)</f>
        <v>0</v>
      </c>
    </row>
    <row r="43" spans="1:26" ht="15" x14ac:dyDescent="0.25">
      <c r="G43" s="84">
        <f>H35+H36+H38+H39+H40+SUM(H42:H42)</f>
        <v>91732.63</v>
      </c>
      <c r="H43" s="84"/>
      <c r="J43" s="84">
        <f>K35+K36+K38+K39+K40+SUM(K42:K42)</f>
        <v>602719.28</v>
      </c>
      <c r="K43" s="84"/>
      <c r="L43" s="46">
        <f>Source!U25</f>
        <v>240.565248</v>
      </c>
      <c r="O43" s="27">
        <f>G43</f>
        <v>91732.63</v>
      </c>
      <c r="P43" s="27">
        <f>J43</f>
        <v>602719.28</v>
      </c>
      <c r="Q43" s="27">
        <f>L43</f>
        <v>240.565248</v>
      </c>
      <c r="W43">
        <f>IF(Source!BI25&lt;=1,H35+H36+H38+H39+H40, 0)</f>
        <v>19790.46</v>
      </c>
      <c r="X43">
        <f>IF(Source!BI25=2,H35+H36+H38+H39+H40, 0)</f>
        <v>0</v>
      </c>
      <c r="Y43">
        <f>IF(Source!BI25=3,H35+H36+H38+H39+H40, 0)</f>
        <v>0</v>
      </c>
      <c r="Z43">
        <f>IF(Source!BI25=4,H35+H36+H38+H39+H40, 0)</f>
        <v>0</v>
      </c>
    </row>
    <row r="44" spans="1:26" ht="42.75" x14ac:dyDescent="0.2">
      <c r="A44" s="51" t="str">
        <f>Source!E27</f>
        <v>3</v>
      </c>
      <c r="B44" s="52" t="str">
        <f>Source!F27</f>
        <v>10-01-035-03</v>
      </c>
      <c r="C44" s="52" t="str">
        <f>Source!G27</f>
        <v>Установка подоконных досок из ПВХ в каменных стенах толщиной свыше 0,51 м</v>
      </c>
      <c r="D44" s="33" t="str">
        <f>Source!H27</f>
        <v>100 м</v>
      </c>
      <c r="E44" s="11">
        <f>Source!I27</f>
        <v>1.1200000000000001</v>
      </c>
      <c r="F44" s="34">
        <f>Source!AL27+Source!AM27+Source!AO27</f>
        <v>6481.1699999999992</v>
      </c>
      <c r="G44" s="35"/>
      <c r="H44" s="36"/>
      <c r="I44" s="35" t="str">
        <f>Source!BO27</f>
        <v/>
      </c>
      <c r="J44" s="35"/>
      <c r="K44" s="36"/>
      <c r="L44" s="37"/>
      <c r="S44">
        <f>ROUND((Source!FX27/100)*((ROUND(Source!AF27*Source!I27, 2)+ROUND(Source!AE27*Source!I27, 2))), 2)</f>
        <v>222.18</v>
      </c>
      <c r="T44">
        <f>Source!X27</f>
        <v>1457.02</v>
      </c>
      <c r="U44">
        <f>ROUND((Source!FY27/100)*((ROUND(Source!AF27*Source!I27, 2)+ROUND(Source!AE27*Source!I27, 2))), 2)</f>
        <v>112.03</v>
      </c>
      <c r="V44">
        <f>Source!Y27</f>
        <v>742.26</v>
      </c>
    </row>
    <row r="45" spans="1:26" x14ac:dyDescent="0.2">
      <c r="C45" s="26" t="str">
        <f>"Объем: "&amp;Source!I27&amp;"=112/"&amp;"100"</f>
        <v>Объем: 1,12=112/100</v>
      </c>
    </row>
    <row r="46" spans="1:26" ht="14.25" x14ac:dyDescent="0.2">
      <c r="A46" s="51"/>
      <c r="B46" s="52"/>
      <c r="C46" s="52" t="s">
        <v>310</v>
      </c>
      <c r="D46" s="33"/>
      <c r="E46" s="11"/>
      <c r="F46" s="34">
        <f>Source!AO27</f>
        <v>182.37</v>
      </c>
      <c r="G46" s="35" t="str">
        <f>Source!DG27</f>
        <v/>
      </c>
      <c r="H46" s="36">
        <f>ROUND(Source!AF27*Source!I27, 2)</f>
        <v>204.25</v>
      </c>
      <c r="I46" s="35"/>
      <c r="J46" s="35">
        <f>IF(Source!BA27&lt;&gt; 0, Source!BA27, 1)</f>
        <v>6.57</v>
      </c>
      <c r="K46" s="36">
        <f>Source!S27</f>
        <v>1341.95</v>
      </c>
      <c r="L46" s="37"/>
      <c r="R46">
        <f>H46</f>
        <v>204.25</v>
      </c>
    </row>
    <row r="47" spans="1:26" ht="14.25" x14ac:dyDescent="0.2">
      <c r="A47" s="51"/>
      <c r="B47" s="52"/>
      <c r="C47" s="52" t="s">
        <v>131</v>
      </c>
      <c r="D47" s="33"/>
      <c r="E47" s="11"/>
      <c r="F47" s="34">
        <f>Source!AM27</f>
        <v>21.9</v>
      </c>
      <c r="G47" s="35" t="str">
        <f>Source!DE27</f>
        <v/>
      </c>
      <c r="H47" s="36">
        <f>ROUND(Source!AD27*Source!I27, 2)</f>
        <v>24.53</v>
      </c>
      <c r="I47" s="35"/>
      <c r="J47" s="35">
        <f>IF(Source!BB27&lt;&gt; 0, Source!BB27, 1)</f>
        <v>6.57</v>
      </c>
      <c r="K47" s="36">
        <f>Source!Q27</f>
        <v>161.15</v>
      </c>
      <c r="L47" s="37"/>
    </row>
    <row r="48" spans="1:26" ht="14.25" x14ac:dyDescent="0.2">
      <c r="A48" s="51"/>
      <c r="B48" s="52"/>
      <c r="C48" s="52" t="s">
        <v>311</v>
      </c>
      <c r="D48" s="33"/>
      <c r="E48" s="11"/>
      <c r="F48" s="34">
        <f>Source!AN27</f>
        <v>4.43</v>
      </c>
      <c r="G48" s="35" t="str">
        <f>Source!DF27</f>
        <v/>
      </c>
      <c r="H48" s="38">
        <f>ROUND(Source!AE27*Source!I27, 2)</f>
        <v>4.96</v>
      </c>
      <c r="I48" s="35"/>
      <c r="J48" s="35">
        <f>IF(Source!BS27&lt;&gt; 0, Source!BS27, 1)</f>
        <v>6.57</v>
      </c>
      <c r="K48" s="38">
        <f>Source!R27</f>
        <v>32.6</v>
      </c>
      <c r="L48" s="37"/>
      <c r="R48">
        <f>H48</f>
        <v>4.96</v>
      </c>
    </row>
    <row r="49" spans="1:26" ht="14.25" x14ac:dyDescent="0.2">
      <c r="A49" s="51"/>
      <c r="B49" s="52"/>
      <c r="C49" s="52" t="s">
        <v>317</v>
      </c>
      <c r="D49" s="33"/>
      <c r="E49" s="11"/>
      <c r="F49" s="34">
        <f>Source!AL27</f>
        <v>6276.9</v>
      </c>
      <c r="G49" s="35" t="str">
        <f>Source!DD27</f>
        <v/>
      </c>
      <c r="H49" s="36">
        <f>ROUND(Source!AC27*Source!I27, 2)</f>
        <v>7030.13</v>
      </c>
      <c r="I49" s="35"/>
      <c r="J49" s="35">
        <f>IF(Source!BC27&lt;&gt; 0, Source!BC27, 1)</f>
        <v>6.57</v>
      </c>
      <c r="K49" s="36">
        <f>Source!P27</f>
        <v>46187.94</v>
      </c>
      <c r="L49" s="37"/>
    </row>
    <row r="50" spans="1:26" ht="14.25" x14ac:dyDescent="0.2">
      <c r="A50" s="51"/>
      <c r="B50" s="52"/>
      <c r="C50" s="52" t="s">
        <v>312</v>
      </c>
      <c r="D50" s="33" t="s">
        <v>313</v>
      </c>
      <c r="E50" s="11">
        <f>Source!BZ27</f>
        <v>118</v>
      </c>
      <c r="F50" s="73" t="str">
        <f>CONCATENATE(" )", Source!DL27, Source!FT27, "=", Source!FX27)</f>
        <v xml:space="preserve"> )*0,9=106,2</v>
      </c>
      <c r="G50" s="83"/>
      <c r="H50" s="36">
        <f>SUM(S44:S53)</f>
        <v>222.18</v>
      </c>
      <c r="I50" s="39"/>
      <c r="J50" s="31">
        <f>Source!AT27</f>
        <v>106</v>
      </c>
      <c r="K50" s="36">
        <f>SUM(T44:T53)</f>
        <v>1457.02</v>
      </c>
      <c r="L50" s="37"/>
    </row>
    <row r="51" spans="1:26" ht="14.25" x14ac:dyDescent="0.2">
      <c r="A51" s="51"/>
      <c r="B51" s="52"/>
      <c r="C51" s="52" t="s">
        <v>314</v>
      </c>
      <c r="D51" s="33" t="s">
        <v>313</v>
      </c>
      <c r="E51" s="11">
        <f>Source!CA27</f>
        <v>63</v>
      </c>
      <c r="F51" s="73" t="str">
        <f>CONCATENATE(" )", Source!DM27, Source!FU27, "=", Source!FY27)</f>
        <v xml:space="preserve"> )*0,85=53,55</v>
      </c>
      <c r="G51" s="83"/>
      <c r="H51" s="36">
        <f>SUM(U44:U53)</f>
        <v>112.03</v>
      </c>
      <c r="I51" s="39"/>
      <c r="J51" s="31">
        <f>Source!AU27</f>
        <v>54</v>
      </c>
      <c r="K51" s="36">
        <f>SUM(V44:V53)</f>
        <v>742.26</v>
      </c>
      <c r="L51" s="37"/>
    </row>
    <row r="52" spans="1:26" ht="14.25" x14ac:dyDescent="0.2">
      <c r="A52" s="51"/>
      <c r="B52" s="52"/>
      <c r="C52" s="52" t="s">
        <v>315</v>
      </c>
      <c r="D52" s="33" t="s">
        <v>316</v>
      </c>
      <c r="E52" s="11">
        <f>Source!AQ27</f>
        <v>21.38</v>
      </c>
      <c r="F52" s="34"/>
      <c r="G52" s="35" t="str">
        <f>Source!DI27</f>
        <v/>
      </c>
      <c r="H52" s="36"/>
      <c r="I52" s="35"/>
      <c r="J52" s="35"/>
      <c r="K52" s="36"/>
      <c r="L52" s="47">
        <f>Source!U27</f>
        <v>23.945600000000002</v>
      </c>
    </row>
    <row r="53" spans="1:26" ht="42.75" x14ac:dyDescent="0.2">
      <c r="A53" s="53" t="str">
        <f>Source!E28</f>
        <v>3,1</v>
      </c>
      <c r="B53" s="54" t="str">
        <f>Source!F28</f>
        <v>Цена поставщика</v>
      </c>
      <c r="C53" s="54" t="s">
        <v>319</v>
      </c>
      <c r="D53" s="40" t="str">
        <f>Source!H28</f>
        <v>м</v>
      </c>
      <c r="E53" s="41">
        <f>Source!I28</f>
        <v>112</v>
      </c>
      <c r="F53" s="42">
        <f>Source!AL28+Source!AM28+Source!AO28</f>
        <v>232.01</v>
      </c>
      <c r="G53" s="48" t="s">
        <v>6</v>
      </c>
      <c r="H53" s="44">
        <f>ROUND(Source!AC28*Source!I28, 2)+ROUND(Source!AD28*Source!I28, 2)+ROUND(Source!AF28*Source!I28, 2)</f>
        <v>25985.119999999999</v>
      </c>
      <c r="I53" s="43"/>
      <c r="J53" s="43">
        <f>IF(Source!BC28&lt;&gt; 0, Source!BC28, 1)</f>
        <v>6.57</v>
      </c>
      <c r="K53" s="44">
        <f>Source!O28</f>
        <v>170722.24</v>
      </c>
      <c r="L53" s="49"/>
      <c r="S53">
        <f>ROUND((Source!FX28/100)*((ROUND(Source!AF28*Source!I28, 2)+ROUND(Source!AE28*Source!I28, 2))), 2)</f>
        <v>0</v>
      </c>
      <c r="T53">
        <f>Source!X28</f>
        <v>0</v>
      </c>
      <c r="U53">
        <f>ROUND((Source!FY28/100)*((ROUND(Source!AF28*Source!I28, 2)+ROUND(Source!AE28*Source!I28, 2))), 2)</f>
        <v>0</v>
      </c>
      <c r="V53">
        <f>Source!Y28</f>
        <v>0</v>
      </c>
      <c r="W53">
        <f>IF(Source!BI28&lt;=1,H53, 0)</f>
        <v>25985.119999999999</v>
      </c>
      <c r="X53">
        <f>IF(Source!BI28=2,H53, 0)</f>
        <v>0</v>
      </c>
      <c r="Y53">
        <f>IF(Source!BI28=3,H53, 0)</f>
        <v>0</v>
      </c>
      <c r="Z53">
        <f>IF(Source!BI28=4,H53, 0)</f>
        <v>0</v>
      </c>
    </row>
    <row r="54" spans="1:26" ht="15" x14ac:dyDescent="0.25">
      <c r="G54" s="84">
        <f>H46+H47+H49+H50+H51+SUM(H53:H53)</f>
        <v>33578.239999999998</v>
      </c>
      <c r="H54" s="84"/>
      <c r="J54" s="84">
        <f>K46+K47+K49+K50+K51+SUM(K53:K53)</f>
        <v>220612.56</v>
      </c>
      <c r="K54" s="84"/>
      <c r="L54" s="46">
        <f>Source!U27</f>
        <v>23.945600000000002</v>
      </c>
      <c r="O54" s="27">
        <f>G54</f>
        <v>33578.239999999998</v>
      </c>
      <c r="P54" s="27">
        <f>J54</f>
        <v>220612.56</v>
      </c>
      <c r="Q54" s="27">
        <f>L54</f>
        <v>23.945600000000002</v>
      </c>
      <c r="W54">
        <f>IF(Source!BI27&lt;=1,H46+H47+H49+H50+H51, 0)</f>
        <v>7593.12</v>
      </c>
      <c r="X54">
        <f>IF(Source!BI27=2,H46+H47+H49+H50+H51, 0)</f>
        <v>0</v>
      </c>
      <c r="Y54">
        <f>IF(Source!BI27=3,H46+H47+H49+H50+H51, 0)</f>
        <v>0</v>
      </c>
      <c r="Z54">
        <f>IF(Source!BI27=4,H46+H47+H49+H50+H51, 0)</f>
        <v>0</v>
      </c>
    </row>
    <row r="55" spans="1:26" ht="42.75" x14ac:dyDescent="0.2">
      <c r="A55" s="51" t="str">
        <f>Source!E29</f>
        <v>4</v>
      </c>
      <c r="B55" s="52" t="str">
        <f>Source!F29</f>
        <v>58-20-1</v>
      </c>
      <c r="C55" s="52" t="str">
        <f>Source!G29</f>
        <v>Смена обделок из листовой стали (поясков, сандриков, отливов, карнизов) шириной до 0,4 м</v>
      </c>
      <c r="D55" s="33" t="str">
        <f>Source!H29</f>
        <v>100 м</v>
      </c>
      <c r="E55" s="11">
        <f>Source!I29</f>
        <v>1.1200000000000001</v>
      </c>
      <c r="F55" s="34">
        <f>Source!AL29+Source!AM29+Source!AO29</f>
        <v>454.41</v>
      </c>
      <c r="G55" s="35"/>
      <c r="H55" s="36"/>
      <c r="I55" s="35" t="str">
        <f>Source!BO29</f>
        <v/>
      </c>
      <c r="J55" s="35"/>
      <c r="K55" s="36"/>
      <c r="L55" s="37"/>
      <c r="S55">
        <f>ROUND((Source!FX29/100)*((ROUND(Source!AF29*Source!I29, 2)+ROUND(Source!AE29*Source!I29, 2))), 2)</f>
        <v>329.79</v>
      </c>
      <c r="T55">
        <f>Source!X29</f>
        <v>2166.75</v>
      </c>
      <c r="U55">
        <f>ROUND((Source!FY29/100)*((ROUND(Source!AF29*Source!I29, 2)+ROUND(Source!AE29*Source!I29, 2))), 2)</f>
        <v>258.27</v>
      </c>
      <c r="V55">
        <f>Source!Y29</f>
        <v>1696.85</v>
      </c>
    </row>
    <row r="56" spans="1:26" x14ac:dyDescent="0.2">
      <c r="C56" s="26" t="str">
        <f>"Объем: "&amp;Source!I29&amp;"=112/"&amp;"100"</f>
        <v>Объем: 1,12=112/100</v>
      </c>
    </row>
    <row r="57" spans="1:26" ht="14.25" x14ac:dyDescent="0.2">
      <c r="A57" s="51"/>
      <c r="B57" s="52"/>
      <c r="C57" s="52" t="s">
        <v>310</v>
      </c>
      <c r="D57" s="33"/>
      <c r="E57" s="11"/>
      <c r="F57" s="34">
        <f>Source!AO29</f>
        <v>353.23</v>
      </c>
      <c r="G57" s="35" t="str">
        <f>Source!DG29</f>
        <v/>
      </c>
      <c r="H57" s="36">
        <f>ROUND(Source!AF29*Source!I29, 2)</f>
        <v>395.62</v>
      </c>
      <c r="I57" s="35"/>
      <c r="J57" s="35">
        <f>IF(Source!BA29&lt;&gt; 0, Source!BA29, 1)</f>
        <v>6.57</v>
      </c>
      <c r="K57" s="36">
        <f>Source!S29</f>
        <v>2599.21</v>
      </c>
      <c r="L57" s="37"/>
      <c r="R57">
        <f>H57</f>
        <v>395.62</v>
      </c>
    </row>
    <row r="58" spans="1:26" ht="14.25" x14ac:dyDescent="0.2">
      <c r="A58" s="51"/>
      <c r="B58" s="52"/>
      <c r="C58" s="52" t="s">
        <v>131</v>
      </c>
      <c r="D58" s="33"/>
      <c r="E58" s="11"/>
      <c r="F58" s="34">
        <f>Source!AM29</f>
        <v>5.13</v>
      </c>
      <c r="G58" s="35" t="str">
        <f>Source!DE29</f>
        <v/>
      </c>
      <c r="H58" s="36">
        <f>ROUND(Source!AD29*Source!I29, 2)</f>
        <v>5.75</v>
      </c>
      <c r="I58" s="35"/>
      <c r="J58" s="35">
        <f>IF(Source!BB29&lt;&gt; 0, Source!BB29, 1)</f>
        <v>6.57</v>
      </c>
      <c r="K58" s="36">
        <f>Source!Q29</f>
        <v>37.75</v>
      </c>
      <c r="L58" s="37"/>
    </row>
    <row r="59" spans="1:26" ht="14.25" x14ac:dyDescent="0.2">
      <c r="A59" s="51"/>
      <c r="B59" s="52"/>
      <c r="C59" s="52" t="s">
        <v>311</v>
      </c>
      <c r="D59" s="33"/>
      <c r="E59" s="11"/>
      <c r="F59" s="34">
        <f>Source!AN29</f>
        <v>1.54</v>
      </c>
      <c r="G59" s="35" t="str">
        <f>Source!DF29</f>
        <v/>
      </c>
      <c r="H59" s="38">
        <f>ROUND(Source!AE29*Source!I29, 2)</f>
        <v>1.72</v>
      </c>
      <c r="I59" s="35"/>
      <c r="J59" s="35">
        <f>IF(Source!BS29&lt;&gt; 0, Source!BS29, 1)</f>
        <v>6.57</v>
      </c>
      <c r="K59" s="38">
        <f>Source!R29</f>
        <v>11.33</v>
      </c>
      <c r="L59" s="37"/>
      <c r="R59">
        <f>H59</f>
        <v>1.72</v>
      </c>
    </row>
    <row r="60" spans="1:26" ht="14.25" x14ac:dyDescent="0.2">
      <c r="A60" s="51"/>
      <c r="B60" s="52"/>
      <c r="C60" s="52" t="s">
        <v>317</v>
      </c>
      <c r="D60" s="33"/>
      <c r="E60" s="11"/>
      <c r="F60" s="34">
        <f>Source!AL29</f>
        <v>96.05</v>
      </c>
      <c r="G60" s="35" t="str">
        <f>Source!DD29</f>
        <v/>
      </c>
      <c r="H60" s="36">
        <f>ROUND(Source!AC29*Source!I29, 2)</f>
        <v>107.58</v>
      </c>
      <c r="I60" s="35"/>
      <c r="J60" s="35">
        <f>IF(Source!BC29&lt;&gt; 0, Source!BC29, 1)</f>
        <v>6.57</v>
      </c>
      <c r="K60" s="36">
        <f>Source!P29</f>
        <v>706.77</v>
      </c>
      <c r="L60" s="37"/>
    </row>
    <row r="61" spans="1:26" ht="14.25" x14ac:dyDescent="0.2">
      <c r="A61" s="51"/>
      <c r="B61" s="52"/>
      <c r="C61" s="52" t="s">
        <v>312</v>
      </c>
      <c r="D61" s="33" t="s">
        <v>313</v>
      </c>
      <c r="E61" s="11">
        <f>Source!BZ29</f>
        <v>83</v>
      </c>
      <c r="F61" s="55"/>
      <c r="G61" s="35"/>
      <c r="H61" s="36">
        <f>SUM(S55:S64)</f>
        <v>329.79</v>
      </c>
      <c r="I61" s="39"/>
      <c r="J61" s="31">
        <f>Source!AT29</f>
        <v>83</v>
      </c>
      <c r="K61" s="36">
        <f>SUM(T55:T64)</f>
        <v>2166.75</v>
      </c>
      <c r="L61" s="37"/>
    </row>
    <row r="62" spans="1:26" ht="14.25" x14ac:dyDescent="0.2">
      <c r="A62" s="51"/>
      <c r="B62" s="52"/>
      <c r="C62" s="52" t="s">
        <v>314</v>
      </c>
      <c r="D62" s="33" t="s">
        <v>313</v>
      </c>
      <c r="E62" s="11">
        <f>Source!CA29</f>
        <v>65</v>
      </c>
      <c r="F62" s="55"/>
      <c r="G62" s="35"/>
      <c r="H62" s="36">
        <f>SUM(U55:U64)</f>
        <v>258.27</v>
      </c>
      <c r="I62" s="39"/>
      <c r="J62" s="31">
        <f>Source!AU29</f>
        <v>65</v>
      </c>
      <c r="K62" s="36">
        <f>SUM(V55:V64)</f>
        <v>1696.85</v>
      </c>
      <c r="L62" s="37"/>
    </row>
    <row r="63" spans="1:26" ht="14.25" x14ac:dyDescent="0.2">
      <c r="A63" s="51"/>
      <c r="B63" s="52"/>
      <c r="C63" s="52" t="s">
        <v>315</v>
      </c>
      <c r="D63" s="33" t="s">
        <v>316</v>
      </c>
      <c r="E63" s="11">
        <f>Source!AQ29</f>
        <v>41.41</v>
      </c>
      <c r="F63" s="34"/>
      <c r="G63" s="35" t="str">
        <f>Source!DI29</f>
        <v/>
      </c>
      <c r="H63" s="36"/>
      <c r="I63" s="35"/>
      <c r="J63" s="35"/>
      <c r="K63" s="36"/>
      <c r="L63" s="47">
        <f>Source!U29</f>
        <v>46.379199999999997</v>
      </c>
    </row>
    <row r="64" spans="1:26" ht="68.25" x14ac:dyDescent="0.2">
      <c r="A64" s="53" t="str">
        <f>Source!E30</f>
        <v>4,1</v>
      </c>
      <c r="B64" s="54" t="str">
        <f>Source!F30</f>
        <v>Цена поставщика</v>
      </c>
      <c r="C64" s="54" t="s">
        <v>320</v>
      </c>
      <c r="D64" s="40" t="str">
        <f>Source!H30</f>
        <v>м</v>
      </c>
      <c r="E64" s="41">
        <f>Source!I30</f>
        <v>112</v>
      </c>
      <c r="F64" s="42">
        <f>Source!AL30+Source!AM30+Source!AO30</f>
        <v>28.64</v>
      </c>
      <c r="G64" s="48" t="s">
        <v>6</v>
      </c>
      <c r="H64" s="44">
        <f>ROUND(Source!AC30*Source!I30, 2)+ROUND(Source!AD30*Source!I30, 2)+ROUND(Source!AF30*Source!I30, 2)</f>
        <v>3207.68</v>
      </c>
      <c r="I64" s="43"/>
      <c r="J64" s="43">
        <f>IF(Source!BC30&lt;&gt; 0, Source!BC30, 1)</f>
        <v>6.57</v>
      </c>
      <c r="K64" s="44">
        <f>Source!O30</f>
        <v>21074.46</v>
      </c>
      <c r="L64" s="49"/>
      <c r="S64">
        <f>ROUND((Source!FX30/100)*((ROUND(Source!AF30*Source!I30, 2)+ROUND(Source!AE30*Source!I30, 2))), 2)</f>
        <v>0</v>
      </c>
      <c r="T64">
        <f>Source!X30</f>
        <v>0</v>
      </c>
      <c r="U64">
        <f>ROUND((Source!FY30/100)*((ROUND(Source!AF30*Source!I30, 2)+ROUND(Source!AE30*Source!I30, 2))), 2)</f>
        <v>0</v>
      </c>
      <c r="V64">
        <f>Source!Y30</f>
        <v>0</v>
      </c>
      <c r="W64">
        <f>IF(Source!BI30&lt;=1,H64, 0)</f>
        <v>3207.68</v>
      </c>
      <c r="X64">
        <f>IF(Source!BI30=2,H64, 0)</f>
        <v>0</v>
      </c>
      <c r="Y64">
        <f>IF(Source!BI30=3,H64, 0)</f>
        <v>0</v>
      </c>
      <c r="Z64">
        <f>IF(Source!BI30=4,H64, 0)</f>
        <v>0</v>
      </c>
    </row>
    <row r="65" spans="1:26" ht="15" x14ac:dyDescent="0.25">
      <c r="G65" s="84">
        <f>H57+H58+H60+H61+H62+SUM(H64:H64)</f>
        <v>4304.6899999999996</v>
      </c>
      <c r="H65" s="84"/>
      <c r="J65" s="84">
        <f>K57+K58+K60+K61+K62+SUM(K64:K64)</f>
        <v>28281.79</v>
      </c>
      <c r="K65" s="84"/>
      <c r="L65" s="46">
        <f>Source!U29</f>
        <v>46.379199999999997</v>
      </c>
      <c r="O65" s="27">
        <f>G65</f>
        <v>4304.6899999999996</v>
      </c>
      <c r="P65" s="27">
        <f>J65</f>
        <v>28281.79</v>
      </c>
      <c r="Q65" s="27">
        <f>L65</f>
        <v>46.379199999999997</v>
      </c>
      <c r="W65">
        <f>IF(Source!BI29&lt;=1,H57+H58+H60+H61+H62, 0)</f>
        <v>1097.01</v>
      </c>
      <c r="X65">
        <f>IF(Source!BI29=2,H57+H58+H60+H61+H62, 0)</f>
        <v>0</v>
      </c>
      <c r="Y65">
        <f>IF(Source!BI29=3,H57+H58+H60+H61+H62, 0)</f>
        <v>0</v>
      </c>
      <c r="Z65">
        <f>IF(Source!BI29=4,H57+H58+H60+H61+H62, 0)</f>
        <v>0</v>
      </c>
    </row>
    <row r="66" spans="1:26" ht="57" x14ac:dyDescent="0.2">
      <c r="A66" s="51" t="str">
        <f>Source!E31</f>
        <v>5</v>
      </c>
      <c r="B66" s="52" t="str">
        <f>Source!F31</f>
        <v>15-01-050-04</v>
      </c>
      <c r="C66" s="52" t="str">
        <f>Source!G31</f>
        <v>Облицовка оконных и дверных откосов декоративным бумажно-слоистым пластиком или листами из синтетических материалов на клее</v>
      </c>
      <c r="D66" s="33" t="str">
        <f>Source!H31</f>
        <v>100 м2</v>
      </c>
      <c r="E66" s="11">
        <f>Source!I31</f>
        <v>1.4816</v>
      </c>
      <c r="F66" s="34">
        <f>Source!AL31+Source!AM31+Source!AO31</f>
        <v>1563.91</v>
      </c>
      <c r="G66" s="35"/>
      <c r="H66" s="36"/>
      <c r="I66" s="35" t="str">
        <f>Source!BO31</f>
        <v/>
      </c>
      <c r="J66" s="35"/>
      <c r="K66" s="36"/>
      <c r="L66" s="37"/>
      <c r="S66">
        <f>ROUND((Source!FX31/100)*((ROUND(Source!AF31*Source!I31, 2)+ROUND(Source!AE31*Source!I31, 2))), 2)</f>
        <v>2149.27</v>
      </c>
      <c r="T66">
        <f>Source!X31</f>
        <v>14195.41</v>
      </c>
      <c r="U66">
        <f>ROUND((Source!FY31/100)*((ROUND(Source!AF31*Source!I31, 2)+ROUND(Source!AE31*Source!I31, 2))), 2)</f>
        <v>1063.26</v>
      </c>
      <c r="V66">
        <f>Source!Y31</f>
        <v>7022.99</v>
      </c>
    </row>
    <row r="67" spans="1:26" x14ac:dyDescent="0.2">
      <c r="C67" s="26" t="str">
        <f>"Объем: "&amp;Source!I31&amp;"=148,16/"&amp;"100"</f>
        <v>Объем: 1,4816=148,16/100</v>
      </c>
    </row>
    <row r="68" spans="1:26" ht="14.25" x14ac:dyDescent="0.2">
      <c r="A68" s="51"/>
      <c r="B68" s="52"/>
      <c r="C68" s="52" t="s">
        <v>310</v>
      </c>
      <c r="D68" s="33"/>
      <c r="E68" s="11"/>
      <c r="F68" s="34">
        <f>Source!AO31</f>
        <v>1528.19</v>
      </c>
      <c r="G68" s="35" t="str">
        <f>Source!DG31</f>
        <v/>
      </c>
      <c r="H68" s="36">
        <f>ROUND(Source!AF31*Source!I31, 2)</f>
        <v>2264.17</v>
      </c>
      <c r="I68" s="35"/>
      <c r="J68" s="35">
        <f>IF(Source!BA31&lt;&gt; 0, Source!BA31, 1)</f>
        <v>6.57</v>
      </c>
      <c r="K68" s="36">
        <f>Source!S31</f>
        <v>14875.57</v>
      </c>
      <c r="L68" s="37"/>
      <c r="R68">
        <f>H68</f>
        <v>2264.17</v>
      </c>
    </row>
    <row r="69" spans="1:26" ht="14.25" x14ac:dyDescent="0.2">
      <c r="A69" s="51"/>
      <c r="B69" s="52"/>
      <c r="C69" s="52" t="s">
        <v>131</v>
      </c>
      <c r="D69" s="33"/>
      <c r="E69" s="11"/>
      <c r="F69" s="34">
        <f>Source!AM31</f>
        <v>35.36</v>
      </c>
      <c r="G69" s="35" t="str">
        <f>Source!DE31</f>
        <v/>
      </c>
      <c r="H69" s="36">
        <f>ROUND(Source!AD31*Source!I31, 2)</f>
        <v>52.39</v>
      </c>
      <c r="I69" s="35"/>
      <c r="J69" s="35">
        <f>IF(Source!BB31&lt;&gt; 0, Source!BB31, 1)</f>
        <v>6.57</v>
      </c>
      <c r="K69" s="36">
        <f>Source!Q31</f>
        <v>344.2</v>
      </c>
      <c r="L69" s="37"/>
    </row>
    <row r="70" spans="1:26" ht="14.25" x14ac:dyDescent="0.2">
      <c r="A70" s="51"/>
      <c r="B70" s="52"/>
      <c r="C70" s="52" t="s">
        <v>311</v>
      </c>
      <c r="D70" s="33"/>
      <c r="E70" s="11"/>
      <c r="F70" s="34">
        <f>Source!AN31</f>
        <v>6.88</v>
      </c>
      <c r="G70" s="35" t="str">
        <f>Source!DF31</f>
        <v/>
      </c>
      <c r="H70" s="38">
        <f>ROUND(Source!AE31*Source!I31, 2)</f>
        <v>10.19</v>
      </c>
      <c r="I70" s="35"/>
      <c r="J70" s="35">
        <f>IF(Source!BS31&lt;&gt; 0, Source!BS31, 1)</f>
        <v>6.57</v>
      </c>
      <c r="K70" s="38">
        <f>Source!R31</f>
        <v>66.97</v>
      </c>
      <c r="L70" s="37"/>
      <c r="R70">
        <f>H70</f>
        <v>10.19</v>
      </c>
    </row>
    <row r="71" spans="1:26" ht="14.25" x14ac:dyDescent="0.2">
      <c r="A71" s="51"/>
      <c r="B71" s="52"/>
      <c r="C71" s="52" t="s">
        <v>317</v>
      </c>
      <c r="D71" s="33"/>
      <c r="E71" s="11"/>
      <c r="F71" s="34">
        <f>Source!AL31</f>
        <v>0.36</v>
      </c>
      <c r="G71" s="35" t="str">
        <f>Source!DD31</f>
        <v/>
      </c>
      <c r="H71" s="36">
        <f>ROUND(Source!AC31*Source!I31, 2)</f>
        <v>0.53</v>
      </c>
      <c r="I71" s="35"/>
      <c r="J71" s="35">
        <f>IF(Source!BC31&lt;&gt; 0, Source!BC31, 1)</f>
        <v>6.57</v>
      </c>
      <c r="K71" s="36">
        <f>Source!P31</f>
        <v>3.5</v>
      </c>
      <c r="L71" s="37"/>
    </row>
    <row r="72" spans="1:26" ht="14.25" x14ac:dyDescent="0.2">
      <c r="A72" s="51"/>
      <c r="B72" s="52"/>
      <c r="C72" s="52" t="s">
        <v>312</v>
      </c>
      <c r="D72" s="33" t="s">
        <v>313</v>
      </c>
      <c r="E72" s="11">
        <f>Source!BZ31</f>
        <v>105</v>
      </c>
      <c r="F72" s="73" t="str">
        <f>CONCATENATE(" )", Source!DL31, Source!FT31, "=", Source!FX31)</f>
        <v xml:space="preserve"> )*0,9=94,5</v>
      </c>
      <c r="G72" s="83"/>
      <c r="H72" s="36">
        <f>SUM(S66:S80)</f>
        <v>2149.27</v>
      </c>
      <c r="I72" s="39"/>
      <c r="J72" s="31">
        <f>Source!AT31</f>
        <v>95</v>
      </c>
      <c r="K72" s="36">
        <f>SUM(T66:T80)</f>
        <v>14195.41</v>
      </c>
      <c r="L72" s="37"/>
    </row>
    <row r="73" spans="1:26" ht="14.25" x14ac:dyDescent="0.2">
      <c r="A73" s="51"/>
      <c r="B73" s="52"/>
      <c r="C73" s="52" t="s">
        <v>314</v>
      </c>
      <c r="D73" s="33" t="s">
        <v>313</v>
      </c>
      <c r="E73" s="11">
        <f>Source!CA31</f>
        <v>55</v>
      </c>
      <c r="F73" s="73" t="str">
        <f>CONCATENATE(" )", Source!DM31, Source!FU31, "=", Source!FY31)</f>
        <v xml:space="preserve"> )*0,85=46,75</v>
      </c>
      <c r="G73" s="83"/>
      <c r="H73" s="36">
        <f>SUM(U66:U80)</f>
        <v>1063.26</v>
      </c>
      <c r="I73" s="39"/>
      <c r="J73" s="31">
        <f>Source!AU31</f>
        <v>47</v>
      </c>
      <c r="K73" s="36">
        <f>SUM(V66:V80)</f>
        <v>7022.99</v>
      </c>
      <c r="L73" s="37"/>
    </row>
    <row r="74" spans="1:26" ht="14.25" x14ac:dyDescent="0.2">
      <c r="A74" s="51"/>
      <c r="B74" s="52"/>
      <c r="C74" s="52" t="s">
        <v>315</v>
      </c>
      <c r="D74" s="33" t="s">
        <v>316</v>
      </c>
      <c r="E74" s="11">
        <f>Source!AQ31</f>
        <v>166.47</v>
      </c>
      <c r="F74" s="34"/>
      <c r="G74" s="35" t="str">
        <f>Source!DI31</f>
        <v/>
      </c>
      <c r="H74" s="36"/>
      <c r="I74" s="35"/>
      <c r="J74" s="35"/>
      <c r="K74" s="36"/>
      <c r="L74" s="47">
        <f>Source!U31</f>
        <v>246.641952</v>
      </c>
    </row>
    <row r="75" spans="1:26" ht="14.25" x14ac:dyDescent="0.2">
      <c r="A75" s="51" t="str">
        <f>Source!E32</f>
        <v>5,1</v>
      </c>
      <c r="B75" s="52" t="str">
        <f>Source!F32</f>
        <v>01.6.01.11</v>
      </c>
      <c r="C75" s="52" t="str">
        <f>Source!G32</f>
        <v>Листы облицовочные декоративные</v>
      </c>
      <c r="D75" s="33" t="str">
        <f>Source!H32</f>
        <v>м2</v>
      </c>
      <c r="E75" s="11">
        <f>Source!I32</f>
        <v>155.56800000000001</v>
      </c>
      <c r="F75" s="34">
        <f>Source!AL32+Source!AM32+Source!AO32</f>
        <v>0</v>
      </c>
      <c r="G75" s="50" t="s">
        <v>6</v>
      </c>
      <c r="H75" s="36">
        <f>ROUND(Source!AC32*Source!I32, 2)+ROUND(Source!AD32*Source!I32, 2)+ROUND(Source!AF32*Source!I32, 2)</f>
        <v>0</v>
      </c>
      <c r="I75" s="35"/>
      <c r="J75" s="35">
        <f>IF(Source!BC32&lt;&gt; 0, Source!BC32, 1)</f>
        <v>6.57</v>
      </c>
      <c r="K75" s="36">
        <f>Source!O32</f>
        <v>0</v>
      </c>
      <c r="L75" s="37"/>
      <c r="S75">
        <f>ROUND((Source!FX32/100)*((ROUND(Source!AF32*Source!I32, 2)+ROUND(Source!AE32*Source!I32, 2))), 2)</f>
        <v>0</v>
      </c>
      <c r="T75">
        <f>Source!X32</f>
        <v>0</v>
      </c>
      <c r="U75">
        <f>ROUND((Source!FY32/100)*((ROUND(Source!AF32*Source!I32, 2)+ROUND(Source!AE32*Source!I32, 2))), 2)</f>
        <v>0</v>
      </c>
      <c r="V75">
        <f>Source!Y32</f>
        <v>0</v>
      </c>
      <c r="W75">
        <f>IF(Source!BI32&lt;=1,H75, 0)</f>
        <v>0</v>
      </c>
      <c r="X75">
        <f>IF(Source!BI32=2,H75, 0)</f>
        <v>0</v>
      </c>
      <c r="Y75">
        <f>IF(Source!BI32=3,H75, 0)</f>
        <v>0</v>
      </c>
      <c r="Z75">
        <f>IF(Source!BI32=4,H75, 0)</f>
        <v>0</v>
      </c>
    </row>
    <row r="76" spans="1:26" ht="42.75" x14ac:dyDescent="0.2">
      <c r="A76" s="51" t="str">
        <f>Source!E33</f>
        <v>5,2</v>
      </c>
      <c r="B76" s="52" t="str">
        <f>Source!F33</f>
        <v>11.3.03.05-0001</v>
      </c>
      <c r="C76" s="52" t="str">
        <f>Source!G33</f>
        <v>Панели пластиковые для откосов "Реас Пласт" шириной 0,4 м, длиной 3,0 м, белые матовые, лакированные</v>
      </c>
      <c r="D76" s="33" t="str">
        <f>Source!H33</f>
        <v>м2</v>
      </c>
      <c r="E76" s="11">
        <f>Source!I33</f>
        <v>155.56800000000001</v>
      </c>
      <c r="F76" s="34">
        <f>Source!AL33+Source!AM33+Source!AO33</f>
        <v>34.380000000000003</v>
      </c>
      <c r="G76" s="50" t="s">
        <v>6</v>
      </c>
      <c r="H76" s="36">
        <f>ROUND(Source!AC33*Source!I33, 2)+ROUND(Source!AD33*Source!I33, 2)+ROUND(Source!AF33*Source!I33, 2)</f>
        <v>5348.43</v>
      </c>
      <c r="I76" s="35"/>
      <c r="J76" s="35">
        <f>IF(Source!BC33&lt;&gt; 0, Source!BC33, 1)</f>
        <v>6.57</v>
      </c>
      <c r="K76" s="36">
        <f>Source!O33</f>
        <v>35139.17</v>
      </c>
      <c r="L76" s="37"/>
      <c r="S76">
        <f>ROUND((Source!FX33/100)*((ROUND(Source!AF33*Source!I33, 2)+ROUND(Source!AE33*Source!I33, 2))), 2)</f>
        <v>0</v>
      </c>
      <c r="T76">
        <f>Source!X33</f>
        <v>0</v>
      </c>
      <c r="U76">
        <f>ROUND((Source!FY33/100)*((ROUND(Source!AF33*Source!I33, 2)+ROUND(Source!AE33*Source!I33, 2))), 2)</f>
        <v>0</v>
      </c>
      <c r="V76">
        <f>Source!Y33</f>
        <v>0</v>
      </c>
      <c r="W76">
        <f>IF(Source!BI33&lt;=1,H76, 0)</f>
        <v>5348.43</v>
      </c>
      <c r="X76">
        <f>IF(Source!BI33=2,H76, 0)</f>
        <v>0</v>
      </c>
      <c r="Y76">
        <f>IF(Source!BI33=3,H76, 0)</f>
        <v>0</v>
      </c>
      <c r="Z76">
        <f>IF(Source!BI33=4,H76, 0)</f>
        <v>0</v>
      </c>
    </row>
    <row r="77" spans="1:26" ht="14.25" x14ac:dyDescent="0.2">
      <c r="A77" s="51" t="str">
        <f>Source!E34</f>
        <v>5,3</v>
      </c>
      <c r="B77" s="52" t="str">
        <f>Source!F34</f>
        <v>14.1.06.05</v>
      </c>
      <c r="C77" s="52" t="str">
        <f>Source!G34</f>
        <v>Клей</v>
      </c>
      <c r="D77" s="33" t="str">
        <f>Source!H34</f>
        <v>кг</v>
      </c>
      <c r="E77" s="11">
        <f>Source!I34</f>
        <v>44.448</v>
      </c>
      <c r="F77" s="34">
        <f>Source!AL34+Source!AM34+Source!AO34</f>
        <v>0</v>
      </c>
      <c r="G77" s="50" t="s">
        <v>6</v>
      </c>
      <c r="H77" s="36">
        <f>ROUND(Source!AC34*Source!I34, 2)+ROUND(Source!AD34*Source!I34, 2)+ROUND(Source!AF34*Source!I34, 2)</f>
        <v>0</v>
      </c>
      <c r="I77" s="35"/>
      <c r="J77" s="35">
        <f>IF(Source!BC34&lt;&gt; 0, Source!BC34, 1)</f>
        <v>6.57</v>
      </c>
      <c r="K77" s="36">
        <f>Source!O34</f>
        <v>0</v>
      </c>
      <c r="L77" s="37"/>
      <c r="S77">
        <f>ROUND((Source!FX34/100)*((ROUND(Source!AF34*Source!I34, 2)+ROUND(Source!AE34*Source!I34, 2))), 2)</f>
        <v>0</v>
      </c>
      <c r="T77">
        <f>Source!X34</f>
        <v>0</v>
      </c>
      <c r="U77">
        <f>ROUND((Source!FY34/100)*((ROUND(Source!AF34*Source!I34, 2)+ROUND(Source!AE34*Source!I34, 2))), 2)</f>
        <v>0</v>
      </c>
      <c r="V77">
        <f>Source!Y34</f>
        <v>0</v>
      </c>
      <c r="W77">
        <f>IF(Source!BI34&lt;=1,H77, 0)</f>
        <v>0</v>
      </c>
      <c r="X77">
        <f>IF(Source!BI34=2,H77, 0)</f>
        <v>0</v>
      </c>
      <c r="Y77">
        <f>IF(Source!BI34=3,H77, 0)</f>
        <v>0</v>
      </c>
      <c r="Z77">
        <f>IF(Source!BI34=4,H77, 0)</f>
        <v>0</v>
      </c>
    </row>
    <row r="78" spans="1:26" ht="28.5" x14ac:dyDescent="0.2">
      <c r="A78" s="51" t="str">
        <f>Source!E35</f>
        <v>5,4</v>
      </c>
      <c r="B78" s="52" t="str">
        <f>Source!F35</f>
        <v>14.1.02.03-0002</v>
      </c>
      <c r="C78" s="52" t="str">
        <f>Source!G35</f>
        <v>Клей ПВА</v>
      </c>
      <c r="D78" s="33" t="str">
        <f>Source!H35</f>
        <v>кг</v>
      </c>
      <c r="E78" s="11">
        <f>Source!I35</f>
        <v>44.448</v>
      </c>
      <c r="F78" s="34">
        <f>Source!AL35+Source!AM35+Source!AO35</f>
        <v>15.9</v>
      </c>
      <c r="G78" s="50" t="s">
        <v>6</v>
      </c>
      <c r="H78" s="36">
        <f>ROUND(Source!AC35*Source!I35, 2)+ROUND(Source!AD35*Source!I35, 2)+ROUND(Source!AF35*Source!I35, 2)</f>
        <v>706.72</v>
      </c>
      <c r="I78" s="35"/>
      <c r="J78" s="35">
        <f>IF(Source!BC35&lt;&gt; 0, Source!BC35, 1)</f>
        <v>6.57</v>
      </c>
      <c r="K78" s="36">
        <f>Source!O35</f>
        <v>4643.17</v>
      </c>
      <c r="L78" s="37"/>
      <c r="S78">
        <f>ROUND((Source!FX35/100)*((ROUND(Source!AF35*Source!I35, 2)+ROUND(Source!AE35*Source!I35, 2))), 2)</f>
        <v>0</v>
      </c>
      <c r="T78">
        <f>Source!X35</f>
        <v>0</v>
      </c>
      <c r="U78">
        <f>ROUND((Source!FY35/100)*((ROUND(Source!AF35*Source!I35, 2)+ROUND(Source!AE35*Source!I35, 2))), 2)</f>
        <v>0</v>
      </c>
      <c r="V78">
        <f>Source!Y35</f>
        <v>0</v>
      </c>
      <c r="W78">
        <f>IF(Source!BI35&lt;=1,H78, 0)</f>
        <v>706.72</v>
      </c>
      <c r="X78">
        <f>IF(Source!BI35=2,H78, 0)</f>
        <v>0</v>
      </c>
      <c r="Y78">
        <f>IF(Source!BI35=3,H78, 0)</f>
        <v>0</v>
      </c>
      <c r="Z78">
        <f>IF(Source!BI35=4,H78, 0)</f>
        <v>0</v>
      </c>
    </row>
    <row r="79" spans="1:26" ht="28.5" x14ac:dyDescent="0.2">
      <c r="A79" s="51" t="str">
        <f>Source!E36</f>
        <v>5,5</v>
      </c>
      <c r="B79" s="52" t="str">
        <f>Source!F36</f>
        <v>14.3.01.01-0001</v>
      </c>
      <c r="C79" s="52" t="str">
        <f>Source!G36</f>
        <v>Грунтовка: «Бетоконтакт», КНАУФ</v>
      </c>
      <c r="D79" s="33" t="str">
        <f>Source!H36</f>
        <v>кг</v>
      </c>
      <c r="E79" s="11">
        <f>Source!I36</f>
        <v>13.18652</v>
      </c>
      <c r="F79" s="34">
        <f>Source!AL36+Source!AM36+Source!AO36</f>
        <v>15.09</v>
      </c>
      <c r="G79" s="50" t="s">
        <v>6</v>
      </c>
      <c r="H79" s="36">
        <f>ROUND(Source!AC36*Source!I36, 2)+ROUND(Source!AD36*Source!I36, 2)+ROUND(Source!AF36*Source!I36, 2)</f>
        <v>198.98</v>
      </c>
      <c r="I79" s="35"/>
      <c r="J79" s="35">
        <f>IF(Source!BC36&lt;&gt; 0, Source!BC36, 1)</f>
        <v>6.57</v>
      </c>
      <c r="K79" s="36">
        <f>Source!O36</f>
        <v>1307.33</v>
      </c>
      <c r="L79" s="37"/>
      <c r="S79">
        <f>ROUND((Source!FX36/100)*((ROUND(Source!AF36*Source!I36, 2)+ROUND(Source!AE36*Source!I36, 2))), 2)</f>
        <v>0</v>
      </c>
      <c r="T79">
        <f>Source!X36</f>
        <v>0</v>
      </c>
      <c r="U79">
        <f>ROUND((Source!FY36/100)*((ROUND(Source!AF36*Source!I36, 2)+ROUND(Source!AE36*Source!I36, 2))), 2)</f>
        <v>0</v>
      </c>
      <c r="V79">
        <f>Source!Y36</f>
        <v>0</v>
      </c>
      <c r="W79">
        <f>IF(Source!BI36&lt;=1,H79, 0)</f>
        <v>198.98</v>
      </c>
      <c r="X79">
        <f>IF(Source!BI36=2,H79, 0)</f>
        <v>0</v>
      </c>
      <c r="Y79">
        <f>IF(Source!BI36=3,H79, 0)</f>
        <v>0</v>
      </c>
      <c r="Z79">
        <f>IF(Source!BI36=4,H79, 0)</f>
        <v>0</v>
      </c>
    </row>
    <row r="80" spans="1:26" ht="14.25" x14ac:dyDescent="0.2">
      <c r="A80" s="53" t="str">
        <f>Source!E37</f>
        <v>5,6</v>
      </c>
      <c r="B80" s="54" t="str">
        <f>Source!F37</f>
        <v>14.4.01.21</v>
      </c>
      <c r="C80" s="54" t="str">
        <f>Source!G37</f>
        <v>Грунтовка</v>
      </c>
      <c r="D80" s="40" t="str">
        <f>Source!H37</f>
        <v>т</v>
      </c>
      <c r="E80" s="41">
        <f>Source!I37</f>
        <v>1.3185999999999998E-2</v>
      </c>
      <c r="F80" s="42">
        <f>Source!AL37+Source!AM37+Source!AO37</f>
        <v>0</v>
      </c>
      <c r="G80" s="48" t="s">
        <v>6</v>
      </c>
      <c r="H80" s="44">
        <f>ROUND(Source!AC37*Source!I37, 2)+ROUND(Source!AD37*Source!I37, 2)+ROUND(Source!AF37*Source!I37, 2)</f>
        <v>0</v>
      </c>
      <c r="I80" s="43"/>
      <c r="J80" s="43">
        <f>IF(Source!BC37&lt;&gt; 0, Source!BC37, 1)</f>
        <v>6.57</v>
      </c>
      <c r="K80" s="44">
        <f>Source!O37</f>
        <v>0</v>
      </c>
      <c r="L80" s="49"/>
      <c r="S80">
        <f>ROUND((Source!FX37/100)*((ROUND(Source!AF37*Source!I37, 2)+ROUND(Source!AE37*Source!I37, 2))), 2)</f>
        <v>0</v>
      </c>
      <c r="T80">
        <f>Source!X37</f>
        <v>0</v>
      </c>
      <c r="U80">
        <f>ROUND((Source!FY37/100)*((ROUND(Source!AF37*Source!I37, 2)+ROUND(Source!AE37*Source!I37, 2))), 2)</f>
        <v>0</v>
      </c>
      <c r="V80">
        <f>Source!Y37</f>
        <v>0</v>
      </c>
      <c r="W80">
        <f>IF(Source!BI37&lt;=1,H80, 0)</f>
        <v>0</v>
      </c>
      <c r="X80">
        <f>IF(Source!BI37=2,H80, 0)</f>
        <v>0</v>
      </c>
      <c r="Y80">
        <f>IF(Source!BI37=3,H80, 0)</f>
        <v>0</v>
      </c>
      <c r="Z80">
        <f>IF(Source!BI37=4,H80, 0)</f>
        <v>0</v>
      </c>
    </row>
    <row r="81" spans="1:26" ht="15" x14ac:dyDescent="0.25">
      <c r="G81" s="84">
        <f>H68+H69+H71+H72+H73+SUM(H75:H80)</f>
        <v>11783.75</v>
      </c>
      <c r="H81" s="84"/>
      <c r="J81" s="84">
        <f>K68+K69+K71+K72+K73+SUM(K75:K80)</f>
        <v>77531.34</v>
      </c>
      <c r="K81" s="84"/>
      <c r="L81" s="46">
        <f>Source!U31</f>
        <v>246.641952</v>
      </c>
      <c r="O81" s="27">
        <f>G81</f>
        <v>11783.75</v>
      </c>
      <c r="P81" s="27">
        <f>J81</f>
        <v>77531.34</v>
      </c>
      <c r="Q81" s="27">
        <f>L81</f>
        <v>246.641952</v>
      </c>
      <c r="W81">
        <f>IF(Source!BI31&lt;=1,H68+H69+H71+H72+H73, 0)</f>
        <v>5529.6200000000008</v>
      </c>
      <c r="X81">
        <f>IF(Source!BI31=2,H68+H69+H71+H72+H73, 0)</f>
        <v>0</v>
      </c>
      <c r="Y81">
        <f>IF(Source!BI31=3,H68+H69+H71+H72+H73, 0)</f>
        <v>0</v>
      </c>
      <c r="Z81">
        <f>IF(Source!BI31=4,H68+H69+H71+H72+H73, 0)</f>
        <v>0</v>
      </c>
    </row>
    <row r="82" spans="1:26" ht="28.5" x14ac:dyDescent="0.2">
      <c r="A82" s="51" t="str">
        <f>Source!E38</f>
        <v>6</v>
      </c>
      <c r="B82" s="52" t="str">
        <f>Source!F38</f>
        <v>10-01-036-01</v>
      </c>
      <c r="C82" s="52" t="str">
        <f>Source!G38</f>
        <v>Установка уголков ПВХ на клее</v>
      </c>
      <c r="D82" s="33" t="str">
        <f>Source!H38</f>
        <v>100 м</v>
      </c>
      <c r="E82" s="11">
        <f>Source!I38</f>
        <v>2.9632000000000001</v>
      </c>
      <c r="F82" s="34">
        <f>Source!AL38+Source!AM38+Source!AO38</f>
        <v>93.15</v>
      </c>
      <c r="G82" s="35"/>
      <c r="H82" s="36"/>
      <c r="I82" s="35" t="str">
        <f>Source!BO38</f>
        <v/>
      </c>
      <c r="J82" s="35"/>
      <c r="K82" s="36"/>
      <c r="L82" s="37"/>
      <c r="S82">
        <f>ROUND((Source!FX38/100)*((ROUND(Source!AF38*Source!I38, 2)+ROUND(Source!AE38*Source!I38, 2))), 2)</f>
        <v>179.85</v>
      </c>
      <c r="T82">
        <f>Source!X38</f>
        <v>1179.3699999999999</v>
      </c>
      <c r="U82">
        <f>ROUND((Source!FY38/100)*((ROUND(Source!AF38*Source!I38, 2)+ROUND(Source!AE38*Source!I38, 2))), 2)</f>
        <v>90.69</v>
      </c>
      <c r="V82">
        <f>Source!Y38</f>
        <v>600.80999999999995</v>
      </c>
    </row>
    <row r="83" spans="1:26" x14ac:dyDescent="0.2">
      <c r="C83" s="26" t="str">
        <f>"Объем: "&amp;Source!I38&amp;"=296,32/"&amp;"100"</f>
        <v>Объем: 2,9632=296,32/100</v>
      </c>
    </row>
    <row r="84" spans="1:26" ht="14.25" x14ac:dyDescent="0.2">
      <c r="A84" s="51"/>
      <c r="B84" s="52"/>
      <c r="C84" s="52" t="s">
        <v>310</v>
      </c>
      <c r="D84" s="33"/>
      <c r="E84" s="11"/>
      <c r="F84" s="34">
        <f>Source!AO38</f>
        <v>57.15</v>
      </c>
      <c r="G84" s="35" t="str">
        <f>Source!DG38</f>
        <v/>
      </c>
      <c r="H84" s="36">
        <f>ROUND(Source!AF38*Source!I38, 2)</f>
        <v>169.35</v>
      </c>
      <c r="I84" s="35"/>
      <c r="J84" s="35">
        <f>IF(Source!BA38&lt;&gt; 0, Source!BA38, 1)</f>
        <v>6.57</v>
      </c>
      <c r="K84" s="36">
        <f>Source!S38</f>
        <v>1112.6099999999999</v>
      </c>
      <c r="L84" s="37"/>
      <c r="R84">
        <f>H84</f>
        <v>169.35</v>
      </c>
    </row>
    <row r="85" spans="1:26" ht="14.25" x14ac:dyDescent="0.2">
      <c r="A85" s="51"/>
      <c r="B85" s="52"/>
      <c r="C85" s="52" t="s">
        <v>317</v>
      </c>
      <c r="D85" s="33"/>
      <c r="E85" s="11"/>
      <c r="F85" s="34">
        <f>Source!AL38</f>
        <v>36</v>
      </c>
      <c r="G85" s="35" t="str">
        <f>Source!DD38</f>
        <v/>
      </c>
      <c r="H85" s="36">
        <f>ROUND(Source!AC38*Source!I38, 2)</f>
        <v>106.68</v>
      </c>
      <c r="I85" s="35"/>
      <c r="J85" s="35">
        <f>IF(Source!BC38&lt;&gt; 0, Source!BC38, 1)</f>
        <v>6.57</v>
      </c>
      <c r="K85" s="36">
        <f>Source!P38</f>
        <v>700.86</v>
      </c>
      <c r="L85" s="37"/>
    </row>
    <row r="86" spans="1:26" ht="14.25" x14ac:dyDescent="0.2">
      <c r="A86" s="51"/>
      <c r="B86" s="52"/>
      <c r="C86" s="52" t="s">
        <v>312</v>
      </c>
      <c r="D86" s="33" t="s">
        <v>313</v>
      </c>
      <c r="E86" s="11">
        <f>Source!BZ38</f>
        <v>118</v>
      </c>
      <c r="F86" s="73" t="str">
        <f>CONCATENATE(" )", Source!DL38, Source!FT38, "=", Source!FX38)</f>
        <v xml:space="preserve"> )*0,9=106,2</v>
      </c>
      <c r="G86" s="83"/>
      <c r="H86" s="36">
        <f>SUM(S82:S90)</f>
        <v>179.85</v>
      </c>
      <c r="I86" s="39"/>
      <c r="J86" s="31">
        <f>Source!AT38</f>
        <v>106</v>
      </c>
      <c r="K86" s="36">
        <f>SUM(T82:T90)</f>
        <v>1179.3699999999999</v>
      </c>
      <c r="L86" s="37"/>
    </row>
    <row r="87" spans="1:26" ht="14.25" x14ac:dyDescent="0.2">
      <c r="A87" s="51"/>
      <c r="B87" s="52"/>
      <c r="C87" s="52" t="s">
        <v>314</v>
      </c>
      <c r="D87" s="33" t="s">
        <v>313</v>
      </c>
      <c r="E87" s="11">
        <f>Source!CA38</f>
        <v>63</v>
      </c>
      <c r="F87" s="73" t="str">
        <f>CONCATENATE(" )", Source!DM38, Source!FU38, "=", Source!FY38)</f>
        <v xml:space="preserve"> )*0,85=53,55</v>
      </c>
      <c r="G87" s="83"/>
      <c r="H87" s="36">
        <f>SUM(U82:U90)</f>
        <v>90.69</v>
      </c>
      <c r="I87" s="39"/>
      <c r="J87" s="31">
        <f>Source!AU38</f>
        <v>54</v>
      </c>
      <c r="K87" s="36">
        <f>SUM(V82:V90)</f>
        <v>600.80999999999995</v>
      </c>
      <c r="L87" s="37"/>
    </row>
    <row r="88" spans="1:26" ht="14.25" x14ac:dyDescent="0.2">
      <c r="A88" s="51"/>
      <c r="B88" s="52"/>
      <c r="C88" s="52" t="s">
        <v>315</v>
      </c>
      <c r="D88" s="33" t="s">
        <v>316</v>
      </c>
      <c r="E88" s="11">
        <f>Source!AQ38</f>
        <v>6.7</v>
      </c>
      <c r="F88" s="34"/>
      <c r="G88" s="35" t="str">
        <f>Source!DI38</f>
        <v/>
      </c>
      <c r="H88" s="36"/>
      <c r="I88" s="35"/>
      <c r="J88" s="35"/>
      <c r="K88" s="36"/>
      <c r="L88" s="47">
        <f>Source!U38</f>
        <v>19.853440000000003</v>
      </c>
    </row>
    <row r="89" spans="1:26" ht="14.25" x14ac:dyDescent="0.2">
      <c r="A89" s="51" t="str">
        <f>Source!E39</f>
        <v>6,1</v>
      </c>
      <c r="B89" s="52" t="str">
        <f>Source!F39</f>
        <v>11.3.03.13</v>
      </c>
      <c r="C89" s="52" t="str">
        <f>Source!G39</f>
        <v>Уголок ПВХ</v>
      </c>
      <c r="D89" s="33" t="str">
        <f>Source!H39</f>
        <v>П.М</v>
      </c>
      <c r="E89" s="11">
        <f>Source!I39</f>
        <v>296.32</v>
      </c>
      <c r="F89" s="34">
        <f>Source!AL39+Source!AM39+Source!AO39</f>
        <v>0</v>
      </c>
      <c r="G89" s="50" t="s">
        <v>6</v>
      </c>
      <c r="H89" s="36">
        <f>ROUND(Source!AC39*Source!I39, 2)+ROUND(Source!AD39*Source!I39, 2)+ROUND(Source!AF39*Source!I39, 2)</f>
        <v>0</v>
      </c>
      <c r="I89" s="35"/>
      <c r="J89" s="35">
        <f>IF(Source!BC39&lt;&gt; 0, Source!BC39, 1)</f>
        <v>6.57</v>
      </c>
      <c r="K89" s="36">
        <f>Source!O39</f>
        <v>0</v>
      </c>
      <c r="L89" s="37"/>
      <c r="S89">
        <f>ROUND((Source!FX39/100)*((ROUND(Source!AF39*Source!I39, 2)+ROUND(Source!AE39*Source!I39, 2))), 2)</f>
        <v>0</v>
      </c>
      <c r="T89">
        <f>Source!X39</f>
        <v>0</v>
      </c>
      <c r="U89">
        <f>ROUND((Source!FY39/100)*((ROUND(Source!AF39*Source!I39, 2)+ROUND(Source!AE39*Source!I39, 2))), 2)</f>
        <v>0</v>
      </c>
      <c r="V89">
        <f>Source!Y39</f>
        <v>0</v>
      </c>
      <c r="W89">
        <f>IF(Source!BI39&lt;=1,H89, 0)</f>
        <v>0</v>
      </c>
      <c r="X89">
        <f>IF(Source!BI39=2,H89, 0)</f>
        <v>0</v>
      </c>
      <c r="Y89">
        <f>IF(Source!BI39=3,H89, 0)</f>
        <v>0</v>
      </c>
      <c r="Z89">
        <f>IF(Source!BI39=4,H89, 0)</f>
        <v>0</v>
      </c>
    </row>
    <row r="90" spans="1:26" ht="28.5" x14ac:dyDescent="0.2">
      <c r="A90" s="53" t="str">
        <f>Source!E40</f>
        <v>6,2</v>
      </c>
      <c r="B90" s="54" t="str">
        <f>Source!F40</f>
        <v>11.3.03.13-0043</v>
      </c>
      <c r="C90" s="54" t="str">
        <f>Source!G40</f>
        <v>Уголок ПВХ, размером 20х20 мм</v>
      </c>
      <c r="D90" s="40" t="str">
        <f>Source!H40</f>
        <v>10 м</v>
      </c>
      <c r="E90" s="41">
        <f>Source!I40</f>
        <v>29.632000000000001</v>
      </c>
      <c r="F90" s="42">
        <f>Source!AL40+Source!AM40+Source!AO40</f>
        <v>25.6</v>
      </c>
      <c r="G90" s="48" t="s">
        <v>6</v>
      </c>
      <c r="H90" s="44">
        <f>ROUND(Source!AC40*Source!I40, 2)+ROUND(Source!AD40*Source!I40, 2)+ROUND(Source!AF40*Source!I40, 2)</f>
        <v>758.58</v>
      </c>
      <c r="I90" s="43"/>
      <c r="J90" s="43">
        <f>IF(Source!BC40&lt;&gt; 0, Source!BC40, 1)</f>
        <v>6.57</v>
      </c>
      <c r="K90" s="44">
        <f>Source!O40</f>
        <v>4983.87</v>
      </c>
      <c r="L90" s="49"/>
      <c r="S90">
        <f>ROUND((Source!FX40/100)*((ROUND(Source!AF40*Source!I40, 2)+ROUND(Source!AE40*Source!I40, 2))), 2)</f>
        <v>0</v>
      </c>
      <c r="T90">
        <f>Source!X40</f>
        <v>0</v>
      </c>
      <c r="U90">
        <f>ROUND((Source!FY40/100)*((ROUND(Source!AF40*Source!I40, 2)+ROUND(Source!AE40*Source!I40, 2))), 2)</f>
        <v>0</v>
      </c>
      <c r="V90">
        <f>Source!Y40</f>
        <v>0</v>
      </c>
      <c r="W90">
        <f>IF(Source!BI40&lt;=1,H90, 0)</f>
        <v>758.58</v>
      </c>
      <c r="X90">
        <f>IF(Source!BI40=2,H90, 0)</f>
        <v>0</v>
      </c>
      <c r="Y90">
        <f>IF(Source!BI40=3,H90, 0)</f>
        <v>0</v>
      </c>
      <c r="Z90">
        <f>IF(Source!BI40=4,H90, 0)</f>
        <v>0</v>
      </c>
    </row>
    <row r="91" spans="1:26" ht="15" x14ac:dyDescent="0.25">
      <c r="G91" s="84">
        <f>H84+H85+H86+H87+SUM(H89:H90)</f>
        <v>1305.1500000000001</v>
      </c>
      <c r="H91" s="84"/>
      <c r="J91" s="84">
        <f>K84+K85+K86+K87+SUM(K89:K90)</f>
        <v>8577.52</v>
      </c>
      <c r="K91" s="84"/>
      <c r="L91" s="46">
        <f>Source!U38</f>
        <v>19.853440000000003</v>
      </c>
      <c r="O91" s="27">
        <f>G91</f>
        <v>1305.1500000000001</v>
      </c>
      <c r="P91" s="27">
        <f>J91</f>
        <v>8577.52</v>
      </c>
      <c r="Q91" s="27">
        <f>L91</f>
        <v>19.853440000000003</v>
      </c>
      <c r="W91">
        <f>IF(Source!BI38&lt;=1,H84+H85+H86+H87, 0)</f>
        <v>546.56999999999994</v>
      </c>
      <c r="X91">
        <f>IF(Source!BI38=2,H84+H85+H86+H87, 0)</f>
        <v>0</v>
      </c>
      <c r="Y91">
        <f>IF(Source!BI38=3,H84+H85+H86+H87, 0)</f>
        <v>0</v>
      </c>
      <c r="Z91">
        <f>IF(Source!BI38=4,H84+H85+H86+H87, 0)</f>
        <v>0</v>
      </c>
    </row>
    <row r="92" spans="1:26" ht="42.75" x14ac:dyDescent="0.2">
      <c r="A92" s="53" t="str">
        <f>Source!E41</f>
        <v>7</v>
      </c>
      <c r="B92" s="54" t="str">
        <f>Source!F41</f>
        <v>т01-01-01-041</v>
      </c>
      <c r="C92" s="54" t="str">
        <f>Source!G41</f>
        <v>Погрузочные работы при автомобильных перевозках мусора строительного с погрузкой вручную</v>
      </c>
      <c r="D92" s="40" t="str">
        <f>Source!H41</f>
        <v>1 Т ГРУЗА</v>
      </c>
      <c r="E92" s="41">
        <f>Source!I41</f>
        <v>4.3</v>
      </c>
      <c r="F92" s="42">
        <f>Source!AK41</f>
        <v>42.98</v>
      </c>
      <c r="G92" s="43" t="str">
        <f>Source!DC41</f>
        <v/>
      </c>
      <c r="H92" s="44">
        <f>ROUND(Source!AB41*Source!I41, 2)</f>
        <v>184.81</v>
      </c>
      <c r="I92" s="43" t="str">
        <f>Source!BO41</f>
        <v/>
      </c>
      <c r="J92" s="43">
        <f>Source!AZ41</f>
        <v>6.57</v>
      </c>
      <c r="K92" s="44">
        <f>Source!GM41</f>
        <v>1214.23</v>
      </c>
      <c r="L92" s="49"/>
      <c r="S92">
        <f>ROUND((Source!FX41/100)*((ROUND(0*Source!I41, 2)+ROUND(0*Source!I41, 2))), 2)</f>
        <v>0</v>
      </c>
      <c r="T92">
        <f>Source!X41</f>
        <v>0</v>
      </c>
      <c r="U92">
        <f>ROUND((Source!FY41/100)*((ROUND(0*Source!I41, 2)+ROUND(0*Source!I41, 2))), 2)</f>
        <v>0</v>
      </c>
      <c r="V92">
        <f>Source!Y41</f>
        <v>0</v>
      </c>
    </row>
    <row r="93" spans="1:26" ht="15" x14ac:dyDescent="0.25">
      <c r="G93" s="84">
        <f>H92</f>
        <v>184.81</v>
      </c>
      <c r="H93" s="84"/>
      <c r="J93" s="84">
        <f>K92</f>
        <v>1214.23</v>
      </c>
      <c r="K93" s="84"/>
      <c r="L93" s="46">
        <f>Source!U41</f>
        <v>0</v>
      </c>
      <c r="O93" s="27">
        <f>G93</f>
        <v>184.81</v>
      </c>
      <c r="P93" s="27">
        <f>J93</f>
        <v>1214.23</v>
      </c>
      <c r="Q93" s="27">
        <f>L93</f>
        <v>0</v>
      </c>
      <c r="W93">
        <f>IF(Source!BI41&lt;=1,H92, 0)</f>
        <v>184.81</v>
      </c>
      <c r="X93">
        <f>IF(Source!BI41=2,H92, 0)</f>
        <v>0</v>
      </c>
      <c r="Y93">
        <f>IF(Source!BI41=3,H92, 0)</f>
        <v>0</v>
      </c>
      <c r="Z93">
        <f>IF(Source!BI41=4,H92, 0)</f>
        <v>0</v>
      </c>
    </row>
    <row r="94" spans="1:26" ht="57" x14ac:dyDescent="0.2">
      <c r="A94" s="53" t="str">
        <f>Source!E42</f>
        <v>8</v>
      </c>
      <c r="B94" s="54" t="str">
        <f>Source!F42</f>
        <v>т03-21-01-015</v>
      </c>
      <c r="C94" s="54" t="str">
        <f>Source!G42</f>
        <v>Перевозка грузов I класса автомобилями-самосвалами грузоподъемностью 10 т работающих вне карьера на расстояние до 15 км</v>
      </c>
      <c r="D94" s="40" t="str">
        <f>Source!H42</f>
        <v>1 Т ГРУЗА</v>
      </c>
      <c r="E94" s="41">
        <f>Source!I42</f>
        <v>4.3</v>
      </c>
      <c r="F94" s="42">
        <f>Source!AK42</f>
        <v>13.38</v>
      </c>
      <c r="G94" s="43" t="str">
        <f>Source!DC42</f>
        <v/>
      </c>
      <c r="H94" s="44">
        <f>ROUND(Source!AB42*Source!I42, 2)</f>
        <v>57.53</v>
      </c>
      <c r="I94" s="43" t="str">
        <f>Source!BO42</f>
        <v/>
      </c>
      <c r="J94" s="43">
        <f>Source!AZ42</f>
        <v>6.57</v>
      </c>
      <c r="K94" s="44">
        <f>Source!GM42</f>
        <v>378</v>
      </c>
      <c r="L94" s="49"/>
      <c r="S94">
        <f>ROUND((Source!FX42/100)*((ROUND(0*Source!I42, 2)+ROUND(0*Source!I42, 2))), 2)</f>
        <v>0</v>
      </c>
      <c r="T94">
        <f>Source!X42</f>
        <v>0</v>
      </c>
      <c r="U94">
        <f>ROUND((Source!FY42/100)*((ROUND(0*Source!I42, 2)+ROUND(0*Source!I42, 2))), 2)</f>
        <v>0</v>
      </c>
      <c r="V94">
        <f>Source!Y42</f>
        <v>0</v>
      </c>
    </row>
    <row r="95" spans="1:26" ht="15" x14ac:dyDescent="0.25">
      <c r="G95" s="84">
        <f>H94</f>
        <v>57.53</v>
      </c>
      <c r="H95" s="84"/>
      <c r="J95" s="84">
        <f>K94</f>
        <v>378</v>
      </c>
      <c r="K95" s="84"/>
      <c r="L95" s="46">
        <f>Source!U42</f>
        <v>0</v>
      </c>
      <c r="O95" s="27">
        <f>G95</f>
        <v>57.53</v>
      </c>
      <c r="P95" s="27">
        <f>J95</f>
        <v>378</v>
      </c>
      <c r="Q95" s="27">
        <f>L95</f>
        <v>0</v>
      </c>
      <c r="W95">
        <f>IF(Source!BI42&lt;=1,H94, 0)</f>
        <v>57.53</v>
      </c>
      <c r="X95">
        <f>IF(Source!BI42=2,H94, 0)</f>
        <v>0</v>
      </c>
      <c r="Y95">
        <f>IF(Source!BI42=3,H94, 0)</f>
        <v>0</v>
      </c>
      <c r="Z95">
        <f>IF(Source!BI42=4,H94, 0)</f>
        <v>0</v>
      </c>
    </row>
    <row r="97" spans="1:12" ht="15" x14ac:dyDescent="0.25">
      <c r="A97" s="86" t="str">
        <f>CONCATENATE("Итого по локальной смете: ",IF(Source!G44&lt;&gt;"Новая локальная смета", Source!G44, ""))</f>
        <v xml:space="preserve">Итого по локальной смете: </v>
      </c>
      <c r="B97" s="86"/>
      <c r="C97" s="86"/>
      <c r="D97" s="86"/>
      <c r="E97" s="86"/>
      <c r="F97" s="86"/>
      <c r="G97" s="87">
        <f>SUM(O23:O96)</f>
        <v>149963.19</v>
      </c>
      <c r="H97" s="87"/>
      <c r="I97" s="30"/>
      <c r="J97" s="87">
        <f>SUM(P23:P96)</f>
        <v>985498.78000000014</v>
      </c>
      <c r="K97" s="87"/>
      <c r="L97" s="46">
        <f>SUM(Q23:Q96)</f>
        <v>881.46275200000002</v>
      </c>
    </row>
    <row r="98" spans="1:12" ht="15" x14ac:dyDescent="0.25">
      <c r="C98" s="86" t="str">
        <f>Source!H105</f>
        <v>Итого НДС 18%</v>
      </c>
      <c r="D98" s="86"/>
      <c r="E98" s="86"/>
      <c r="F98" s="86"/>
      <c r="G98" s="86"/>
      <c r="H98" s="86"/>
      <c r="I98" s="86"/>
      <c r="J98" s="87">
        <f>IF(Source!F105=0, "", Source!F105)</f>
        <v>177389.78</v>
      </c>
      <c r="K98" s="87"/>
    </row>
    <row r="99" spans="1:12" ht="15" x14ac:dyDescent="0.25">
      <c r="C99" s="86" t="str">
        <f>Source!H106</f>
        <v>Всего по смете</v>
      </c>
      <c r="D99" s="86"/>
      <c r="E99" s="86"/>
      <c r="F99" s="86"/>
      <c r="G99" s="86"/>
      <c r="H99" s="86"/>
      <c r="I99" s="86"/>
      <c r="J99" s="87">
        <f>IF(Source!F106=0, "", Source!F106)</f>
        <v>1162888.56</v>
      </c>
      <c r="K99" s="87"/>
    </row>
    <row r="102" spans="1:12" ht="14.25" x14ac:dyDescent="0.2">
      <c r="A102" s="29" t="s">
        <v>321</v>
      </c>
      <c r="B102" s="29"/>
      <c r="C102" s="11" t="s">
        <v>322</v>
      </c>
      <c r="D102" s="28" t="str">
        <f>IF(Source!AC12&lt;&gt;"", Source!AC12," ")</f>
        <v xml:space="preserve"> </v>
      </c>
      <c r="E102" s="28"/>
      <c r="F102" s="28"/>
      <c r="G102" s="28"/>
      <c r="H102" s="28"/>
      <c r="I102" s="12" t="str">
        <f>IF(Source!AB12&lt;&gt;"", Source!AB12," ")</f>
        <v xml:space="preserve"> </v>
      </c>
      <c r="J102" s="12"/>
      <c r="K102" s="12"/>
      <c r="L102" s="12"/>
    </row>
    <row r="103" spans="1:12" ht="14.25" x14ac:dyDescent="0.2">
      <c r="A103" s="12"/>
      <c r="B103" s="12"/>
      <c r="C103" s="11"/>
      <c r="D103" s="82" t="s">
        <v>323</v>
      </c>
      <c r="E103" s="82"/>
      <c r="F103" s="82"/>
      <c r="G103" s="82"/>
      <c r="H103" s="82"/>
      <c r="I103" s="12"/>
      <c r="J103" s="12"/>
      <c r="K103" s="12"/>
      <c r="L103" s="12"/>
    </row>
    <row r="104" spans="1:12" ht="14.25" x14ac:dyDescent="0.2">
      <c r="A104" s="12"/>
      <c r="B104" s="12"/>
      <c r="C104" s="11"/>
      <c r="D104" s="12"/>
      <c r="E104" s="12"/>
      <c r="F104" s="12"/>
      <c r="G104" s="12"/>
      <c r="H104" s="12"/>
      <c r="I104" s="12"/>
      <c r="J104" s="12"/>
      <c r="K104" s="12"/>
      <c r="L104" s="12"/>
    </row>
    <row r="105" spans="1:12" ht="14.25" x14ac:dyDescent="0.2">
      <c r="A105" s="29" t="s">
        <v>321</v>
      </c>
      <c r="B105" s="29"/>
      <c r="C105" s="11" t="s">
        <v>324</v>
      </c>
      <c r="D105" s="28" t="str">
        <f>IF(Source!AE12&lt;&gt;"", Source!AE12," ")</f>
        <v xml:space="preserve"> </v>
      </c>
      <c r="E105" s="28"/>
      <c r="F105" s="28"/>
      <c r="G105" s="28"/>
      <c r="H105" s="28"/>
      <c r="I105" s="12" t="str">
        <f>IF(Source!AD12&lt;&gt;"", Source!AD12," ")</f>
        <v xml:space="preserve"> </v>
      </c>
      <c r="J105" s="12"/>
      <c r="K105" s="12"/>
      <c r="L105" s="12"/>
    </row>
    <row r="106" spans="1:12" ht="14.25" x14ac:dyDescent="0.2">
      <c r="A106" s="12"/>
      <c r="B106" s="12"/>
      <c r="C106" s="12"/>
      <c r="D106" s="82" t="s">
        <v>323</v>
      </c>
      <c r="E106" s="82"/>
      <c r="F106" s="82"/>
      <c r="G106" s="82"/>
      <c r="H106" s="82"/>
      <c r="I106" s="12"/>
      <c r="J106" s="12"/>
      <c r="K106" s="12"/>
      <c r="L106" s="12"/>
    </row>
  </sheetData>
  <mergeCells count="64">
    <mergeCell ref="A23:L23"/>
    <mergeCell ref="G97:H97"/>
    <mergeCell ref="J97:K97"/>
    <mergeCell ref="A97:F97"/>
    <mergeCell ref="J95:K95"/>
    <mergeCell ref="F50:G50"/>
    <mergeCell ref="J43:K43"/>
    <mergeCell ref="G43:H43"/>
    <mergeCell ref="F40:G40"/>
    <mergeCell ref="F39:G39"/>
    <mergeCell ref="J32:K32"/>
    <mergeCell ref="G32:H32"/>
    <mergeCell ref="F72:G72"/>
    <mergeCell ref="D106:H106"/>
    <mergeCell ref="C17:F17"/>
    <mergeCell ref="G17:H17"/>
    <mergeCell ref="I17:J17"/>
    <mergeCell ref="K17:L17"/>
    <mergeCell ref="A19:L19"/>
    <mergeCell ref="J93:K93"/>
    <mergeCell ref="G93:H93"/>
    <mergeCell ref="J91:K91"/>
    <mergeCell ref="F73:G73"/>
    <mergeCell ref="C98:I98"/>
    <mergeCell ref="J98:K98"/>
    <mergeCell ref="C99:I99"/>
    <mergeCell ref="J99:K99"/>
    <mergeCell ref="G91:H91"/>
    <mergeCell ref="F87:G87"/>
    <mergeCell ref="C16:F16"/>
    <mergeCell ref="G16:H16"/>
    <mergeCell ref="I16:J16"/>
    <mergeCell ref="K16:L16"/>
    <mergeCell ref="D103:H103"/>
    <mergeCell ref="F86:G86"/>
    <mergeCell ref="J81:K81"/>
    <mergeCell ref="G81:H81"/>
    <mergeCell ref="J65:K65"/>
    <mergeCell ref="G65:H65"/>
    <mergeCell ref="J54:K54"/>
    <mergeCell ref="G54:H54"/>
    <mergeCell ref="F51:G51"/>
    <mergeCell ref="G95:H95"/>
    <mergeCell ref="F30:G30"/>
    <mergeCell ref="F29:G29"/>
    <mergeCell ref="C14:F14"/>
    <mergeCell ref="G14:H14"/>
    <mergeCell ref="I14:J14"/>
    <mergeCell ref="K14:L14"/>
    <mergeCell ref="C15:F15"/>
    <mergeCell ref="G15:H15"/>
    <mergeCell ref="I15:J15"/>
    <mergeCell ref="K15:L15"/>
    <mergeCell ref="B8:K8"/>
    <mergeCell ref="B10:K10"/>
    <mergeCell ref="B11:K11"/>
    <mergeCell ref="G13:H13"/>
    <mergeCell ref="I13:J13"/>
    <mergeCell ref="B6:E6"/>
    <mergeCell ref="H6:L6"/>
    <mergeCell ref="B3:E3"/>
    <mergeCell ref="H3:L3"/>
    <mergeCell ref="B5:E5"/>
    <mergeCell ref="H5:L5"/>
  </mergeCells>
  <pageMargins left="0.4" right="0.2" top="0.4" bottom="0.4" header="0.2" footer="0.2"/>
  <pageSetup paperSize="9" scale="59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51"/>
  <sheetViews>
    <sheetView zoomScaleNormal="100" workbookViewId="0"/>
  </sheetViews>
  <sheetFormatPr defaultRowHeight="12.75" x14ac:dyDescent="0.2"/>
  <cols>
    <col min="1" max="2" width="5.7109375" customWidth="1"/>
    <col min="3" max="3" width="40.7109375" customWidth="1"/>
    <col min="4" max="8" width="12.7109375" customWidth="1"/>
    <col min="20" max="30" width="0" hidden="1" customWidth="1"/>
    <col min="31" max="31" width="64.7109375" hidden="1" customWidth="1"/>
    <col min="32" max="32" width="0" hidden="1" customWidth="1"/>
    <col min="33" max="33" width="76.7109375" hidden="1" customWidth="1"/>
    <col min="34" max="37" width="0" hidden="1" customWidth="1"/>
  </cols>
  <sheetData>
    <row r="1" spans="1:31" x14ac:dyDescent="0.2">
      <c r="A1" s="10" t="str">
        <f>Source!B1</f>
        <v>Smeta.RU  (495) 974-1589</v>
      </c>
    </row>
    <row r="2" spans="1:31" ht="15" x14ac:dyDescent="0.25">
      <c r="A2" s="30"/>
      <c r="B2" s="30"/>
      <c r="C2" s="30"/>
      <c r="D2" s="30"/>
      <c r="E2" s="94" t="s">
        <v>325</v>
      </c>
      <c r="F2" s="94"/>
      <c r="G2" s="94"/>
      <c r="H2" s="94"/>
    </row>
    <row r="3" spans="1:31" ht="14.25" x14ac:dyDescent="0.2">
      <c r="A3" s="12"/>
      <c r="B3" s="12"/>
      <c r="C3" s="12"/>
      <c r="D3" s="12"/>
      <c r="E3" s="94" t="s">
        <v>326</v>
      </c>
      <c r="F3" s="94"/>
      <c r="G3" s="94"/>
      <c r="H3" s="94"/>
    </row>
    <row r="4" spans="1:31" ht="14.25" x14ac:dyDescent="0.2">
      <c r="A4" s="12"/>
      <c r="B4" s="12"/>
      <c r="C4" s="12"/>
      <c r="D4" s="12"/>
      <c r="E4" s="94" t="s">
        <v>327</v>
      </c>
      <c r="F4" s="94"/>
      <c r="G4" s="94"/>
      <c r="H4" s="94"/>
    </row>
    <row r="5" spans="1:31" ht="14.25" x14ac:dyDescent="0.2">
      <c r="A5" s="12"/>
      <c r="B5" s="12"/>
      <c r="C5" s="12"/>
      <c r="D5" s="12"/>
      <c r="E5" s="12"/>
      <c r="F5" s="12"/>
      <c r="G5" s="12"/>
      <c r="H5" s="12"/>
    </row>
    <row r="6" spans="1:31" ht="14.25" x14ac:dyDescent="0.2">
      <c r="A6" s="12"/>
      <c r="B6" s="12"/>
      <c r="C6" s="12"/>
      <c r="D6" s="12"/>
      <c r="E6" s="12"/>
      <c r="F6" s="12"/>
      <c r="G6" s="89" t="s">
        <v>328</v>
      </c>
      <c r="H6" s="90"/>
    </row>
    <row r="7" spans="1:31" ht="14.25" x14ac:dyDescent="0.2">
      <c r="A7" s="12"/>
      <c r="B7" s="12"/>
      <c r="C7" s="12"/>
      <c r="D7" s="12"/>
      <c r="E7" s="12"/>
      <c r="F7" s="11" t="s">
        <v>329</v>
      </c>
      <c r="G7" s="95" t="s">
        <v>330</v>
      </c>
      <c r="H7" s="90"/>
    </row>
    <row r="8" spans="1:31" ht="14.25" x14ac:dyDescent="0.2">
      <c r="A8" s="12"/>
      <c r="B8" s="12"/>
      <c r="C8" s="12"/>
      <c r="D8" s="12"/>
      <c r="E8" s="12"/>
      <c r="F8" s="12"/>
      <c r="G8" s="89" t="str">
        <f>IF(Source!AT15 &lt;&gt; "", Source!AT15, "")</f>
        <v/>
      </c>
      <c r="H8" s="90"/>
    </row>
    <row r="9" spans="1:31" ht="14.25" x14ac:dyDescent="0.2">
      <c r="A9" s="12" t="s">
        <v>331</v>
      </c>
      <c r="B9" s="12"/>
      <c r="C9" s="93" t="str">
        <f>IF(Source!BA15 &lt;&gt; "", Source!BA15, IF(Source!AU15 &lt;&gt; "", Source!AU15, ""))</f>
        <v/>
      </c>
      <c r="D9" s="93"/>
      <c r="E9" s="93"/>
      <c r="F9" s="11" t="s">
        <v>332</v>
      </c>
      <c r="G9" s="91"/>
      <c r="H9" s="92"/>
    </row>
    <row r="10" spans="1:31" ht="14.25" x14ac:dyDescent="0.2">
      <c r="A10" s="12"/>
      <c r="B10" s="12"/>
      <c r="C10" s="96" t="s">
        <v>333</v>
      </c>
      <c r="D10" s="96"/>
      <c r="E10" s="96"/>
      <c r="F10" s="12"/>
      <c r="G10" s="89" t="str">
        <f>IF(Source!AK15 &lt;&gt; "", Source!AK15, "")</f>
        <v/>
      </c>
      <c r="H10" s="90"/>
    </row>
    <row r="11" spans="1:31" ht="14.25" x14ac:dyDescent="0.2">
      <c r="A11" s="12" t="s">
        <v>334</v>
      </c>
      <c r="B11" s="12"/>
      <c r="C11" s="93" t="str">
        <f>IF(Source!AX12&lt;&gt; "", Source!AX12, IF(Source!AJ12 &lt;&gt; "", Source!AJ12, ""))</f>
        <v/>
      </c>
      <c r="D11" s="93"/>
      <c r="E11" s="93"/>
      <c r="F11" s="11" t="s">
        <v>332</v>
      </c>
      <c r="G11" s="91"/>
      <c r="H11" s="92"/>
    </row>
    <row r="12" spans="1:31" ht="14.25" x14ac:dyDescent="0.2">
      <c r="A12" s="12"/>
      <c r="B12" s="12"/>
      <c r="C12" s="96" t="s">
        <v>333</v>
      </c>
      <c r="D12" s="96"/>
      <c r="E12" s="96"/>
      <c r="F12" s="12"/>
      <c r="G12" s="89" t="str">
        <f>IF(Source!AO15 &lt;&gt; "", Source!AO15, "")</f>
        <v/>
      </c>
      <c r="H12" s="90"/>
    </row>
    <row r="13" spans="1:31" ht="14.25" x14ac:dyDescent="0.2">
      <c r="A13" s="12" t="s">
        <v>335</v>
      </c>
      <c r="B13" s="12"/>
      <c r="C13" s="93" t="str">
        <f>IF(Source!AY12&lt;&gt; "", Source!AY12, IF(Source!AN12 &lt;&gt; "", Source!AN12, ""))</f>
        <v/>
      </c>
      <c r="D13" s="93"/>
      <c r="E13" s="93"/>
      <c r="F13" s="11" t="s">
        <v>332</v>
      </c>
      <c r="G13" s="91"/>
      <c r="H13" s="92"/>
    </row>
    <row r="14" spans="1:31" ht="14.25" x14ac:dyDescent="0.2">
      <c r="A14" s="12"/>
      <c r="B14" s="12"/>
      <c r="C14" s="96" t="s">
        <v>333</v>
      </c>
      <c r="D14" s="96"/>
      <c r="E14" s="96"/>
      <c r="F14" s="12"/>
      <c r="G14" s="89" t="str">
        <f>IF(Source!CO15 &lt;&gt; "", Source!CO15, "")</f>
        <v/>
      </c>
      <c r="H14" s="90"/>
    </row>
    <row r="15" spans="1:31" ht="28.5" x14ac:dyDescent="0.2">
      <c r="A15" s="12" t="s">
        <v>336</v>
      </c>
      <c r="B15" s="12"/>
      <c r="C15" s="93" t="s">
        <v>5</v>
      </c>
      <c r="D15" s="93"/>
      <c r="E15" s="93"/>
      <c r="F15" s="12"/>
      <c r="G15" s="91"/>
      <c r="H15" s="92"/>
      <c r="AE15" s="32" t="s">
        <v>5</v>
      </c>
    </row>
    <row r="16" spans="1:31" ht="14.25" x14ac:dyDescent="0.2">
      <c r="A16" s="12"/>
      <c r="B16" s="12"/>
      <c r="C16" s="96" t="s">
        <v>337</v>
      </c>
      <c r="D16" s="96"/>
      <c r="E16" s="96"/>
      <c r="F16" s="12"/>
      <c r="G16" s="89" t="str">
        <f>IF(Source!CP15 &lt;&gt; "", Source!CP15, "")</f>
        <v/>
      </c>
      <c r="H16" s="90"/>
    </row>
    <row r="17" spans="1:31" ht="28.5" x14ac:dyDescent="0.2">
      <c r="A17" s="12" t="s">
        <v>338</v>
      </c>
      <c r="B17" s="12"/>
      <c r="C17" s="93" t="str">
        <f>IF(Source!G12&lt;&gt;"Новый объект", Source!G12, "")</f>
        <v>Капитальный ремонт окооных проемов общежития  301,332ДИТИ НИЯУ МИФИ_цена поставщика</v>
      </c>
      <c r="D17" s="93"/>
      <c r="E17" s="93"/>
      <c r="F17" s="12"/>
      <c r="G17" s="97"/>
      <c r="H17" s="98"/>
      <c r="AE17" s="32" t="str">
        <f>IF(Source!G12&lt;&gt;"Новый объект", Source!G12, "")</f>
        <v>Капитальный ремонт окооных проемов общежития  301,332ДИТИ НИЯУ МИФИ_цена поставщика</v>
      </c>
    </row>
    <row r="18" spans="1:31" ht="14.25" x14ac:dyDescent="0.2">
      <c r="A18" s="12"/>
      <c r="B18" s="12"/>
      <c r="C18" s="96" t="s">
        <v>339</v>
      </c>
      <c r="D18" s="96"/>
      <c r="E18" s="96"/>
      <c r="F18" s="12"/>
      <c r="G18" s="12"/>
      <c r="H18" s="12"/>
    </row>
    <row r="19" spans="1:31" ht="14.25" x14ac:dyDescent="0.2">
      <c r="A19" s="12"/>
      <c r="B19" s="12"/>
      <c r="C19" s="12"/>
      <c r="D19" s="81" t="s">
        <v>340</v>
      </c>
      <c r="E19" s="81"/>
      <c r="F19" s="100"/>
      <c r="G19" s="89" t="str">
        <f>IF(Source!CQ15 &lt;&gt; "", Source!CQ15, "")</f>
        <v/>
      </c>
      <c r="H19" s="90"/>
    </row>
    <row r="20" spans="1:31" ht="14.25" x14ac:dyDescent="0.2">
      <c r="A20" s="12"/>
      <c r="B20" s="12"/>
      <c r="C20" s="12"/>
      <c r="D20" s="81" t="s">
        <v>341</v>
      </c>
      <c r="E20" s="100"/>
      <c r="F20" s="58" t="s">
        <v>342</v>
      </c>
      <c r="G20" s="89" t="str">
        <f>IF(Source!CR15 &lt;&gt; "", Source!CR15, "")</f>
        <v/>
      </c>
      <c r="H20" s="90"/>
    </row>
    <row r="21" spans="1:31" ht="14.25" x14ac:dyDescent="0.2">
      <c r="A21" s="12"/>
      <c r="B21" s="12"/>
      <c r="C21" s="12"/>
      <c r="D21" s="12"/>
      <c r="E21" s="12"/>
      <c r="F21" s="22" t="s">
        <v>343</v>
      </c>
      <c r="G21" s="101" t="str">
        <f>IF(Source!CS15 &lt;&gt; 0, Source!CS15, "")</f>
        <v/>
      </c>
      <c r="H21" s="102"/>
    </row>
    <row r="22" spans="1:31" ht="14.25" x14ac:dyDescent="0.2">
      <c r="A22" s="12"/>
      <c r="B22" s="12"/>
      <c r="C22" s="12"/>
      <c r="D22" s="12"/>
      <c r="E22" s="12"/>
      <c r="F22" s="11" t="s">
        <v>344</v>
      </c>
      <c r="G22" s="103" t="str">
        <f>IF(Source!CT15 &lt;&gt; "", Source!CT15, "")</f>
        <v/>
      </c>
      <c r="H22" s="104"/>
    </row>
    <row r="23" spans="1:31" ht="14.25" x14ac:dyDescent="0.2">
      <c r="A23" s="12"/>
      <c r="B23" s="12"/>
      <c r="C23" s="12"/>
      <c r="D23" s="12"/>
      <c r="E23" s="12"/>
      <c r="F23" s="12"/>
      <c r="G23" s="12"/>
      <c r="H23" s="12"/>
    </row>
    <row r="24" spans="1:31" ht="14.25" x14ac:dyDescent="0.2">
      <c r="A24" s="12"/>
      <c r="B24" s="12"/>
      <c r="C24" s="12"/>
      <c r="D24" s="105" t="s">
        <v>345</v>
      </c>
      <c r="E24" s="107" t="s">
        <v>346</v>
      </c>
      <c r="F24" s="107" t="s">
        <v>347</v>
      </c>
      <c r="G24" s="109"/>
      <c r="H24" s="12"/>
    </row>
    <row r="25" spans="1:31" ht="14.25" x14ac:dyDescent="0.2">
      <c r="A25" s="12"/>
      <c r="B25" s="12"/>
      <c r="C25" s="12"/>
      <c r="D25" s="106"/>
      <c r="E25" s="108"/>
      <c r="F25" s="59" t="s">
        <v>348</v>
      </c>
      <c r="G25" s="60" t="s">
        <v>349</v>
      </c>
      <c r="H25" s="12"/>
    </row>
    <row r="26" spans="1:31" ht="14.25" x14ac:dyDescent="0.2">
      <c r="A26" s="12"/>
      <c r="B26" s="12"/>
      <c r="C26" s="12"/>
      <c r="D26" s="61" t="str">
        <f>IF(Source!CN15 &lt;&gt; "", Source!CN15, "")</f>
        <v/>
      </c>
      <c r="E26" s="62">
        <v>43133.47515046296</v>
      </c>
      <c r="F26" s="61"/>
      <c r="G26" s="63"/>
      <c r="H26" s="12"/>
    </row>
    <row r="27" spans="1:31" ht="14.25" x14ac:dyDescent="0.2">
      <c r="A27" s="12"/>
      <c r="B27" s="12"/>
      <c r="C27" s="12"/>
      <c r="D27" s="12"/>
      <c r="E27" s="12"/>
      <c r="F27" s="12"/>
      <c r="G27" s="12"/>
      <c r="H27" s="12"/>
    </row>
    <row r="28" spans="1:31" ht="18" x14ac:dyDescent="0.25">
      <c r="A28" s="99" t="s">
        <v>350</v>
      </c>
      <c r="B28" s="99"/>
      <c r="C28" s="99"/>
      <c r="D28" s="99"/>
      <c r="E28" s="99"/>
      <c r="F28" s="99"/>
      <c r="G28" s="99"/>
      <c r="H28" s="99"/>
    </row>
    <row r="29" spans="1:31" ht="18" x14ac:dyDescent="0.25">
      <c r="A29" s="99" t="s">
        <v>351</v>
      </c>
      <c r="B29" s="99"/>
      <c r="C29" s="99"/>
      <c r="D29" s="99"/>
      <c r="E29" s="99"/>
      <c r="F29" s="99"/>
      <c r="G29" s="99"/>
      <c r="H29" s="99"/>
    </row>
    <row r="30" spans="1:31" ht="14.25" x14ac:dyDescent="0.2">
      <c r="A30" s="12"/>
      <c r="B30" s="12"/>
      <c r="C30" s="12"/>
      <c r="D30" s="12"/>
      <c r="E30" s="12"/>
      <c r="F30" s="12"/>
      <c r="G30" s="12"/>
      <c r="H30" s="12"/>
    </row>
    <row r="31" spans="1:31" ht="15" x14ac:dyDescent="0.25">
      <c r="A31" s="9" t="s">
        <v>352</v>
      </c>
      <c r="B31" s="12"/>
      <c r="C31" s="12"/>
      <c r="D31" s="12"/>
      <c r="E31" s="12"/>
      <c r="F31" s="110">
        <f>(Source!F106/1000)</f>
        <v>1162.8885600000001</v>
      </c>
      <c r="G31" s="110"/>
      <c r="H31" s="12" t="s">
        <v>353</v>
      </c>
    </row>
    <row r="32" spans="1:31" ht="14.25" x14ac:dyDescent="0.2">
      <c r="A32" s="12"/>
      <c r="B32" s="12"/>
      <c r="C32" s="12"/>
      <c r="D32" s="12"/>
      <c r="E32" s="12"/>
      <c r="F32" s="12"/>
      <c r="G32" s="12"/>
      <c r="H32" s="12"/>
    </row>
    <row r="33" spans="1:28" ht="14.25" x14ac:dyDescent="0.2">
      <c r="A33" s="111" t="s">
        <v>354</v>
      </c>
      <c r="B33" s="111"/>
      <c r="C33" s="111" t="s">
        <v>355</v>
      </c>
      <c r="D33" s="111" t="s">
        <v>356</v>
      </c>
      <c r="E33" s="111" t="s">
        <v>357</v>
      </c>
      <c r="F33" s="111" t="s">
        <v>358</v>
      </c>
      <c r="G33" s="111"/>
      <c r="H33" s="111"/>
    </row>
    <row r="34" spans="1:28" ht="57" x14ac:dyDescent="0.2">
      <c r="A34" s="21" t="s">
        <v>359</v>
      </c>
      <c r="B34" s="21" t="s">
        <v>360</v>
      </c>
      <c r="C34" s="111"/>
      <c r="D34" s="111"/>
      <c r="E34" s="111"/>
      <c r="F34" s="21" t="s">
        <v>361</v>
      </c>
      <c r="G34" s="21" t="s">
        <v>362</v>
      </c>
      <c r="H34" s="21" t="s">
        <v>363</v>
      </c>
    </row>
    <row r="35" spans="1:28" ht="14.25" x14ac:dyDescent="0.2">
      <c r="A35" s="21">
        <v>1</v>
      </c>
      <c r="B35" s="21">
        <v>2</v>
      </c>
      <c r="C35" s="21">
        <v>3</v>
      </c>
      <c r="D35" s="21">
        <v>4</v>
      </c>
      <c r="E35" s="21">
        <v>5</v>
      </c>
      <c r="F35" s="21">
        <v>6</v>
      </c>
      <c r="G35" s="21">
        <v>7</v>
      </c>
      <c r="H35" s="21">
        <v>8</v>
      </c>
    </row>
    <row r="37" spans="1:28" ht="16.5" x14ac:dyDescent="0.25">
      <c r="A37" s="88" t="str">
        <f>CONCATENATE("Локальная смета: ",IF(Source!G20&lt;&gt;"Новая локальная смета", Source!G20, ""))</f>
        <v xml:space="preserve">Локальная смета: </v>
      </c>
      <c r="B37" s="88"/>
      <c r="C37" s="88"/>
      <c r="D37" s="88"/>
      <c r="E37" s="88"/>
      <c r="F37" s="88"/>
      <c r="G37" s="88"/>
      <c r="H37" s="88"/>
    </row>
    <row r="38" spans="1:28" ht="42.75" x14ac:dyDescent="0.2">
      <c r="A38" s="52">
        <v>1</v>
      </c>
      <c r="B38" s="52" t="str">
        <f>Source!E24</f>
        <v>1</v>
      </c>
      <c r="C38" s="52" t="str">
        <f>Source!G24</f>
        <v>Разборка деревянных заполнений проемов оконных с подоконными досками</v>
      </c>
      <c r="D38" s="52" t="str">
        <f>Source!F24</f>
        <v>46-04-012-01</v>
      </c>
      <c r="E38" s="35" t="str">
        <f>Source!H24</f>
        <v>100 м2</v>
      </c>
      <c r="F38" s="12">
        <f>Source!I24</f>
        <v>1.6128</v>
      </c>
      <c r="G38" s="24">
        <f>Source!AB24</f>
        <v>1767.24</v>
      </c>
      <c r="H38" s="25">
        <f>Source!O24</f>
        <v>18725.849999999999</v>
      </c>
      <c r="T38">
        <f>Source!O24+Source!X24+Source!Y24</f>
        <v>46184.06</v>
      </c>
      <c r="U38">
        <f>Source!P24</f>
        <v>0</v>
      </c>
      <c r="V38">
        <f>Source!S24</f>
        <v>16162.12</v>
      </c>
      <c r="W38">
        <f>Source!Q24</f>
        <v>2563.73</v>
      </c>
      <c r="X38">
        <f>Source!R24</f>
        <v>1107.19</v>
      </c>
      <c r="Y38">
        <f>Source!U24</f>
        <v>304.07731200000001</v>
      </c>
      <c r="Z38">
        <f>Source!V24</f>
        <v>12.483072</v>
      </c>
      <c r="AA38">
        <f>Source!X24</f>
        <v>17096.62</v>
      </c>
      <c r="AB38">
        <f>Source!Y24</f>
        <v>10361.59</v>
      </c>
    </row>
    <row r="39" spans="1:28" ht="14.25" x14ac:dyDescent="0.2">
      <c r="C39" s="26" t="str">
        <f>"Объем: "&amp;Source!I24&amp;"=161,28/"&amp;"100"</f>
        <v>Объем: 1,6128=161,28/100</v>
      </c>
      <c r="F39" s="12"/>
      <c r="G39" s="12"/>
      <c r="H39" s="12"/>
    </row>
    <row r="40" spans="1:28" x14ac:dyDescent="0.2">
      <c r="C40" s="26" t="s">
        <v>364</v>
      </c>
      <c r="D40" s="26">
        <f>Source!BA24</f>
        <v>6.57</v>
      </c>
    </row>
    <row r="41" spans="1:28" x14ac:dyDescent="0.2">
      <c r="C41" s="26" t="s">
        <v>365</v>
      </c>
      <c r="D41" s="26">
        <f>Source!BB24</f>
        <v>6.57</v>
      </c>
    </row>
    <row r="42" spans="1:28" x14ac:dyDescent="0.2">
      <c r="C42" s="26" t="s">
        <v>366</v>
      </c>
      <c r="D42" s="26">
        <f>Source!BC24</f>
        <v>6.57</v>
      </c>
    </row>
    <row r="43" spans="1:28" x14ac:dyDescent="0.2">
      <c r="C43" s="26" t="s">
        <v>367</v>
      </c>
      <c r="D43" s="26">
        <f>Source!BS24</f>
        <v>6.57</v>
      </c>
    </row>
    <row r="44" spans="1:28" x14ac:dyDescent="0.2">
      <c r="C44" s="9" t="s">
        <v>368</v>
      </c>
      <c r="D44" s="39"/>
      <c r="E44" s="39"/>
      <c r="F44" s="39">
        <f>Source!BZ24</f>
        <v>110</v>
      </c>
      <c r="G44" s="64">
        <f>(Source!AF24+Source!AE24)*Source!FX24/100</f>
        <v>1613.4821999999999</v>
      </c>
      <c r="H44" s="65">
        <f>Source!X24</f>
        <v>17096.62</v>
      </c>
    </row>
    <row r="45" spans="1:28" x14ac:dyDescent="0.2">
      <c r="C45" s="9" t="s">
        <v>369</v>
      </c>
      <c r="D45" s="39"/>
      <c r="E45" s="39"/>
      <c r="F45" s="39"/>
      <c r="G45" s="39" t="str">
        <f>CONCATENATE(Source!DL24,Source!FT24, "=", Source!FX24, "%")</f>
        <v>*0,9=99%</v>
      </c>
      <c r="H45" s="39" t="str">
        <f>CONCATENATE(Source!AT24)</f>
        <v>99</v>
      </c>
    </row>
    <row r="46" spans="1:28" x14ac:dyDescent="0.2">
      <c r="C46" s="9" t="s">
        <v>370</v>
      </c>
      <c r="D46" s="39"/>
      <c r="E46" s="39"/>
      <c r="F46" s="39">
        <f>Source!CA24</f>
        <v>70</v>
      </c>
      <c r="G46" s="64">
        <f>(Source!AF24+Source!AE24)*Source!FY24/100</f>
        <v>969.71910000000003</v>
      </c>
      <c r="H46" s="65">
        <f>Source!Y24</f>
        <v>10361.59</v>
      </c>
    </row>
    <row r="47" spans="1:28" x14ac:dyDescent="0.2">
      <c r="C47" s="9" t="s">
        <v>371</v>
      </c>
      <c r="D47" s="39"/>
      <c r="E47" s="39"/>
      <c r="F47" s="39"/>
      <c r="G47" s="39" t="str">
        <f>CONCATENATE(Source!DM24,Source!FU24, "=", Source!FY24, "%")</f>
        <v>*0,85=59,5%</v>
      </c>
      <c r="H47" s="39" t="str">
        <f>CONCATENATE(Source!AU24)</f>
        <v>60</v>
      </c>
    </row>
    <row r="48" spans="1:28" x14ac:dyDescent="0.2">
      <c r="C48" s="9" t="s">
        <v>372</v>
      </c>
      <c r="D48" s="39"/>
      <c r="E48" s="39"/>
      <c r="F48" s="39"/>
      <c r="G48" s="64">
        <f>((Source!AF24+Source!AE24)*Source!FX24/100)+((Source!AF24+Source!AE24)*Source!FY24/100)+Source!AB24</f>
        <v>4350.4412999999995</v>
      </c>
      <c r="H48" s="65">
        <f>Source!O24+Source!X24+Source!Y24</f>
        <v>46184.06</v>
      </c>
    </row>
    <row r="49" spans="1:28" ht="99.75" x14ac:dyDescent="0.2">
      <c r="A49" s="52">
        <v>2</v>
      </c>
      <c r="B49" s="52" t="str">
        <f>Source!E25</f>
        <v>2</v>
      </c>
      <c r="C49" s="52" t="str">
        <f>Source!G25</f>
        <v>Установка в жилых и общественных зданиях оконных блоков из ПВХ профилей поворотных (откидных, поворотно-откидных) с площадью проема более 2 м2 трехстворчатых, в том числе при наличии створок глухого остекления</v>
      </c>
      <c r="D49" s="52" t="str">
        <f>Source!F25</f>
        <v>10-01-034-08</v>
      </c>
      <c r="E49" s="35" t="str">
        <f>Source!H25</f>
        <v>100 м2</v>
      </c>
      <c r="F49" s="12">
        <f>Source!I25</f>
        <v>1.6128</v>
      </c>
      <c r="G49" s="24">
        <f>Source!AB25</f>
        <v>10107.89</v>
      </c>
      <c r="H49" s="25">
        <f>Source!O25</f>
        <v>107104.18</v>
      </c>
      <c r="T49">
        <f>Source!O25+Source!X25+Source!Y25</f>
        <v>130059.23</v>
      </c>
      <c r="U49">
        <f>Source!P25</f>
        <v>90586.240000000005</v>
      </c>
      <c r="V49">
        <f>Source!S25</f>
        <v>13813.71</v>
      </c>
      <c r="W49">
        <f>Source!Q25</f>
        <v>2704.23</v>
      </c>
      <c r="X49">
        <f>Source!R25</f>
        <v>533.20000000000005</v>
      </c>
      <c r="Y49">
        <f>Source!U25</f>
        <v>240.565248</v>
      </c>
      <c r="Z49">
        <f>Source!V25</f>
        <v>6.8221440000000007</v>
      </c>
      <c r="AA49">
        <f>Source!X25</f>
        <v>15207.72</v>
      </c>
      <c r="AB49">
        <f>Source!Y25</f>
        <v>7747.33</v>
      </c>
    </row>
    <row r="50" spans="1:28" ht="14.25" x14ac:dyDescent="0.2">
      <c r="C50" s="26" t="str">
        <f>"Объем: "&amp;Source!I25&amp;"=161,28/"&amp;"100"</f>
        <v>Объем: 1,6128=161,28/100</v>
      </c>
      <c r="F50" s="12"/>
      <c r="G50" s="12"/>
      <c r="H50" s="12"/>
    </row>
    <row r="51" spans="1:28" x14ac:dyDescent="0.2">
      <c r="C51" s="26" t="s">
        <v>364</v>
      </c>
      <c r="D51" s="26">
        <f>Source!BA25</f>
        <v>6.57</v>
      </c>
    </row>
    <row r="52" spans="1:28" x14ac:dyDescent="0.2">
      <c r="C52" s="26" t="s">
        <v>365</v>
      </c>
      <c r="D52" s="26">
        <f>Source!BB25</f>
        <v>6.57</v>
      </c>
    </row>
    <row r="53" spans="1:28" x14ac:dyDescent="0.2">
      <c r="C53" s="26" t="s">
        <v>366</v>
      </c>
      <c r="D53" s="26">
        <f>Source!BC25</f>
        <v>6.57</v>
      </c>
    </row>
    <row r="54" spans="1:28" x14ac:dyDescent="0.2">
      <c r="C54" s="26" t="s">
        <v>367</v>
      </c>
      <c r="D54" s="26">
        <f>Source!BS25</f>
        <v>6.57</v>
      </c>
    </row>
    <row r="55" spans="1:28" x14ac:dyDescent="0.2">
      <c r="C55" s="9" t="s">
        <v>368</v>
      </c>
      <c r="D55" s="39"/>
      <c r="E55" s="39"/>
      <c r="F55" s="39">
        <f>Source!BZ25</f>
        <v>118</v>
      </c>
      <c r="G55" s="64">
        <f>(Source!AF25+Source!AE25)*Source!FX25/100</f>
        <v>1437.9267600000001</v>
      </c>
      <c r="H55" s="65">
        <f>Source!X25</f>
        <v>15207.72</v>
      </c>
    </row>
    <row r="56" spans="1:28" x14ac:dyDescent="0.2">
      <c r="C56" s="9" t="s">
        <v>369</v>
      </c>
      <c r="D56" s="39"/>
      <c r="E56" s="39"/>
      <c r="F56" s="39"/>
      <c r="G56" s="39" t="str">
        <f>CONCATENATE(Source!DL25,Source!FT25, "=", Source!FX25, "%")</f>
        <v>*0,9=106,2%</v>
      </c>
      <c r="H56" s="39" t="str">
        <f>CONCATENATE(Source!AT25)</f>
        <v>106</v>
      </c>
    </row>
    <row r="57" spans="1:28" x14ac:dyDescent="0.2">
      <c r="C57" s="9" t="s">
        <v>370</v>
      </c>
      <c r="D57" s="39"/>
      <c r="E57" s="39"/>
      <c r="F57" s="39">
        <f>Source!CA25</f>
        <v>63</v>
      </c>
      <c r="G57" s="64">
        <f>(Source!AF25+Source!AE25)*Source!FY25/100</f>
        <v>725.05628999999999</v>
      </c>
      <c r="H57" s="65">
        <f>Source!Y25</f>
        <v>7747.33</v>
      </c>
    </row>
    <row r="58" spans="1:28" x14ac:dyDescent="0.2">
      <c r="C58" s="9" t="s">
        <v>371</v>
      </c>
      <c r="D58" s="39"/>
      <c r="E58" s="39"/>
      <c r="F58" s="39"/>
      <c r="G58" s="39" t="str">
        <f>CONCATENATE(Source!DM25,Source!FU25, "=", Source!FY25, "%")</f>
        <v>*0,85=53,55%</v>
      </c>
      <c r="H58" s="39" t="str">
        <f>CONCATENATE(Source!AU25)</f>
        <v>54</v>
      </c>
    </row>
    <row r="59" spans="1:28" x14ac:dyDescent="0.2">
      <c r="C59" s="9" t="s">
        <v>372</v>
      </c>
      <c r="D59" s="39"/>
      <c r="E59" s="39"/>
      <c r="F59" s="39"/>
      <c r="G59" s="64">
        <f>((Source!AF25+Source!AE25)*Source!FX25/100)+((Source!AF25+Source!AE25)*Source!FY25/100)+Source!AB25</f>
        <v>12270.873049999998</v>
      </c>
      <c r="H59" s="65">
        <f>Source!O25+Source!X25+Source!Y25</f>
        <v>130059.23</v>
      </c>
    </row>
    <row r="60" spans="1:28" ht="39.75" x14ac:dyDescent="0.2">
      <c r="A60" s="52">
        <v>3</v>
      </c>
      <c r="B60" s="52" t="str">
        <f>Source!E26</f>
        <v>2,1</v>
      </c>
      <c r="C60" s="52" t="s">
        <v>318</v>
      </c>
      <c r="D60" s="52" t="str">
        <f>Source!F26</f>
        <v>Цена поставщика</v>
      </c>
      <c r="E60" s="35" t="str">
        <f>Source!H26</f>
        <v>м2</v>
      </c>
      <c r="F60" s="12">
        <f>Source!I26</f>
        <v>161.28</v>
      </c>
      <c r="G60" s="24">
        <f>Source!AB26</f>
        <v>446.07</v>
      </c>
      <c r="H60" s="25">
        <f>Source!O26</f>
        <v>472660.05</v>
      </c>
      <c r="T60">
        <f>Source!O26+Source!X26+Source!Y26</f>
        <v>472660.05</v>
      </c>
      <c r="U60">
        <f>Source!P26</f>
        <v>472660.05</v>
      </c>
      <c r="V60">
        <f>Source!S26</f>
        <v>0</v>
      </c>
      <c r="W60">
        <f>Source!Q26</f>
        <v>0</v>
      </c>
      <c r="X60">
        <f>Source!R26</f>
        <v>0</v>
      </c>
      <c r="Y60">
        <f>Source!U26</f>
        <v>0</v>
      </c>
      <c r="Z60">
        <f>Source!V26</f>
        <v>0</v>
      </c>
      <c r="AA60">
        <f>Source!X26</f>
        <v>0</v>
      </c>
      <c r="AB60">
        <f>Source!Y26</f>
        <v>0</v>
      </c>
    </row>
    <row r="61" spans="1:28" ht="14.25" x14ac:dyDescent="0.2">
      <c r="C61" s="26" t="s">
        <v>366</v>
      </c>
      <c r="D61" s="26">
        <f>Source!BC26</f>
        <v>6.57</v>
      </c>
      <c r="F61" s="12"/>
      <c r="G61" s="12"/>
      <c r="H61" s="12"/>
    </row>
    <row r="62" spans="1:28" ht="42.75" x14ac:dyDescent="0.2">
      <c r="A62" s="52">
        <v>4</v>
      </c>
      <c r="B62" s="52" t="str">
        <f>Source!E27</f>
        <v>3</v>
      </c>
      <c r="C62" s="52" t="str">
        <f>Source!G27</f>
        <v>Установка подоконных досок из ПВХ в каменных стенах толщиной свыше 0,51 м</v>
      </c>
      <c r="D62" s="52" t="str">
        <f>Source!F27</f>
        <v>10-01-035-03</v>
      </c>
      <c r="E62" s="35" t="str">
        <f>Source!H27</f>
        <v>100 м</v>
      </c>
      <c r="F62" s="12">
        <f>Source!I27</f>
        <v>1.1200000000000001</v>
      </c>
      <c r="G62" s="24">
        <f>Source!AB27</f>
        <v>6481.17</v>
      </c>
      <c r="H62" s="25">
        <f>Source!O27</f>
        <v>47691.040000000001</v>
      </c>
      <c r="T62">
        <f>Source!O27+Source!X27+Source!Y27</f>
        <v>49890.32</v>
      </c>
      <c r="U62">
        <f>Source!P27</f>
        <v>46187.94</v>
      </c>
      <c r="V62">
        <f>Source!S27</f>
        <v>1341.95</v>
      </c>
      <c r="W62">
        <f>Source!Q27</f>
        <v>161.15</v>
      </c>
      <c r="X62">
        <f>Source!R27</f>
        <v>32.6</v>
      </c>
      <c r="Y62">
        <f>Source!U27</f>
        <v>23.945600000000002</v>
      </c>
      <c r="Z62">
        <f>Source!V27</f>
        <v>0.41440000000000005</v>
      </c>
      <c r="AA62">
        <f>Source!X27</f>
        <v>1457.02</v>
      </c>
      <c r="AB62">
        <f>Source!Y27</f>
        <v>742.26</v>
      </c>
    </row>
    <row r="63" spans="1:28" ht="14.25" x14ac:dyDescent="0.2">
      <c r="C63" s="26" t="str">
        <f>"Объем: "&amp;Source!I27&amp;"=112/"&amp;"100"</f>
        <v>Объем: 1,12=112/100</v>
      </c>
      <c r="F63" s="12"/>
      <c r="G63" s="12"/>
      <c r="H63" s="12"/>
    </row>
    <row r="64" spans="1:28" x14ac:dyDescent="0.2">
      <c r="C64" s="26" t="s">
        <v>364</v>
      </c>
      <c r="D64" s="26">
        <f>Source!BA27</f>
        <v>6.57</v>
      </c>
    </row>
    <row r="65" spans="1:28" x14ac:dyDescent="0.2">
      <c r="C65" s="26" t="s">
        <v>365</v>
      </c>
      <c r="D65" s="26">
        <f>Source!BB27</f>
        <v>6.57</v>
      </c>
    </row>
    <row r="66" spans="1:28" x14ac:dyDescent="0.2">
      <c r="C66" s="26" t="s">
        <v>366</v>
      </c>
      <c r="D66" s="26">
        <f>Source!BC27</f>
        <v>6.57</v>
      </c>
    </row>
    <row r="67" spans="1:28" x14ac:dyDescent="0.2">
      <c r="C67" s="26" t="s">
        <v>367</v>
      </c>
      <c r="D67" s="26">
        <f>Source!BS27</f>
        <v>6.57</v>
      </c>
    </row>
    <row r="68" spans="1:28" x14ac:dyDescent="0.2">
      <c r="C68" s="9" t="s">
        <v>368</v>
      </c>
      <c r="D68" s="39"/>
      <c r="E68" s="39"/>
      <c r="F68" s="39">
        <f>Source!BZ27</f>
        <v>118</v>
      </c>
      <c r="G68" s="64">
        <f>(Source!AF27+Source!AE27)*Source!FX27/100</f>
        <v>198.38160000000005</v>
      </c>
      <c r="H68" s="65">
        <f>Source!X27</f>
        <v>1457.02</v>
      </c>
    </row>
    <row r="69" spans="1:28" x14ac:dyDescent="0.2">
      <c r="C69" s="9" t="s">
        <v>369</v>
      </c>
      <c r="D69" s="39"/>
      <c r="E69" s="39"/>
      <c r="F69" s="39"/>
      <c r="G69" s="39" t="str">
        <f>CONCATENATE(Source!DL27,Source!FT27, "=", Source!FX27, "%")</f>
        <v>*0,9=106,2%</v>
      </c>
      <c r="H69" s="39" t="str">
        <f>CONCATENATE(Source!AT27)</f>
        <v>106</v>
      </c>
    </row>
    <row r="70" spans="1:28" x14ac:dyDescent="0.2">
      <c r="C70" s="9" t="s">
        <v>370</v>
      </c>
      <c r="D70" s="39"/>
      <c r="E70" s="39"/>
      <c r="F70" s="39">
        <f>Source!CA27</f>
        <v>63</v>
      </c>
      <c r="G70" s="64">
        <f>(Source!AF27+Source!AE27)*Source!FY27/100</f>
        <v>100.03139999999999</v>
      </c>
      <c r="H70" s="65">
        <f>Source!Y27</f>
        <v>742.26</v>
      </c>
    </row>
    <row r="71" spans="1:28" x14ac:dyDescent="0.2">
      <c r="C71" s="9" t="s">
        <v>371</v>
      </c>
      <c r="D71" s="39"/>
      <c r="E71" s="39"/>
      <c r="F71" s="39"/>
      <c r="G71" s="39" t="str">
        <f>CONCATENATE(Source!DM27,Source!FU27, "=", Source!FY27, "%")</f>
        <v>*0,85=53,55%</v>
      </c>
      <c r="H71" s="39" t="str">
        <f>CONCATENATE(Source!AU27)</f>
        <v>54</v>
      </c>
    </row>
    <row r="72" spans="1:28" x14ac:dyDescent="0.2">
      <c r="C72" s="9" t="s">
        <v>372</v>
      </c>
      <c r="D72" s="39"/>
      <c r="E72" s="39"/>
      <c r="F72" s="39"/>
      <c r="G72" s="64">
        <f>((Source!AF27+Source!AE27)*Source!FX27/100)+((Source!AF27+Source!AE27)*Source!FY27/100)+Source!AB27</f>
        <v>6779.5830000000005</v>
      </c>
      <c r="H72" s="65">
        <f>Source!O27+Source!X27+Source!Y27</f>
        <v>49890.32</v>
      </c>
    </row>
    <row r="73" spans="1:28" ht="39.75" x14ac:dyDescent="0.2">
      <c r="A73" s="52">
        <v>5</v>
      </c>
      <c r="B73" s="52" t="str">
        <f>Source!E28</f>
        <v>3,1</v>
      </c>
      <c r="C73" s="52" t="s">
        <v>319</v>
      </c>
      <c r="D73" s="52" t="str">
        <f>Source!F28</f>
        <v>Цена поставщика</v>
      </c>
      <c r="E73" s="35" t="str">
        <f>Source!H28</f>
        <v>м</v>
      </c>
      <c r="F73" s="12">
        <f>Source!I28</f>
        <v>112</v>
      </c>
      <c r="G73" s="24">
        <f>Source!AB28</f>
        <v>232.01</v>
      </c>
      <c r="H73" s="25">
        <f>Source!O28</f>
        <v>170722.24</v>
      </c>
      <c r="T73">
        <f>Source!O28+Source!X28+Source!Y28</f>
        <v>170722.24</v>
      </c>
      <c r="U73">
        <f>Source!P28</f>
        <v>170722.24</v>
      </c>
      <c r="V73">
        <f>Source!S28</f>
        <v>0</v>
      </c>
      <c r="W73">
        <f>Source!Q28</f>
        <v>0</v>
      </c>
      <c r="X73">
        <f>Source!R28</f>
        <v>0</v>
      </c>
      <c r="Y73">
        <f>Source!U28</f>
        <v>0</v>
      </c>
      <c r="Z73">
        <f>Source!V28</f>
        <v>0</v>
      </c>
      <c r="AA73">
        <f>Source!X28</f>
        <v>0</v>
      </c>
      <c r="AB73">
        <f>Source!Y28</f>
        <v>0</v>
      </c>
    </row>
    <row r="74" spans="1:28" ht="14.25" x14ac:dyDescent="0.2">
      <c r="C74" s="26" t="s">
        <v>366</v>
      </c>
      <c r="D74" s="26">
        <f>Source!BC28</f>
        <v>6.57</v>
      </c>
      <c r="F74" s="12"/>
      <c r="G74" s="12"/>
      <c r="H74" s="12"/>
    </row>
    <row r="75" spans="1:28" ht="42.75" x14ac:dyDescent="0.2">
      <c r="A75" s="52">
        <v>6</v>
      </c>
      <c r="B75" s="52" t="str">
        <f>Source!E29</f>
        <v>4</v>
      </c>
      <c r="C75" s="52" t="str">
        <f>Source!G29</f>
        <v>Смена обделок из листовой стали (поясков, сандриков, отливов, карнизов) шириной до 0,4 м</v>
      </c>
      <c r="D75" s="52" t="str">
        <f>Source!F29</f>
        <v>58-20-1</v>
      </c>
      <c r="E75" s="35" t="str">
        <f>Source!H29</f>
        <v>100 м</v>
      </c>
      <c r="F75" s="12">
        <f>Source!I29</f>
        <v>1.1200000000000001</v>
      </c>
      <c r="G75" s="24">
        <f>Source!AB29</f>
        <v>454.41</v>
      </c>
      <c r="H75" s="25">
        <f>Source!O29</f>
        <v>3343.73</v>
      </c>
      <c r="T75">
        <f>Source!O29+Source!X29+Source!Y29</f>
        <v>7207.33</v>
      </c>
      <c r="U75">
        <f>Source!P29</f>
        <v>706.77</v>
      </c>
      <c r="V75">
        <f>Source!S29</f>
        <v>2599.21</v>
      </c>
      <c r="W75">
        <f>Source!Q29</f>
        <v>37.75</v>
      </c>
      <c r="X75">
        <f>Source!R29</f>
        <v>11.33</v>
      </c>
      <c r="Y75">
        <f>Source!U29</f>
        <v>46.379199999999997</v>
      </c>
      <c r="Z75">
        <f>Source!V29</f>
        <v>0.13440000000000002</v>
      </c>
      <c r="AA75">
        <f>Source!X29</f>
        <v>2166.75</v>
      </c>
      <c r="AB75">
        <f>Source!Y29</f>
        <v>1696.85</v>
      </c>
    </row>
    <row r="76" spans="1:28" ht="14.25" x14ac:dyDescent="0.2">
      <c r="C76" s="26" t="str">
        <f>"Объем: "&amp;Source!I29&amp;"=112/"&amp;"100"</f>
        <v>Объем: 1,12=112/100</v>
      </c>
      <c r="F76" s="12"/>
      <c r="G76" s="12"/>
      <c r="H76" s="12"/>
    </row>
    <row r="77" spans="1:28" x14ac:dyDescent="0.2">
      <c r="C77" s="26" t="s">
        <v>364</v>
      </c>
      <c r="D77" s="26">
        <f>Source!BA29</f>
        <v>6.57</v>
      </c>
    </row>
    <row r="78" spans="1:28" x14ac:dyDescent="0.2">
      <c r="C78" s="26" t="s">
        <v>365</v>
      </c>
      <c r="D78" s="26">
        <f>Source!BB29</f>
        <v>6.57</v>
      </c>
    </row>
    <row r="79" spans="1:28" x14ac:dyDescent="0.2">
      <c r="C79" s="26" t="s">
        <v>366</v>
      </c>
      <c r="D79" s="26">
        <f>Source!BC29</f>
        <v>6.57</v>
      </c>
    </row>
    <row r="80" spans="1:28" x14ac:dyDescent="0.2">
      <c r="C80" s="26" t="s">
        <v>367</v>
      </c>
      <c r="D80" s="26">
        <f>Source!BS29</f>
        <v>6.57</v>
      </c>
    </row>
    <row r="81" spans="1:28" x14ac:dyDescent="0.2">
      <c r="C81" s="9" t="s">
        <v>368</v>
      </c>
      <c r="D81" s="39"/>
      <c r="E81" s="39"/>
      <c r="F81" s="39">
        <f>Source!BZ29</f>
        <v>83</v>
      </c>
      <c r="G81" s="64">
        <f>(Source!AF29+Source!AE29)*Source!FX29/100</f>
        <v>294.45910000000003</v>
      </c>
      <c r="H81" s="65">
        <f>Source!X29</f>
        <v>2166.75</v>
      </c>
    </row>
    <row r="82" spans="1:28" x14ac:dyDescent="0.2">
      <c r="C82" s="9" t="s">
        <v>370</v>
      </c>
      <c r="D82" s="39"/>
      <c r="E82" s="39"/>
      <c r="F82" s="39">
        <f>Source!CA29</f>
        <v>65</v>
      </c>
      <c r="G82" s="64">
        <f>(Source!AF29+Source!AE29)*Source!FY29/100</f>
        <v>230.60050000000004</v>
      </c>
      <c r="H82" s="65">
        <f>Source!Y29</f>
        <v>1696.85</v>
      </c>
    </row>
    <row r="83" spans="1:28" x14ac:dyDescent="0.2">
      <c r="C83" s="9" t="s">
        <v>372</v>
      </c>
      <c r="D83" s="39"/>
      <c r="E83" s="39"/>
      <c r="F83" s="39"/>
      <c r="G83" s="64">
        <f>((Source!AF29+Source!AE29)*Source!FX29/100)+((Source!AF29+Source!AE29)*Source!FY29/100)+Source!AB29</f>
        <v>979.46960000000013</v>
      </c>
      <c r="H83" s="65">
        <f>Source!O29+Source!X29+Source!Y29</f>
        <v>7207.33</v>
      </c>
    </row>
    <row r="84" spans="1:28" ht="68.25" x14ac:dyDescent="0.2">
      <c r="A84" s="52">
        <v>7</v>
      </c>
      <c r="B84" s="52" t="str">
        <f>Source!E30</f>
        <v>4,1</v>
      </c>
      <c r="C84" s="52" t="s">
        <v>320</v>
      </c>
      <c r="D84" s="52" t="str">
        <f>Source!F30</f>
        <v>Цена поставщика</v>
      </c>
      <c r="E84" s="35" t="str">
        <f>Source!H30</f>
        <v>м</v>
      </c>
      <c r="F84" s="12">
        <f>Source!I30</f>
        <v>112</v>
      </c>
      <c r="G84" s="24">
        <f>Source!AB30</f>
        <v>28.64</v>
      </c>
      <c r="H84" s="25">
        <f>Source!O30</f>
        <v>21074.46</v>
      </c>
      <c r="T84">
        <f>Source!O30+Source!X30+Source!Y30</f>
        <v>21074.46</v>
      </c>
      <c r="U84">
        <f>Source!P30</f>
        <v>21074.46</v>
      </c>
      <c r="V84">
        <f>Source!S30</f>
        <v>0</v>
      </c>
      <c r="W84">
        <f>Source!Q30</f>
        <v>0</v>
      </c>
      <c r="X84">
        <f>Source!R30</f>
        <v>0</v>
      </c>
      <c r="Y84">
        <f>Source!U30</f>
        <v>0</v>
      </c>
      <c r="Z84">
        <f>Source!V30</f>
        <v>0</v>
      </c>
      <c r="AA84">
        <f>Source!X30</f>
        <v>0</v>
      </c>
      <c r="AB84">
        <f>Source!Y30</f>
        <v>0</v>
      </c>
    </row>
    <row r="85" spans="1:28" ht="14.25" x14ac:dyDescent="0.2">
      <c r="C85" s="26" t="s">
        <v>366</v>
      </c>
      <c r="D85" s="26">
        <f>Source!BC30</f>
        <v>6.57</v>
      </c>
      <c r="F85" s="12"/>
      <c r="G85" s="12"/>
      <c r="H85" s="12"/>
    </row>
    <row r="86" spans="1:28" ht="57" x14ac:dyDescent="0.2">
      <c r="A86" s="52">
        <v>8</v>
      </c>
      <c r="B86" s="52" t="str">
        <f>Source!E31</f>
        <v>5</v>
      </c>
      <c r="C86" s="52" t="str">
        <f>Source!G31</f>
        <v>Облицовка оконных и дверных откосов декоративным бумажно-слоистым пластиком или листами из синтетических материалов на клее</v>
      </c>
      <c r="D86" s="52" t="str">
        <f>Source!F31</f>
        <v>15-01-050-04</v>
      </c>
      <c r="E86" s="35" t="str">
        <f>Source!H31</f>
        <v>100 м2</v>
      </c>
      <c r="F86" s="12">
        <f>Source!I31</f>
        <v>1.4816</v>
      </c>
      <c r="G86" s="24">
        <f>Source!AB31</f>
        <v>1563.91</v>
      </c>
      <c r="H86" s="25">
        <f>Source!O31</f>
        <v>15223.27</v>
      </c>
      <c r="T86">
        <f>Source!O31+Source!X31+Source!Y31</f>
        <v>36441.67</v>
      </c>
      <c r="U86">
        <f>Source!P31</f>
        <v>3.5</v>
      </c>
      <c r="V86">
        <f>Source!S31</f>
        <v>14875.57</v>
      </c>
      <c r="W86">
        <f>Source!Q31</f>
        <v>344.2</v>
      </c>
      <c r="X86">
        <f>Source!R31</f>
        <v>66.97</v>
      </c>
      <c r="Y86">
        <f>Source!U31</f>
        <v>246.641952</v>
      </c>
      <c r="Z86">
        <f>Source!V31</f>
        <v>0.85932799999999998</v>
      </c>
      <c r="AA86">
        <f>Source!X31</f>
        <v>14195.41</v>
      </c>
      <c r="AB86">
        <f>Source!Y31</f>
        <v>7022.99</v>
      </c>
    </row>
    <row r="87" spans="1:28" ht="14.25" x14ac:dyDescent="0.2">
      <c r="C87" s="26" t="str">
        <f>"Объем: "&amp;Source!I31&amp;"=148,16/"&amp;"100"</f>
        <v>Объем: 1,4816=148,16/100</v>
      </c>
      <c r="F87" s="12"/>
      <c r="G87" s="12"/>
      <c r="H87" s="12"/>
    </row>
    <row r="88" spans="1:28" x14ac:dyDescent="0.2">
      <c r="C88" s="26" t="s">
        <v>364</v>
      </c>
      <c r="D88" s="26">
        <f>Source!BA31</f>
        <v>6.57</v>
      </c>
    </row>
    <row r="89" spans="1:28" x14ac:dyDescent="0.2">
      <c r="C89" s="26" t="s">
        <v>365</v>
      </c>
      <c r="D89" s="26">
        <f>Source!BB31</f>
        <v>6.57</v>
      </c>
    </row>
    <row r="90" spans="1:28" x14ac:dyDescent="0.2">
      <c r="C90" s="26" t="s">
        <v>366</v>
      </c>
      <c r="D90" s="26">
        <f>Source!BC31</f>
        <v>6.57</v>
      </c>
    </row>
    <row r="91" spans="1:28" x14ac:dyDescent="0.2">
      <c r="C91" s="26" t="s">
        <v>367</v>
      </c>
      <c r="D91" s="26">
        <f>Source!BS31</f>
        <v>6.57</v>
      </c>
    </row>
    <row r="92" spans="1:28" x14ac:dyDescent="0.2">
      <c r="C92" s="9" t="s">
        <v>368</v>
      </c>
      <c r="D92" s="39"/>
      <c r="E92" s="39"/>
      <c r="F92" s="39">
        <f>Source!BZ31</f>
        <v>105</v>
      </c>
      <c r="G92" s="64">
        <f>(Source!AF31+Source!AE31)*Source!FX31/100</f>
        <v>1450.6411500000002</v>
      </c>
      <c r="H92" s="65">
        <f>Source!X31</f>
        <v>14195.41</v>
      </c>
    </row>
    <row r="93" spans="1:28" x14ac:dyDescent="0.2">
      <c r="C93" s="9" t="s">
        <v>369</v>
      </c>
      <c r="D93" s="39"/>
      <c r="E93" s="39"/>
      <c r="F93" s="39"/>
      <c r="G93" s="39" t="str">
        <f>CONCATENATE(Source!DL31,Source!FT31, "=", Source!FX31, "%")</f>
        <v>*0,9=94,5%</v>
      </c>
      <c r="H93" s="39" t="str">
        <f>CONCATENATE(Source!AT31)</f>
        <v>95</v>
      </c>
    </row>
    <row r="94" spans="1:28" x14ac:dyDescent="0.2">
      <c r="C94" s="9" t="s">
        <v>370</v>
      </c>
      <c r="D94" s="39"/>
      <c r="E94" s="39"/>
      <c r="F94" s="39">
        <f>Source!CA31</f>
        <v>55</v>
      </c>
      <c r="G94" s="64">
        <f>(Source!AF31+Source!AE31)*Source!FY31/100</f>
        <v>717.6452250000001</v>
      </c>
      <c r="H94" s="65">
        <f>Source!Y31</f>
        <v>7022.99</v>
      </c>
    </row>
    <row r="95" spans="1:28" x14ac:dyDescent="0.2">
      <c r="C95" s="9" t="s">
        <v>371</v>
      </c>
      <c r="D95" s="39"/>
      <c r="E95" s="39"/>
      <c r="F95" s="39"/>
      <c r="G95" s="39" t="str">
        <f>CONCATENATE(Source!DM31,Source!FU31, "=", Source!FY31, "%")</f>
        <v>*0,85=46,75%</v>
      </c>
      <c r="H95" s="39" t="str">
        <f>CONCATENATE(Source!AU31)</f>
        <v>47</v>
      </c>
    </row>
    <row r="96" spans="1:28" x14ac:dyDescent="0.2">
      <c r="C96" s="9" t="s">
        <v>372</v>
      </c>
      <c r="D96" s="39"/>
      <c r="E96" s="39"/>
      <c r="F96" s="39"/>
      <c r="G96" s="64">
        <f>((Source!AF31+Source!AE31)*Source!FX31/100)+((Source!AF31+Source!AE31)*Source!FY31/100)+Source!AB31</f>
        <v>3732.1963750000004</v>
      </c>
      <c r="H96" s="65">
        <f>Source!O31+Source!X31+Source!Y31</f>
        <v>36441.67</v>
      </c>
    </row>
    <row r="97" spans="1:28" ht="14.25" x14ac:dyDescent="0.2">
      <c r="A97" s="52">
        <v>9</v>
      </c>
      <c r="B97" s="52" t="str">
        <f>Source!E32</f>
        <v>5,1</v>
      </c>
      <c r="C97" s="52" t="str">
        <f>Source!G32</f>
        <v>Листы облицовочные декоративные</v>
      </c>
      <c r="D97" s="52" t="str">
        <f>Source!F32</f>
        <v>01.6.01.11</v>
      </c>
      <c r="E97" s="35" t="str">
        <f>Source!H32</f>
        <v>м2</v>
      </c>
      <c r="F97" s="12">
        <f>Source!I32</f>
        <v>155.56800000000001</v>
      </c>
      <c r="G97" s="24">
        <f>Source!AB32</f>
        <v>0</v>
      </c>
      <c r="H97" s="25">
        <f>Source!O32</f>
        <v>0</v>
      </c>
      <c r="T97">
        <f>Source!O32+Source!X32+Source!Y32</f>
        <v>0</v>
      </c>
      <c r="U97">
        <f>Source!P32</f>
        <v>0</v>
      </c>
      <c r="V97">
        <f>Source!S32</f>
        <v>0</v>
      </c>
      <c r="W97">
        <f>Source!Q32</f>
        <v>0</v>
      </c>
      <c r="X97">
        <f>Source!R32</f>
        <v>0</v>
      </c>
      <c r="Y97">
        <f>Source!U32</f>
        <v>0</v>
      </c>
      <c r="Z97">
        <f>Source!V32</f>
        <v>0</v>
      </c>
      <c r="AA97">
        <f>Source!X32</f>
        <v>0</v>
      </c>
      <c r="AB97">
        <f>Source!Y32</f>
        <v>0</v>
      </c>
    </row>
    <row r="98" spans="1:28" ht="14.25" x14ac:dyDescent="0.2">
      <c r="C98" s="26" t="s">
        <v>366</v>
      </c>
      <c r="D98" s="26">
        <f>Source!BC32</f>
        <v>6.57</v>
      </c>
      <c r="F98" s="12"/>
      <c r="G98" s="12"/>
      <c r="H98" s="12"/>
    </row>
    <row r="99" spans="1:28" ht="42.75" x14ac:dyDescent="0.2">
      <c r="A99" s="52">
        <v>10</v>
      </c>
      <c r="B99" s="52" t="str">
        <f>Source!E33</f>
        <v>5,2</v>
      </c>
      <c r="C99" s="52" t="str">
        <f>Source!G33</f>
        <v>Панели пластиковые для откосов "Реас Пласт" шириной 0,4 м, длиной 3,0 м, белые матовые, лакированные</v>
      </c>
      <c r="D99" s="52" t="str">
        <f>Source!F33</f>
        <v>11.3.03.05-0001</v>
      </c>
      <c r="E99" s="35" t="str">
        <f>Source!H33</f>
        <v>м2</v>
      </c>
      <c r="F99" s="12">
        <f>Source!I33</f>
        <v>155.56800000000001</v>
      </c>
      <c r="G99" s="24">
        <f>Source!AB33</f>
        <v>34.380000000000003</v>
      </c>
      <c r="H99" s="25">
        <f>Source!O33</f>
        <v>35139.17</v>
      </c>
      <c r="T99">
        <f>Source!O33+Source!X33+Source!Y33</f>
        <v>35139.17</v>
      </c>
      <c r="U99">
        <f>Source!P33</f>
        <v>35139.17</v>
      </c>
      <c r="V99">
        <f>Source!S33</f>
        <v>0</v>
      </c>
      <c r="W99">
        <f>Source!Q33</f>
        <v>0</v>
      </c>
      <c r="X99">
        <f>Source!R33</f>
        <v>0</v>
      </c>
      <c r="Y99">
        <f>Source!U33</f>
        <v>0</v>
      </c>
      <c r="Z99">
        <f>Source!V33</f>
        <v>0</v>
      </c>
      <c r="AA99">
        <f>Source!X33</f>
        <v>0</v>
      </c>
      <c r="AB99">
        <f>Source!Y33</f>
        <v>0</v>
      </c>
    </row>
    <row r="100" spans="1:28" ht="14.25" x14ac:dyDescent="0.2">
      <c r="C100" s="26" t="s">
        <v>366</v>
      </c>
      <c r="D100" s="26">
        <f>Source!BC33</f>
        <v>6.57</v>
      </c>
      <c r="F100" s="12"/>
      <c r="G100" s="12"/>
      <c r="H100" s="12"/>
    </row>
    <row r="101" spans="1:28" ht="14.25" x14ac:dyDescent="0.2">
      <c r="A101" s="52">
        <v>11</v>
      </c>
      <c r="B101" s="52" t="str">
        <f>Source!E34</f>
        <v>5,3</v>
      </c>
      <c r="C101" s="52" t="str">
        <f>Source!G34</f>
        <v>Клей</v>
      </c>
      <c r="D101" s="52" t="str">
        <f>Source!F34</f>
        <v>14.1.06.05</v>
      </c>
      <c r="E101" s="35" t="str">
        <f>Source!H34</f>
        <v>кг</v>
      </c>
      <c r="F101" s="12">
        <f>Source!I34</f>
        <v>44.448</v>
      </c>
      <c r="G101" s="24">
        <f>Source!AB34</f>
        <v>0</v>
      </c>
      <c r="H101" s="25">
        <f>Source!O34</f>
        <v>0</v>
      </c>
      <c r="T101">
        <f>Source!O34+Source!X34+Source!Y34</f>
        <v>0</v>
      </c>
      <c r="U101">
        <f>Source!P34</f>
        <v>0</v>
      </c>
      <c r="V101">
        <f>Source!S34</f>
        <v>0</v>
      </c>
      <c r="W101">
        <f>Source!Q34</f>
        <v>0</v>
      </c>
      <c r="X101">
        <f>Source!R34</f>
        <v>0</v>
      </c>
      <c r="Y101">
        <f>Source!U34</f>
        <v>0</v>
      </c>
      <c r="Z101">
        <f>Source!V34</f>
        <v>0</v>
      </c>
      <c r="AA101">
        <f>Source!X34</f>
        <v>0</v>
      </c>
      <c r="AB101">
        <f>Source!Y34</f>
        <v>0</v>
      </c>
    </row>
    <row r="102" spans="1:28" ht="14.25" x14ac:dyDescent="0.2">
      <c r="C102" s="26" t="s">
        <v>366</v>
      </c>
      <c r="D102" s="26">
        <f>Source!BC34</f>
        <v>6.57</v>
      </c>
      <c r="F102" s="12"/>
      <c r="G102" s="12"/>
      <c r="H102" s="12"/>
    </row>
    <row r="103" spans="1:28" ht="28.5" x14ac:dyDescent="0.2">
      <c r="A103" s="52">
        <v>12</v>
      </c>
      <c r="B103" s="52" t="str">
        <f>Source!E35</f>
        <v>5,4</v>
      </c>
      <c r="C103" s="52" t="str">
        <f>Source!G35</f>
        <v>Клей ПВА</v>
      </c>
      <c r="D103" s="52" t="str">
        <f>Source!F35</f>
        <v>14.1.02.03-0002</v>
      </c>
      <c r="E103" s="35" t="str">
        <f>Source!H35</f>
        <v>кг</v>
      </c>
      <c r="F103" s="12">
        <f>Source!I35</f>
        <v>44.448</v>
      </c>
      <c r="G103" s="24">
        <f>Source!AB35</f>
        <v>15.9</v>
      </c>
      <c r="H103" s="25">
        <f>Source!O35</f>
        <v>4643.17</v>
      </c>
      <c r="T103">
        <f>Source!O35+Source!X35+Source!Y35</f>
        <v>4643.17</v>
      </c>
      <c r="U103">
        <f>Source!P35</f>
        <v>4643.17</v>
      </c>
      <c r="V103">
        <f>Source!S35</f>
        <v>0</v>
      </c>
      <c r="W103">
        <f>Source!Q35</f>
        <v>0</v>
      </c>
      <c r="X103">
        <f>Source!R35</f>
        <v>0</v>
      </c>
      <c r="Y103">
        <f>Source!U35</f>
        <v>0</v>
      </c>
      <c r="Z103">
        <f>Source!V35</f>
        <v>0</v>
      </c>
      <c r="AA103">
        <f>Source!X35</f>
        <v>0</v>
      </c>
      <c r="AB103">
        <f>Source!Y35</f>
        <v>0</v>
      </c>
    </row>
    <row r="104" spans="1:28" ht="14.25" x14ac:dyDescent="0.2">
      <c r="C104" s="26" t="s">
        <v>366</v>
      </c>
      <c r="D104" s="26">
        <f>Source!BC35</f>
        <v>6.57</v>
      </c>
      <c r="F104" s="12"/>
      <c r="G104" s="12"/>
      <c r="H104" s="12"/>
    </row>
    <row r="105" spans="1:28" ht="28.5" x14ac:dyDescent="0.2">
      <c r="A105" s="52">
        <v>13</v>
      </c>
      <c r="B105" s="52" t="str">
        <f>Source!E36</f>
        <v>5,5</v>
      </c>
      <c r="C105" s="52" t="str">
        <f>Source!G36</f>
        <v>Грунтовка: «Бетоконтакт», КНАУФ</v>
      </c>
      <c r="D105" s="52" t="str">
        <f>Source!F36</f>
        <v>14.3.01.01-0001</v>
      </c>
      <c r="E105" s="35" t="str">
        <f>Source!H36</f>
        <v>кг</v>
      </c>
      <c r="F105" s="12">
        <f>Source!I36</f>
        <v>13.18652</v>
      </c>
      <c r="G105" s="24">
        <f>Source!AB36</f>
        <v>15.09</v>
      </c>
      <c r="H105" s="25">
        <f>Source!O36</f>
        <v>1307.33</v>
      </c>
      <c r="T105">
        <f>Source!O36+Source!X36+Source!Y36</f>
        <v>1307.33</v>
      </c>
      <c r="U105">
        <f>Source!P36</f>
        <v>1307.33</v>
      </c>
      <c r="V105">
        <f>Source!S36</f>
        <v>0</v>
      </c>
      <c r="W105">
        <f>Source!Q36</f>
        <v>0</v>
      </c>
      <c r="X105">
        <f>Source!R36</f>
        <v>0</v>
      </c>
      <c r="Y105">
        <f>Source!U36</f>
        <v>0</v>
      </c>
      <c r="Z105">
        <f>Source!V36</f>
        <v>0</v>
      </c>
      <c r="AA105">
        <f>Source!X36</f>
        <v>0</v>
      </c>
      <c r="AB105">
        <f>Source!Y36</f>
        <v>0</v>
      </c>
    </row>
    <row r="106" spans="1:28" ht="14.25" x14ac:dyDescent="0.2">
      <c r="C106" s="26" t="s">
        <v>366</v>
      </c>
      <c r="D106" s="26">
        <f>Source!BC36</f>
        <v>6.57</v>
      </c>
      <c r="F106" s="12"/>
      <c r="G106" s="12"/>
      <c r="H106" s="12"/>
    </row>
    <row r="107" spans="1:28" ht="14.25" x14ac:dyDescent="0.2">
      <c r="A107" s="52">
        <v>14</v>
      </c>
      <c r="B107" s="52" t="str">
        <f>Source!E37</f>
        <v>5,6</v>
      </c>
      <c r="C107" s="52" t="str">
        <f>Source!G37</f>
        <v>Грунтовка</v>
      </c>
      <c r="D107" s="52" t="str">
        <f>Source!F37</f>
        <v>14.4.01.21</v>
      </c>
      <c r="E107" s="35" t="str">
        <f>Source!H37</f>
        <v>т</v>
      </c>
      <c r="F107" s="12">
        <f>Source!I37</f>
        <v>1.3185999999999998E-2</v>
      </c>
      <c r="G107" s="24">
        <f>Source!AB37</f>
        <v>0</v>
      </c>
      <c r="H107" s="25">
        <f>Source!O37</f>
        <v>0</v>
      </c>
      <c r="T107">
        <f>Source!O37+Source!X37+Source!Y37</f>
        <v>0</v>
      </c>
      <c r="U107">
        <f>Source!P37</f>
        <v>0</v>
      </c>
      <c r="V107">
        <f>Source!S37</f>
        <v>0</v>
      </c>
      <c r="W107">
        <f>Source!Q37</f>
        <v>0</v>
      </c>
      <c r="X107">
        <f>Source!R37</f>
        <v>0</v>
      </c>
      <c r="Y107">
        <f>Source!U37</f>
        <v>0</v>
      </c>
      <c r="Z107">
        <f>Source!V37</f>
        <v>0</v>
      </c>
      <c r="AA107">
        <f>Source!X37</f>
        <v>0</v>
      </c>
      <c r="AB107">
        <f>Source!Y37</f>
        <v>0</v>
      </c>
    </row>
    <row r="108" spans="1:28" ht="14.25" x14ac:dyDescent="0.2">
      <c r="C108" s="26" t="s">
        <v>366</v>
      </c>
      <c r="D108" s="26">
        <f>Source!BC37</f>
        <v>6.57</v>
      </c>
      <c r="F108" s="12"/>
      <c r="G108" s="12"/>
      <c r="H108" s="12"/>
    </row>
    <row r="109" spans="1:28" ht="28.5" x14ac:dyDescent="0.2">
      <c r="A109" s="52">
        <v>15</v>
      </c>
      <c r="B109" s="52" t="str">
        <f>Source!E38</f>
        <v>6</v>
      </c>
      <c r="C109" s="52" t="str">
        <f>Source!G38</f>
        <v>Установка уголков ПВХ на клее</v>
      </c>
      <c r="D109" s="52" t="str">
        <f>Source!F38</f>
        <v>10-01-036-01</v>
      </c>
      <c r="E109" s="35" t="str">
        <f>Source!H38</f>
        <v>100 м</v>
      </c>
      <c r="F109" s="12">
        <f>Source!I38</f>
        <v>2.9632000000000001</v>
      </c>
      <c r="G109" s="24">
        <f>Source!AB38</f>
        <v>93.15</v>
      </c>
      <c r="H109" s="25">
        <f>Source!O38</f>
        <v>1813.47</v>
      </c>
      <c r="T109">
        <f>Source!O38+Source!X38+Source!Y38</f>
        <v>3593.65</v>
      </c>
      <c r="U109">
        <f>Source!P38</f>
        <v>700.86</v>
      </c>
      <c r="V109">
        <f>Source!S38</f>
        <v>1112.6099999999999</v>
      </c>
      <c r="W109">
        <f>Source!Q38</f>
        <v>0</v>
      </c>
      <c r="X109">
        <f>Source!R38</f>
        <v>0</v>
      </c>
      <c r="Y109">
        <f>Source!U38</f>
        <v>19.853440000000003</v>
      </c>
      <c r="Z109">
        <f>Source!V38</f>
        <v>0</v>
      </c>
      <c r="AA109">
        <f>Source!X38</f>
        <v>1179.3699999999999</v>
      </c>
      <c r="AB109">
        <f>Source!Y38</f>
        <v>600.80999999999995</v>
      </c>
    </row>
    <row r="110" spans="1:28" ht="14.25" x14ac:dyDescent="0.2">
      <c r="C110" s="26" t="str">
        <f>"Объем: "&amp;Source!I38&amp;"=296,32/"&amp;"100"</f>
        <v>Объем: 2,9632=296,32/100</v>
      </c>
      <c r="F110" s="12"/>
      <c r="G110" s="12"/>
      <c r="H110" s="12"/>
    </row>
    <row r="111" spans="1:28" x14ac:dyDescent="0.2">
      <c r="C111" s="26" t="s">
        <v>364</v>
      </c>
      <c r="D111" s="26">
        <f>Source!BA38</f>
        <v>6.57</v>
      </c>
    </row>
    <row r="112" spans="1:28" x14ac:dyDescent="0.2">
      <c r="C112" s="26" t="s">
        <v>365</v>
      </c>
      <c r="D112" s="26">
        <f>Source!BB38</f>
        <v>6.57</v>
      </c>
    </row>
    <row r="113" spans="1:28" x14ac:dyDescent="0.2">
      <c r="C113" s="26" t="s">
        <v>366</v>
      </c>
      <c r="D113" s="26">
        <f>Source!BC38</f>
        <v>6.57</v>
      </c>
    </row>
    <row r="114" spans="1:28" x14ac:dyDescent="0.2">
      <c r="C114" s="26" t="s">
        <v>367</v>
      </c>
      <c r="D114" s="26">
        <f>Source!BS38</f>
        <v>6.57</v>
      </c>
    </row>
    <row r="115" spans="1:28" x14ac:dyDescent="0.2">
      <c r="C115" s="9" t="s">
        <v>368</v>
      </c>
      <c r="D115" s="39"/>
      <c r="E115" s="39"/>
      <c r="F115" s="39">
        <f>Source!BZ38</f>
        <v>118</v>
      </c>
      <c r="G115" s="64">
        <f>(Source!AF38+Source!AE38)*Source!FX38/100</f>
        <v>60.693300000000001</v>
      </c>
      <c r="H115" s="65">
        <f>Source!X38</f>
        <v>1179.3699999999999</v>
      </c>
    </row>
    <row r="116" spans="1:28" x14ac:dyDescent="0.2">
      <c r="C116" s="9" t="s">
        <v>369</v>
      </c>
      <c r="D116" s="39"/>
      <c r="E116" s="39"/>
      <c r="F116" s="39"/>
      <c r="G116" s="39" t="str">
        <f>CONCATENATE(Source!DL38,Source!FT38, "=", Source!FX38, "%")</f>
        <v>*0,9=106,2%</v>
      </c>
      <c r="H116" s="39" t="str">
        <f>CONCATENATE(Source!AT38)</f>
        <v>106</v>
      </c>
    </row>
    <row r="117" spans="1:28" x14ac:dyDescent="0.2">
      <c r="C117" s="9" t="s">
        <v>370</v>
      </c>
      <c r="D117" s="39"/>
      <c r="E117" s="39"/>
      <c r="F117" s="39">
        <f>Source!CA38</f>
        <v>63</v>
      </c>
      <c r="G117" s="64">
        <f>(Source!AF38+Source!AE38)*Source!FY38/100</f>
        <v>30.603824999999997</v>
      </c>
      <c r="H117" s="65">
        <f>Source!Y38</f>
        <v>600.80999999999995</v>
      </c>
    </row>
    <row r="118" spans="1:28" x14ac:dyDescent="0.2">
      <c r="C118" s="9" t="s">
        <v>371</v>
      </c>
      <c r="D118" s="39"/>
      <c r="E118" s="39"/>
      <c r="F118" s="39"/>
      <c r="G118" s="39" t="str">
        <f>CONCATENATE(Source!DM38,Source!FU38, "=", Source!FY38, "%")</f>
        <v>*0,85=53,55%</v>
      </c>
      <c r="H118" s="39" t="str">
        <f>CONCATENATE(Source!AU38)</f>
        <v>54</v>
      </c>
    </row>
    <row r="119" spans="1:28" x14ac:dyDescent="0.2">
      <c r="C119" s="9" t="s">
        <v>372</v>
      </c>
      <c r="D119" s="39"/>
      <c r="E119" s="39"/>
      <c r="F119" s="39"/>
      <c r="G119" s="64">
        <f>((Source!AF38+Source!AE38)*Source!FX38/100)+((Source!AF38+Source!AE38)*Source!FY38/100)+Source!AB38</f>
        <v>184.447125</v>
      </c>
      <c r="H119" s="65">
        <f>Source!O38+Source!X38+Source!Y38</f>
        <v>3593.65</v>
      </c>
    </row>
    <row r="120" spans="1:28" ht="14.25" x14ac:dyDescent="0.2">
      <c r="A120" s="52">
        <v>16</v>
      </c>
      <c r="B120" s="52" t="str">
        <f>Source!E39</f>
        <v>6,1</v>
      </c>
      <c r="C120" s="52" t="str">
        <f>Source!G39</f>
        <v>Уголок ПВХ</v>
      </c>
      <c r="D120" s="52" t="str">
        <f>Source!F39</f>
        <v>11.3.03.13</v>
      </c>
      <c r="E120" s="35" t="str">
        <f>Source!H39</f>
        <v>П.М</v>
      </c>
      <c r="F120" s="12">
        <f>Source!I39</f>
        <v>296.32</v>
      </c>
      <c r="G120" s="24">
        <f>Source!AB39</f>
        <v>0</v>
      </c>
      <c r="H120" s="25">
        <f>Source!O39</f>
        <v>0</v>
      </c>
      <c r="T120">
        <f>Source!O39+Source!X39+Source!Y39</f>
        <v>0</v>
      </c>
      <c r="U120">
        <f>Source!P39</f>
        <v>0</v>
      </c>
      <c r="V120">
        <f>Source!S39</f>
        <v>0</v>
      </c>
      <c r="W120">
        <f>Source!Q39</f>
        <v>0</v>
      </c>
      <c r="X120">
        <f>Source!R39</f>
        <v>0</v>
      </c>
      <c r="Y120">
        <f>Source!U39</f>
        <v>0</v>
      </c>
      <c r="Z120">
        <f>Source!V39</f>
        <v>0</v>
      </c>
      <c r="AA120">
        <f>Source!X39</f>
        <v>0</v>
      </c>
      <c r="AB120">
        <f>Source!Y39</f>
        <v>0</v>
      </c>
    </row>
    <row r="121" spans="1:28" ht="14.25" x14ac:dyDescent="0.2">
      <c r="C121" s="26" t="s">
        <v>366</v>
      </c>
      <c r="D121" s="26">
        <f>Source!BC39</f>
        <v>6.57</v>
      </c>
      <c r="F121" s="12"/>
      <c r="G121" s="12"/>
      <c r="H121" s="12"/>
    </row>
    <row r="122" spans="1:28" ht="28.5" x14ac:dyDescent="0.2">
      <c r="A122" s="52">
        <v>17</v>
      </c>
      <c r="B122" s="52" t="str">
        <f>Source!E40</f>
        <v>6,2</v>
      </c>
      <c r="C122" s="52" t="str">
        <f>Source!G40</f>
        <v>Уголок ПВХ, размером 20х20 мм</v>
      </c>
      <c r="D122" s="52" t="str">
        <f>Source!F40</f>
        <v>11.3.03.13-0043</v>
      </c>
      <c r="E122" s="35" t="str">
        <f>Source!H40</f>
        <v>10 м</v>
      </c>
      <c r="F122" s="12">
        <f>Source!I40</f>
        <v>29.632000000000001</v>
      </c>
      <c r="G122" s="24">
        <f>Source!AB40</f>
        <v>25.6</v>
      </c>
      <c r="H122" s="25">
        <f>Source!O40</f>
        <v>4983.87</v>
      </c>
      <c r="T122">
        <f>Source!O40+Source!X40+Source!Y40</f>
        <v>4983.87</v>
      </c>
      <c r="U122">
        <f>Source!P40</f>
        <v>4983.87</v>
      </c>
      <c r="V122">
        <f>Source!S40</f>
        <v>0</v>
      </c>
      <c r="W122">
        <f>Source!Q40</f>
        <v>0</v>
      </c>
      <c r="X122">
        <f>Source!R40</f>
        <v>0</v>
      </c>
      <c r="Y122">
        <f>Source!U40</f>
        <v>0</v>
      </c>
      <c r="Z122">
        <f>Source!V40</f>
        <v>0</v>
      </c>
      <c r="AA122">
        <f>Source!X40</f>
        <v>0</v>
      </c>
      <c r="AB122">
        <f>Source!Y40</f>
        <v>0</v>
      </c>
    </row>
    <row r="123" spans="1:28" ht="14.25" x14ac:dyDescent="0.2">
      <c r="C123" s="26" t="s">
        <v>366</v>
      </c>
      <c r="D123" s="26">
        <f>Source!BC40</f>
        <v>6.57</v>
      </c>
      <c r="F123" s="12"/>
      <c r="G123" s="12"/>
      <c r="H123" s="12"/>
    </row>
    <row r="124" spans="1:28" ht="42.75" x14ac:dyDescent="0.2">
      <c r="A124" s="52">
        <v>18</v>
      </c>
      <c r="B124" s="52" t="str">
        <f>Source!E41</f>
        <v>7</v>
      </c>
      <c r="C124" s="52" t="str">
        <f>Source!G41</f>
        <v>Погрузочные работы при автомобильных перевозках мусора строительного с погрузкой вручную</v>
      </c>
      <c r="D124" s="52" t="str">
        <f>Source!F41</f>
        <v>т01-01-01-041</v>
      </c>
      <c r="E124" s="35" t="str">
        <f>Source!H41</f>
        <v>1 Т ГРУЗА</v>
      </c>
      <c r="F124" s="12">
        <f>Source!I41</f>
        <v>4.3</v>
      </c>
      <c r="G124" s="24">
        <f>Source!AB41</f>
        <v>42.98</v>
      </c>
      <c r="H124" s="25">
        <f>Source!GM41</f>
        <v>1214.23</v>
      </c>
      <c r="T124">
        <f>Source!GM41</f>
        <v>1214.23</v>
      </c>
      <c r="U124">
        <f>Source!P41</f>
        <v>0</v>
      </c>
      <c r="V124">
        <f>Source!S41</f>
        <v>0</v>
      </c>
      <c r="W124">
        <f>Source!Q41</f>
        <v>0</v>
      </c>
      <c r="X124">
        <f>Source!R41</f>
        <v>0</v>
      </c>
      <c r="Y124">
        <f>Source!U41</f>
        <v>0</v>
      </c>
      <c r="Z124">
        <f>Source!V41</f>
        <v>0</v>
      </c>
      <c r="AA124">
        <f>Source!X41</f>
        <v>0</v>
      </c>
      <c r="AB124">
        <f>Source!Y41</f>
        <v>0</v>
      </c>
    </row>
    <row r="125" spans="1:28" ht="14.25" x14ac:dyDescent="0.2">
      <c r="C125" s="26" t="s">
        <v>373</v>
      </c>
      <c r="D125" s="26">
        <f>Source!AZ41</f>
        <v>6.57</v>
      </c>
      <c r="F125" s="12"/>
      <c r="G125" s="12"/>
      <c r="H125" s="12"/>
    </row>
    <row r="126" spans="1:28" ht="57" x14ac:dyDescent="0.2">
      <c r="A126" s="52">
        <v>19</v>
      </c>
      <c r="B126" s="52" t="str">
        <f>Source!E42</f>
        <v>8</v>
      </c>
      <c r="C126" s="52" t="str">
        <f>Source!G42</f>
        <v>Перевозка грузов I класса автомобилями-самосвалами грузоподъемностью 10 т работающих вне карьера на расстояние до 15 км</v>
      </c>
      <c r="D126" s="52" t="str">
        <f>Source!F42</f>
        <v>т03-21-01-015</v>
      </c>
      <c r="E126" s="35" t="str">
        <f>Source!H42</f>
        <v>1 Т ГРУЗА</v>
      </c>
      <c r="F126" s="12">
        <f>Source!I42</f>
        <v>4.3</v>
      </c>
      <c r="G126" s="24">
        <f>Source!AB42</f>
        <v>13.38</v>
      </c>
      <c r="H126" s="25">
        <f>Source!GM42</f>
        <v>378</v>
      </c>
      <c r="T126">
        <f>Source!GM42</f>
        <v>378</v>
      </c>
      <c r="U126">
        <f>Source!P42</f>
        <v>0</v>
      </c>
      <c r="V126">
        <f>Source!S42</f>
        <v>0</v>
      </c>
      <c r="W126">
        <f>Source!Q42</f>
        <v>0</v>
      </c>
      <c r="X126">
        <f>Source!R42</f>
        <v>0</v>
      </c>
      <c r="Y126">
        <f>Source!U42</f>
        <v>0</v>
      </c>
      <c r="Z126">
        <f>Source!V42</f>
        <v>0</v>
      </c>
      <c r="AA126">
        <f>Source!X42</f>
        <v>0</v>
      </c>
      <c r="AB126">
        <f>Source!Y42</f>
        <v>0</v>
      </c>
    </row>
    <row r="127" spans="1:28" ht="14.25" x14ac:dyDescent="0.2">
      <c r="C127" s="26" t="s">
        <v>373</v>
      </c>
      <c r="D127" s="26">
        <f>Source!AZ42</f>
        <v>6.57</v>
      </c>
      <c r="F127" s="12"/>
      <c r="G127" s="12"/>
      <c r="H127" s="12"/>
    </row>
    <row r="129" spans="1:33" ht="15" x14ac:dyDescent="0.25">
      <c r="A129" s="66"/>
      <c r="B129" s="66"/>
      <c r="C129" s="86" t="str">
        <f>CONCATENATE("Итого по локальной смете: ",IF(Source!G44&lt;&gt;"Новая локальная смета", Source!G44, ""))</f>
        <v xml:space="preserve">Итого по локальной смете: </v>
      </c>
      <c r="D129" s="86"/>
      <c r="E129" s="86"/>
      <c r="F129" s="86"/>
      <c r="G129" s="66"/>
      <c r="H129" s="67">
        <f>IF(SUM(T37:T128)=0, "-", SUM(T37:T128))</f>
        <v>985498.77999999991</v>
      </c>
    </row>
    <row r="130" spans="1:33" ht="15" x14ac:dyDescent="0.25">
      <c r="A130" s="66"/>
      <c r="B130" s="66"/>
      <c r="C130" s="66"/>
      <c r="D130" s="66"/>
      <c r="E130" s="66"/>
      <c r="F130" s="66"/>
      <c r="G130" s="66"/>
      <c r="H130" s="66"/>
    </row>
    <row r="132" spans="1:33" ht="14.25" x14ac:dyDescent="0.2">
      <c r="C132" s="112" t="str">
        <f>Source!H72</f>
        <v>Всего</v>
      </c>
      <c r="D132" s="112"/>
      <c r="E132" s="112"/>
      <c r="F132" s="112"/>
      <c r="G132" s="79">
        <f>IF(Source!F72=0, "", Source!F72)</f>
        <v>985498.78</v>
      </c>
      <c r="H132" s="79"/>
    </row>
    <row r="133" spans="1:33" ht="14.25" x14ac:dyDescent="0.2">
      <c r="C133" s="112" t="str">
        <f>Source!H73</f>
        <v>Итого НДС 18%</v>
      </c>
      <c r="D133" s="112"/>
      <c r="E133" s="112"/>
      <c r="F133" s="112"/>
      <c r="G133" s="79">
        <f>IF(Source!F73=0, "", Source!F73)</f>
        <v>177389.78</v>
      </c>
      <c r="H133" s="79"/>
    </row>
    <row r="134" spans="1:33" ht="14.25" x14ac:dyDescent="0.2">
      <c r="C134" s="112" t="str">
        <f>Source!H74</f>
        <v>Всего по смете</v>
      </c>
      <c r="D134" s="112"/>
      <c r="E134" s="112"/>
      <c r="F134" s="112"/>
      <c r="G134" s="79">
        <f>IF(Source!F74=0, "", Source!F74)</f>
        <v>1162888.56</v>
      </c>
      <c r="H134" s="79"/>
    </row>
    <row r="136" spans="1:33" ht="30" x14ac:dyDescent="0.25">
      <c r="A136" s="66"/>
      <c r="B136" s="66"/>
      <c r="C136" s="86" t="str">
        <f>CONCATENATE("Итого по смете: ",IF(Source!G76&lt;&gt;"Новый объект", Source!G76, ""))</f>
        <v>Итого по смете: Капитальный ремонт окооных проемов общежития  301,332ДИТИ НИЯУ МИФИ_цена поставщика</v>
      </c>
      <c r="D136" s="86"/>
      <c r="E136" s="86"/>
      <c r="F136" s="86"/>
      <c r="G136" s="66"/>
      <c r="H136" s="67">
        <f>IF(SUM(T1:T135)=0, "-", SUM(T1:T135))</f>
        <v>985498.77999999991</v>
      </c>
      <c r="AG136" s="57" t="str">
        <f>CONCATENATE("Итого по смете: ",IF(Source!G76&lt;&gt;"Новый объект", Source!G76, ""))</f>
        <v>Итого по смете: Капитальный ремонт окооных проемов общежития  301,332ДИТИ НИЯУ МИФИ_цена поставщика</v>
      </c>
    </row>
    <row r="137" spans="1:33" ht="15" x14ac:dyDescent="0.25">
      <c r="A137" s="66"/>
      <c r="B137" s="66"/>
      <c r="C137" s="66"/>
      <c r="D137" s="66"/>
      <c r="E137" s="66"/>
      <c r="F137" s="66"/>
      <c r="G137" s="66"/>
      <c r="H137" s="66"/>
    </row>
    <row r="138" spans="1:33" ht="14.25" x14ac:dyDescent="0.2">
      <c r="C138" s="112" t="str">
        <f>Source!H104</f>
        <v>Всего</v>
      </c>
      <c r="D138" s="112"/>
      <c r="E138" s="112"/>
      <c r="F138" s="112"/>
      <c r="G138" s="79">
        <f>IF(Source!F104=0, "", Source!F104)</f>
        <v>985498.78</v>
      </c>
      <c r="H138" s="79"/>
    </row>
    <row r="139" spans="1:33" ht="14.25" x14ac:dyDescent="0.2">
      <c r="C139" s="112" t="str">
        <f>Source!H105</f>
        <v>Итого НДС 18%</v>
      </c>
      <c r="D139" s="112"/>
      <c r="E139" s="112"/>
      <c r="F139" s="112"/>
      <c r="G139" s="79">
        <f>IF(Source!F105=0, "", Source!F105)</f>
        <v>177389.78</v>
      </c>
      <c r="H139" s="79"/>
    </row>
    <row r="140" spans="1:33" ht="14.25" x14ac:dyDescent="0.2">
      <c r="C140" s="112" t="str">
        <f>Source!H106</f>
        <v>Всего по смете</v>
      </c>
      <c r="D140" s="112"/>
      <c r="E140" s="112"/>
      <c r="F140" s="112"/>
      <c r="G140" s="79">
        <f>IF(Source!F106=0, "", Source!F106)</f>
        <v>1162888.56</v>
      </c>
      <c r="H140" s="79"/>
    </row>
    <row r="143" spans="1:33" ht="15" thickBot="1" x14ac:dyDescent="0.25">
      <c r="A143" s="114" t="s">
        <v>374</v>
      </c>
      <c r="B143" s="114"/>
      <c r="C143" s="68" t="str">
        <f>IF(Source!AC12&lt;&gt;"", Source!AC12," ")</f>
        <v xml:space="preserve"> </v>
      </c>
      <c r="D143" s="12"/>
      <c r="E143" s="69"/>
      <c r="F143" s="12"/>
      <c r="G143" s="115" t="str">
        <f>IF(Source!AB12&lt;&gt;"", Source!AB12," ")</f>
        <v xml:space="preserve"> </v>
      </c>
      <c r="H143" s="115"/>
      <c r="I143" s="12"/>
      <c r="J143" s="12"/>
      <c r="K143" s="12"/>
      <c r="L143" s="12"/>
    </row>
    <row r="144" spans="1:33" ht="14.25" x14ac:dyDescent="0.2">
      <c r="A144" s="12"/>
      <c r="B144" s="12"/>
      <c r="C144" s="70" t="s">
        <v>375</v>
      </c>
      <c r="D144" s="12"/>
      <c r="E144" s="70" t="s">
        <v>376</v>
      </c>
      <c r="F144" s="12"/>
      <c r="G144" s="113" t="s">
        <v>377</v>
      </c>
      <c r="H144" s="113"/>
      <c r="I144" s="12"/>
      <c r="J144" s="12"/>
      <c r="K144" s="12"/>
      <c r="L144" s="12"/>
    </row>
    <row r="145" spans="1:12" ht="14.25" x14ac:dyDescent="0.2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</row>
    <row r="146" spans="1:12" ht="14.25" x14ac:dyDescent="0.2">
      <c r="A146" s="12"/>
      <c r="B146" s="12"/>
      <c r="C146" s="16" t="s">
        <v>378</v>
      </c>
      <c r="D146" s="12"/>
      <c r="E146" s="12"/>
      <c r="F146" s="12"/>
      <c r="G146" s="12"/>
      <c r="H146" s="12"/>
      <c r="I146" s="12"/>
      <c r="J146" s="12"/>
      <c r="K146" s="12"/>
      <c r="L146" s="12"/>
    </row>
    <row r="147" spans="1:12" ht="14.25" x14ac:dyDescent="0.2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</row>
    <row r="148" spans="1:12" ht="15" thickBot="1" x14ac:dyDescent="0.25">
      <c r="A148" s="114" t="s">
        <v>379</v>
      </c>
      <c r="B148" s="114"/>
      <c r="C148" s="68" t="str">
        <f>IF(Source!AG12&lt;&gt;"", Source!AG12," ")</f>
        <v xml:space="preserve"> </v>
      </c>
      <c r="D148" s="12"/>
      <c r="E148" s="69"/>
      <c r="F148" s="12"/>
      <c r="G148" s="115" t="str">
        <f>IF(Source!AF12&lt;&gt;"", Source!AF12," ")</f>
        <v xml:space="preserve"> </v>
      </c>
      <c r="H148" s="115"/>
      <c r="I148" s="12"/>
      <c r="J148" s="12"/>
      <c r="K148" s="12"/>
      <c r="L148" s="12"/>
    </row>
    <row r="149" spans="1:12" ht="14.25" x14ac:dyDescent="0.2">
      <c r="A149" s="12"/>
      <c r="B149" s="12"/>
      <c r="C149" s="70" t="s">
        <v>375</v>
      </c>
      <c r="D149" s="12"/>
      <c r="E149" s="70" t="s">
        <v>376</v>
      </c>
      <c r="F149" s="12"/>
      <c r="G149" s="113" t="s">
        <v>377</v>
      </c>
      <c r="H149" s="113"/>
      <c r="I149" s="12"/>
      <c r="J149" s="12"/>
      <c r="K149" s="12"/>
      <c r="L149" s="12"/>
    </row>
    <row r="150" spans="1:12" ht="14.25" x14ac:dyDescent="0.2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</row>
    <row r="151" spans="1:12" ht="14.25" x14ac:dyDescent="0.2">
      <c r="A151" s="12"/>
      <c r="B151" s="12"/>
      <c r="C151" s="16" t="s">
        <v>378</v>
      </c>
      <c r="D151" s="12"/>
      <c r="E151" s="12"/>
      <c r="F151" s="12"/>
      <c r="G151" s="12"/>
      <c r="H151" s="12"/>
      <c r="I151" s="12"/>
      <c r="J151" s="12"/>
      <c r="K151" s="12"/>
      <c r="L151" s="12"/>
    </row>
  </sheetData>
  <mergeCells count="58">
    <mergeCell ref="G149:H149"/>
    <mergeCell ref="C140:F140"/>
    <mergeCell ref="G140:H140"/>
    <mergeCell ref="A143:B143"/>
    <mergeCell ref="G143:H143"/>
    <mergeCell ref="G144:H144"/>
    <mergeCell ref="A148:B148"/>
    <mergeCell ref="G148:H148"/>
    <mergeCell ref="C139:F139"/>
    <mergeCell ref="G139:H139"/>
    <mergeCell ref="A37:H37"/>
    <mergeCell ref="C129:F129"/>
    <mergeCell ref="C132:F132"/>
    <mergeCell ref="G132:H132"/>
    <mergeCell ref="C133:F133"/>
    <mergeCell ref="G133:H133"/>
    <mergeCell ref="C134:F134"/>
    <mergeCell ref="G134:H134"/>
    <mergeCell ref="C136:F136"/>
    <mergeCell ref="C138:F138"/>
    <mergeCell ref="G138:H138"/>
    <mergeCell ref="F31:G31"/>
    <mergeCell ref="A33:B33"/>
    <mergeCell ref="C33:C34"/>
    <mergeCell ref="D33:D34"/>
    <mergeCell ref="E33:E34"/>
    <mergeCell ref="F33:H33"/>
    <mergeCell ref="A29:H29"/>
    <mergeCell ref="C18:E18"/>
    <mergeCell ref="D19:F19"/>
    <mergeCell ref="G19:H19"/>
    <mergeCell ref="D20:E20"/>
    <mergeCell ref="G20:H20"/>
    <mergeCell ref="G21:H21"/>
    <mergeCell ref="G22:H22"/>
    <mergeCell ref="D24:D25"/>
    <mergeCell ref="E24:E25"/>
    <mergeCell ref="F24:G24"/>
    <mergeCell ref="A28:H28"/>
    <mergeCell ref="C14:E14"/>
    <mergeCell ref="G14:H15"/>
    <mergeCell ref="C15:E15"/>
    <mergeCell ref="C16:E16"/>
    <mergeCell ref="G16:H17"/>
    <mergeCell ref="C17:E17"/>
    <mergeCell ref="C10:E10"/>
    <mergeCell ref="G10:H11"/>
    <mergeCell ref="C11:E11"/>
    <mergeCell ref="C12:E12"/>
    <mergeCell ref="G12:H13"/>
    <mergeCell ref="C13:E13"/>
    <mergeCell ref="G8:H9"/>
    <mergeCell ref="C9:E9"/>
    <mergeCell ref="E2:H2"/>
    <mergeCell ref="E3:H3"/>
    <mergeCell ref="E4:H4"/>
    <mergeCell ref="G6:H6"/>
    <mergeCell ref="G7:H7"/>
  </mergeCells>
  <pageMargins left="0.4" right="0.2" top="0.4" bottom="0.4" header="0.2" footer="0.2"/>
  <pageSetup paperSize="9" scale="85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K142"/>
  <sheetViews>
    <sheetView workbookViewId="0">
      <selection activeCell="A138" sqref="A138:AH138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27251</v>
      </c>
      <c r="M1">
        <v>10</v>
      </c>
    </row>
    <row r="12" spans="1:133" x14ac:dyDescent="0.2">
      <c r="A12" s="1">
        <v>1</v>
      </c>
      <c r="B12" s="1">
        <v>137</v>
      </c>
      <c r="C12" s="1">
        <v>0</v>
      </c>
      <c r="D12" s="1">
        <f>ROW(A76)</f>
        <v>76</v>
      </c>
      <c r="E12" s="1">
        <v>0</v>
      </c>
      <c r="F12" s="1" t="s">
        <v>4</v>
      </c>
      <c r="G12" s="1" t="s">
        <v>5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524296</v>
      </c>
      <c r="CI12" s="1" t="s">
        <v>6</v>
      </c>
      <c r="CJ12" s="1" t="s">
        <v>6</v>
      </c>
      <c r="CK12" s="1">
        <v>0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45" x14ac:dyDescent="0.2">
      <c r="A18" s="2">
        <v>52</v>
      </c>
      <c r="B18" s="2">
        <f t="shared" ref="B18:G18" si="0">B76</f>
        <v>137</v>
      </c>
      <c r="C18" s="2">
        <f t="shared" si="0"/>
        <v>1</v>
      </c>
      <c r="D18" s="2">
        <f t="shared" si="0"/>
        <v>12</v>
      </c>
      <c r="E18" s="2">
        <f t="shared" si="0"/>
        <v>0</v>
      </c>
      <c r="F18" s="2" t="str">
        <f t="shared" si="0"/>
        <v>Новый объект_(Копия)</v>
      </c>
      <c r="G18" s="2" t="str">
        <f t="shared" si="0"/>
        <v>Капитальный ремонт окооных проемов общежития  301,332ДИТИ НИЯУ МИФИ_цена поставщика</v>
      </c>
      <c r="H18" s="2"/>
      <c r="I18" s="2"/>
      <c r="J18" s="2"/>
      <c r="K18" s="2"/>
      <c r="L18" s="2"/>
      <c r="M18" s="2"/>
      <c r="N18" s="2"/>
      <c r="O18" s="2">
        <f t="shared" ref="O18:AT18" si="1">O76</f>
        <v>904431.83</v>
      </c>
      <c r="P18" s="2">
        <f t="shared" si="1"/>
        <v>848715.6</v>
      </c>
      <c r="Q18" s="2">
        <f t="shared" si="1"/>
        <v>5811.06</v>
      </c>
      <c r="R18" s="2">
        <f t="shared" si="1"/>
        <v>1751.29</v>
      </c>
      <c r="S18" s="2">
        <f t="shared" si="1"/>
        <v>49905.17</v>
      </c>
      <c r="T18" s="2">
        <f t="shared" si="1"/>
        <v>0</v>
      </c>
      <c r="U18" s="2">
        <f t="shared" si="1"/>
        <v>881.46275200000002</v>
      </c>
      <c r="V18" s="2">
        <f t="shared" si="1"/>
        <v>20.713344000000003</v>
      </c>
      <c r="W18" s="2">
        <f t="shared" si="1"/>
        <v>0</v>
      </c>
      <c r="X18" s="2">
        <f t="shared" si="1"/>
        <v>51302.89</v>
      </c>
      <c r="Y18" s="2">
        <f t="shared" si="1"/>
        <v>28171.83</v>
      </c>
      <c r="Z18" s="2">
        <f t="shared" si="1"/>
        <v>0</v>
      </c>
      <c r="AA18" s="2">
        <f t="shared" si="1"/>
        <v>0</v>
      </c>
      <c r="AB18" s="2">
        <f t="shared" si="1"/>
        <v>0</v>
      </c>
      <c r="AC18" s="2">
        <f t="shared" si="1"/>
        <v>0</v>
      </c>
      <c r="AD18" s="2">
        <f t="shared" si="1"/>
        <v>0</v>
      </c>
      <c r="AE18" s="2">
        <f t="shared" si="1"/>
        <v>0</v>
      </c>
      <c r="AF18" s="2">
        <f t="shared" si="1"/>
        <v>0</v>
      </c>
      <c r="AG18" s="2">
        <f t="shared" si="1"/>
        <v>0</v>
      </c>
      <c r="AH18" s="2">
        <f t="shared" si="1"/>
        <v>0</v>
      </c>
      <c r="AI18" s="2">
        <f t="shared" si="1"/>
        <v>0</v>
      </c>
      <c r="AJ18" s="2">
        <f t="shared" si="1"/>
        <v>0</v>
      </c>
      <c r="AK18" s="2">
        <f t="shared" si="1"/>
        <v>0</v>
      </c>
      <c r="AL18" s="2">
        <f t="shared" si="1"/>
        <v>0</v>
      </c>
      <c r="AM18" s="2">
        <f t="shared" si="1"/>
        <v>0</v>
      </c>
      <c r="AN18" s="2">
        <f t="shared" si="1"/>
        <v>0</v>
      </c>
      <c r="AO18" s="2">
        <f t="shared" si="1"/>
        <v>0</v>
      </c>
      <c r="AP18" s="2">
        <f t="shared" si="1"/>
        <v>0</v>
      </c>
      <c r="AQ18" s="2">
        <f t="shared" si="1"/>
        <v>0</v>
      </c>
      <c r="AR18" s="2">
        <f t="shared" si="1"/>
        <v>985498.78</v>
      </c>
      <c r="AS18" s="2">
        <f t="shared" si="1"/>
        <v>985498.78</v>
      </c>
      <c r="AT18" s="2">
        <f t="shared" si="1"/>
        <v>0</v>
      </c>
      <c r="AU18" s="2">
        <f t="shared" ref="AU18:BZ18" si="2">AU76</f>
        <v>0</v>
      </c>
      <c r="AV18" s="2">
        <f t="shared" si="2"/>
        <v>848715.6</v>
      </c>
      <c r="AW18" s="2">
        <f t="shared" si="2"/>
        <v>848715.6</v>
      </c>
      <c r="AX18" s="2">
        <f t="shared" si="2"/>
        <v>0</v>
      </c>
      <c r="AY18" s="2">
        <f t="shared" si="2"/>
        <v>848715.6</v>
      </c>
      <c r="AZ18" s="2">
        <f t="shared" si="2"/>
        <v>0</v>
      </c>
      <c r="BA18" s="2">
        <f t="shared" si="2"/>
        <v>0</v>
      </c>
      <c r="BB18" s="2">
        <f t="shared" si="2"/>
        <v>0</v>
      </c>
      <c r="BC18" s="2">
        <f t="shared" si="2"/>
        <v>0</v>
      </c>
      <c r="BD18" s="2">
        <f t="shared" si="2"/>
        <v>0</v>
      </c>
      <c r="BE18" s="2">
        <f t="shared" si="2"/>
        <v>0</v>
      </c>
      <c r="BF18" s="2">
        <f t="shared" si="2"/>
        <v>0</v>
      </c>
      <c r="BG18" s="2">
        <f t="shared" si="2"/>
        <v>0</v>
      </c>
      <c r="BH18" s="2">
        <f t="shared" si="2"/>
        <v>0</v>
      </c>
      <c r="BI18" s="2">
        <f t="shared" si="2"/>
        <v>0</v>
      </c>
      <c r="BJ18" s="2">
        <f t="shared" si="2"/>
        <v>0</v>
      </c>
      <c r="BK18" s="2">
        <f t="shared" si="2"/>
        <v>0</v>
      </c>
      <c r="BL18" s="2">
        <f t="shared" si="2"/>
        <v>0</v>
      </c>
      <c r="BM18" s="2">
        <f t="shared" si="2"/>
        <v>0</v>
      </c>
      <c r="BN18" s="2">
        <f t="shared" si="2"/>
        <v>0</v>
      </c>
      <c r="BO18" s="2">
        <f t="shared" si="2"/>
        <v>0</v>
      </c>
      <c r="BP18" s="2">
        <f t="shared" si="2"/>
        <v>0</v>
      </c>
      <c r="BQ18" s="2">
        <f t="shared" si="2"/>
        <v>0</v>
      </c>
      <c r="BR18" s="2">
        <f t="shared" si="2"/>
        <v>0</v>
      </c>
      <c r="BS18" s="2">
        <f t="shared" si="2"/>
        <v>0</v>
      </c>
      <c r="BT18" s="2">
        <f t="shared" si="2"/>
        <v>0</v>
      </c>
      <c r="BU18" s="2">
        <f t="shared" si="2"/>
        <v>0</v>
      </c>
      <c r="BV18" s="2">
        <f t="shared" si="2"/>
        <v>0</v>
      </c>
      <c r="BW18" s="2">
        <f t="shared" si="2"/>
        <v>0</v>
      </c>
      <c r="BX18" s="2">
        <f t="shared" si="2"/>
        <v>0</v>
      </c>
      <c r="BY18" s="2">
        <f t="shared" si="2"/>
        <v>0</v>
      </c>
      <c r="BZ18" s="2">
        <f t="shared" si="2"/>
        <v>0</v>
      </c>
      <c r="CA18" s="2">
        <f t="shared" ref="CA18:DF18" si="3">CA76</f>
        <v>0</v>
      </c>
      <c r="CB18" s="2">
        <f t="shared" si="3"/>
        <v>0</v>
      </c>
      <c r="CC18" s="2">
        <f t="shared" si="3"/>
        <v>0</v>
      </c>
      <c r="CD18" s="2">
        <f t="shared" si="3"/>
        <v>0</v>
      </c>
      <c r="CE18" s="2">
        <f t="shared" si="3"/>
        <v>0</v>
      </c>
      <c r="CF18" s="2">
        <f t="shared" si="3"/>
        <v>0</v>
      </c>
      <c r="CG18" s="2">
        <f t="shared" si="3"/>
        <v>0</v>
      </c>
      <c r="CH18" s="2">
        <f t="shared" si="3"/>
        <v>0</v>
      </c>
      <c r="CI18" s="2">
        <f t="shared" si="3"/>
        <v>0</v>
      </c>
      <c r="CJ18" s="2">
        <f t="shared" si="3"/>
        <v>0</v>
      </c>
      <c r="CK18" s="2">
        <f t="shared" si="3"/>
        <v>0</v>
      </c>
      <c r="CL18" s="2">
        <f t="shared" si="3"/>
        <v>0</v>
      </c>
      <c r="CM18" s="2">
        <f t="shared" si="3"/>
        <v>0</v>
      </c>
      <c r="CN18" s="2">
        <f t="shared" si="3"/>
        <v>0</v>
      </c>
      <c r="CO18" s="2">
        <f t="shared" si="3"/>
        <v>0</v>
      </c>
      <c r="CP18" s="2">
        <f t="shared" si="3"/>
        <v>0</v>
      </c>
      <c r="CQ18" s="2">
        <f t="shared" si="3"/>
        <v>0</v>
      </c>
      <c r="CR18" s="2">
        <f t="shared" si="3"/>
        <v>0</v>
      </c>
      <c r="CS18" s="2">
        <f t="shared" si="3"/>
        <v>0</v>
      </c>
      <c r="CT18" s="2">
        <f t="shared" si="3"/>
        <v>0</v>
      </c>
      <c r="CU18" s="2">
        <f t="shared" si="3"/>
        <v>0</v>
      </c>
      <c r="CV18" s="2">
        <f t="shared" si="3"/>
        <v>0</v>
      </c>
      <c r="CW18" s="2">
        <f t="shared" si="3"/>
        <v>0</v>
      </c>
      <c r="CX18" s="2">
        <f t="shared" si="3"/>
        <v>0</v>
      </c>
      <c r="CY18" s="2">
        <f t="shared" si="3"/>
        <v>0</v>
      </c>
      <c r="CZ18" s="2">
        <f t="shared" si="3"/>
        <v>0</v>
      </c>
      <c r="DA18" s="2">
        <f t="shared" si="3"/>
        <v>0</v>
      </c>
      <c r="DB18" s="2">
        <f t="shared" si="3"/>
        <v>0</v>
      </c>
      <c r="DC18" s="2">
        <f t="shared" si="3"/>
        <v>0</v>
      </c>
      <c r="DD18" s="2">
        <f t="shared" si="3"/>
        <v>0</v>
      </c>
      <c r="DE18" s="2">
        <f t="shared" si="3"/>
        <v>0</v>
      </c>
      <c r="DF18" s="2">
        <f t="shared" si="3"/>
        <v>0</v>
      </c>
      <c r="DG18" s="3">
        <f t="shared" ref="DG18:EL18" si="4">DG76</f>
        <v>0</v>
      </c>
      <c r="DH18" s="3">
        <f t="shared" si="4"/>
        <v>0</v>
      </c>
      <c r="DI18" s="3">
        <f t="shared" si="4"/>
        <v>0</v>
      </c>
      <c r="DJ18" s="3">
        <f t="shared" si="4"/>
        <v>0</v>
      </c>
      <c r="DK18" s="3">
        <f t="shared" si="4"/>
        <v>0</v>
      </c>
      <c r="DL18" s="3">
        <f t="shared" si="4"/>
        <v>0</v>
      </c>
      <c r="DM18" s="3">
        <f t="shared" si="4"/>
        <v>0</v>
      </c>
      <c r="DN18" s="3">
        <f t="shared" si="4"/>
        <v>0</v>
      </c>
      <c r="DO18" s="3">
        <f t="shared" si="4"/>
        <v>0</v>
      </c>
      <c r="DP18" s="3">
        <f t="shared" si="4"/>
        <v>0</v>
      </c>
      <c r="DQ18" s="3">
        <f t="shared" si="4"/>
        <v>0</v>
      </c>
      <c r="DR18" s="3">
        <f t="shared" si="4"/>
        <v>0</v>
      </c>
      <c r="DS18" s="3">
        <f t="shared" si="4"/>
        <v>0</v>
      </c>
      <c r="DT18" s="3">
        <f t="shared" si="4"/>
        <v>0</v>
      </c>
      <c r="DU18" s="3">
        <f t="shared" si="4"/>
        <v>0</v>
      </c>
      <c r="DV18" s="3">
        <f t="shared" si="4"/>
        <v>0</v>
      </c>
      <c r="DW18" s="3">
        <f t="shared" si="4"/>
        <v>0</v>
      </c>
      <c r="DX18" s="3">
        <f t="shared" si="4"/>
        <v>0</v>
      </c>
      <c r="DY18" s="3">
        <f t="shared" si="4"/>
        <v>0</v>
      </c>
      <c r="DZ18" s="3">
        <f t="shared" si="4"/>
        <v>0</v>
      </c>
      <c r="EA18" s="3">
        <f t="shared" si="4"/>
        <v>0</v>
      </c>
      <c r="EB18" s="3">
        <f t="shared" si="4"/>
        <v>0</v>
      </c>
      <c r="EC18" s="3">
        <f t="shared" si="4"/>
        <v>0</v>
      </c>
      <c r="ED18" s="3">
        <f t="shared" si="4"/>
        <v>0</v>
      </c>
      <c r="EE18" s="3">
        <f t="shared" si="4"/>
        <v>0</v>
      </c>
      <c r="EF18" s="3">
        <f t="shared" si="4"/>
        <v>0</v>
      </c>
      <c r="EG18" s="3">
        <f t="shared" si="4"/>
        <v>0</v>
      </c>
      <c r="EH18" s="3">
        <f t="shared" si="4"/>
        <v>0</v>
      </c>
      <c r="EI18" s="3">
        <f t="shared" si="4"/>
        <v>0</v>
      </c>
      <c r="EJ18" s="3">
        <f t="shared" si="4"/>
        <v>0</v>
      </c>
      <c r="EK18" s="3">
        <f t="shared" si="4"/>
        <v>0</v>
      </c>
      <c r="EL18" s="3">
        <f t="shared" si="4"/>
        <v>0</v>
      </c>
      <c r="EM18" s="3">
        <f t="shared" ref="EM18:FR18" si="5">EM76</f>
        <v>0</v>
      </c>
      <c r="EN18" s="3">
        <f t="shared" si="5"/>
        <v>0</v>
      </c>
      <c r="EO18" s="3">
        <f t="shared" si="5"/>
        <v>0</v>
      </c>
      <c r="EP18" s="3">
        <f t="shared" si="5"/>
        <v>0</v>
      </c>
      <c r="EQ18" s="3">
        <f t="shared" si="5"/>
        <v>0</v>
      </c>
      <c r="ER18" s="3">
        <f t="shared" si="5"/>
        <v>0</v>
      </c>
      <c r="ES18" s="3">
        <f t="shared" si="5"/>
        <v>0</v>
      </c>
      <c r="ET18" s="3">
        <f t="shared" si="5"/>
        <v>0</v>
      </c>
      <c r="EU18" s="3">
        <f t="shared" si="5"/>
        <v>0</v>
      </c>
      <c r="EV18" s="3">
        <f t="shared" si="5"/>
        <v>0</v>
      </c>
      <c r="EW18" s="3">
        <f t="shared" si="5"/>
        <v>0</v>
      </c>
      <c r="EX18" s="3">
        <f t="shared" si="5"/>
        <v>0</v>
      </c>
      <c r="EY18" s="3">
        <f t="shared" si="5"/>
        <v>0</v>
      </c>
      <c r="EZ18" s="3">
        <f t="shared" si="5"/>
        <v>0</v>
      </c>
      <c r="FA18" s="3">
        <f t="shared" si="5"/>
        <v>0</v>
      </c>
      <c r="FB18" s="3">
        <f t="shared" si="5"/>
        <v>0</v>
      </c>
      <c r="FC18" s="3">
        <f t="shared" si="5"/>
        <v>0</v>
      </c>
      <c r="FD18" s="3">
        <f t="shared" si="5"/>
        <v>0</v>
      </c>
      <c r="FE18" s="3">
        <f t="shared" si="5"/>
        <v>0</v>
      </c>
      <c r="FF18" s="3">
        <f t="shared" si="5"/>
        <v>0</v>
      </c>
      <c r="FG18" s="3">
        <f t="shared" si="5"/>
        <v>0</v>
      </c>
      <c r="FH18" s="3">
        <f t="shared" si="5"/>
        <v>0</v>
      </c>
      <c r="FI18" s="3">
        <f t="shared" si="5"/>
        <v>0</v>
      </c>
      <c r="FJ18" s="3">
        <f t="shared" si="5"/>
        <v>0</v>
      </c>
      <c r="FK18" s="3">
        <f t="shared" si="5"/>
        <v>0</v>
      </c>
      <c r="FL18" s="3">
        <f t="shared" si="5"/>
        <v>0</v>
      </c>
      <c r="FM18" s="3">
        <f t="shared" si="5"/>
        <v>0</v>
      </c>
      <c r="FN18" s="3">
        <f t="shared" si="5"/>
        <v>0</v>
      </c>
      <c r="FO18" s="3">
        <f t="shared" si="5"/>
        <v>0</v>
      </c>
      <c r="FP18" s="3">
        <f t="shared" si="5"/>
        <v>0</v>
      </c>
      <c r="FQ18" s="3">
        <f t="shared" si="5"/>
        <v>0</v>
      </c>
      <c r="FR18" s="3">
        <f t="shared" si="5"/>
        <v>0</v>
      </c>
      <c r="FS18" s="3">
        <f t="shared" ref="FS18:GX18" si="6">FS76</f>
        <v>0</v>
      </c>
      <c r="FT18" s="3">
        <f t="shared" si="6"/>
        <v>0</v>
      </c>
      <c r="FU18" s="3">
        <f t="shared" si="6"/>
        <v>0</v>
      </c>
      <c r="FV18" s="3">
        <f t="shared" si="6"/>
        <v>0</v>
      </c>
      <c r="FW18" s="3">
        <f t="shared" si="6"/>
        <v>0</v>
      </c>
      <c r="FX18" s="3">
        <f t="shared" si="6"/>
        <v>0</v>
      </c>
      <c r="FY18" s="3">
        <f t="shared" si="6"/>
        <v>0</v>
      </c>
      <c r="FZ18" s="3">
        <f t="shared" si="6"/>
        <v>0</v>
      </c>
      <c r="GA18" s="3">
        <f t="shared" si="6"/>
        <v>0</v>
      </c>
      <c r="GB18" s="3">
        <f t="shared" si="6"/>
        <v>0</v>
      </c>
      <c r="GC18" s="3">
        <f t="shared" si="6"/>
        <v>0</v>
      </c>
      <c r="GD18" s="3">
        <f t="shared" si="6"/>
        <v>0</v>
      </c>
      <c r="GE18" s="3">
        <f t="shared" si="6"/>
        <v>0</v>
      </c>
      <c r="GF18" s="3">
        <f t="shared" si="6"/>
        <v>0</v>
      </c>
      <c r="GG18" s="3">
        <f t="shared" si="6"/>
        <v>0</v>
      </c>
      <c r="GH18" s="3">
        <f t="shared" si="6"/>
        <v>0</v>
      </c>
      <c r="GI18" s="3">
        <f t="shared" si="6"/>
        <v>0</v>
      </c>
      <c r="GJ18" s="3">
        <f t="shared" si="6"/>
        <v>0</v>
      </c>
      <c r="GK18" s="3">
        <f t="shared" si="6"/>
        <v>0</v>
      </c>
      <c r="GL18" s="3">
        <f t="shared" si="6"/>
        <v>0</v>
      </c>
      <c r="GM18" s="3">
        <f t="shared" si="6"/>
        <v>0</v>
      </c>
      <c r="GN18" s="3">
        <f t="shared" si="6"/>
        <v>0</v>
      </c>
      <c r="GO18" s="3">
        <f t="shared" si="6"/>
        <v>0</v>
      </c>
      <c r="GP18" s="3">
        <f t="shared" si="6"/>
        <v>0</v>
      </c>
      <c r="GQ18" s="3">
        <f t="shared" si="6"/>
        <v>0</v>
      </c>
      <c r="GR18" s="3">
        <f t="shared" si="6"/>
        <v>0</v>
      </c>
      <c r="GS18" s="3">
        <f t="shared" si="6"/>
        <v>0</v>
      </c>
      <c r="GT18" s="3">
        <f t="shared" si="6"/>
        <v>0</v>
      </c>
      <c r="GU18" s="3">
        <f t="shared" si="6"/>
        <v>0</v>
      </c>
      <c r="GV18" s="3">
        <f t="shared" si="6"/>
        <v>0</v>
      </c>
      <c r="GW18" s="3">
        <f t="shared" si="6"/>
        <v>0</v>
      </c>
      <c r="GX18" s="3">
        <f t="shared" si="6"/>
        <v>0</v>
      </c>
    </row>
    <row r="20" spans="1:245" x14ac:dyDescent="0.2">
      <c r="A20" s="1">
        <v>3</v>
      </c>
      <c r="B20" s="1">
        <v>1</v>
      </c>
      <c r="C20" s="1"/>
      <c r="D20" s="1">
        <f>ROW(A44)</f>
        <v>44</v>
      </c>
      <c r="E20" s="1"/>
      <c r="F20" s="1" t="s">
        <v>12</v>
      </c>
      <c r="G20" s="1" t="s">
        <v>12</v>
      </c>
      <c r="H20" s="1" t="s">
        <v>6</v>
      </c>
      <c r="I20" s="1">
        <v>0</v>
      </c>
      <c r="J20" s="1" t="s">
        <v>6</v>
      </c>
      <c r="K20" s="1">
        <v>0</v>
      </c>
      <c r="L20" s="1" t="s">
        <v>6</v>
      </c>
      <c r="M20" s="1"/>
      <c r="N20" s="1"/>
      <c r="O20" s="1"/>
      <c r="P20" s="1"/>
      <c r="Q20" s="1"/>
      <c r="R20" s="1"/>
      <c r="S20" s="1"/>
      <c r="T20" s="1"/>
      <c r="U20" s="1" t="s">
        <v>6</v>
      </c>
      <c r="V20" s="1">
        <v>0</v>
      </c>
      <c r="W20" s="1"/>
      <c r="X20" s="1"/>
      <c r="Y20" s="1"/>
      <c r="Z20" s="1"/>
      <c r="AA20" s="1"/>
      <c r="AB20" s="1" t="s">
        <v>6</v>
      </c>
      <c r="AC20" s="1" t="s">
        <v>6</v>
      </c>
      <c r="AD20" s="1" t="s">
        <v>6</v>
      </c>
      <c r="AE20" s="1" t="s">
        <v>6</v>
      </c>
      <c r="AF20" s="1" t="s">
        <v>6</v>
      </c>
      <c r="AG20" s="1" t="s">
        <v>6</v>
      </c>
      <c r="AH20" s="1"/>
      <c r="AI20" s="1"/>
      <c r="AJ20" s="1"/>
      <c r="AK20" s="1"/>
      <c r="AL20" s="1"/>
      <c r="AM20" s="1"/>
      <c r="AN20" s="1"/>
      <c r="AO20" s="1"/>
      <c r="AP20" s="1" t="s">
        <v>6</v>
      </c>
      <c r="AQ20" s="1" t="s">
        <v>6</v>
      </c>
      <c r="AR20" s="1" t="s">
        <v>6</v>
      </c>
      <c r="AS20" s="1"/>
      <c r="AT20" s="1"/>
      <c r="AU20" s="1"/>
      <c r="AV20" s="1"/>
      <c r="AW20" s="1"/>
      <c r="AX20" s="1"/>
      <c r="AY20" s="1"/>
      <c r="AZ20" s="1" t="s">
        <v>6</v>
      </c>
      <c r="BA20" s="1"/>
      <c r="BB20" s="1" t="s">
        <v>6</v>
      </c>
      <c r="BC20" s="1" t="s">
        <v>6</v>
      </c>
      <c r="BD20" s="1" t="s">
        <v>6</v>
      </c>
      <c r="BE20" s="1" t="s">
        <v>6</v>
      </c>
      <c r="BF20" s="1" t="s">
        <v>6</v>
      </c>
      <c r="BG20" s="1" t="s">
        <v>6</v>
      </c>
      <c r="BH20" s="1" t="s">
        <v>6</v>
      </c>
      <c r="BI20" s="1" t="s">
        <v>6</v>
      </c>
      <c r="BJ20" s="1" t="s">
        <v>6</v>
      </c>
      <c r="BK20" s="1" t="s">
        <v>6</v>
      </c>
      <c r="BL20" s="1" t="s">
        <v>6</v>
      </c>
      <c r="BM20" s="1" t="s">
        <v>6</v>
      </c>
      <c r="BN20" s="1" t="s">
        <v>6</v>
      </c>
      <c r="BO20" s="1" t="s">
        <v>6</v>
      </c>
      <c r="BP20" s="1" t="s">
        <v>6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6</v>
      </c>
      <c r="CJ20" s="1" t="s">
        <v>6</v>
      </c>
    </row>
    <row r="22" spans="1:245" x14ac:dyDescent="0.2">
      <c r="A22" s="2">
        <v>52</v>
      </c>
      <c r="B22" s="2">
        <f t="shared" ref="B22:G22" si="7">B44</f>
        <v>1</v>
      </c>
      <c r="C22" s="2">
        <f t="shared" si="7"/>
        <v>3</v>
      </c>
      <c r="D22" s="2">
        <f t="shared" si="7"/>
        <v>20</v>
      </c>
      <c r="E22" s="2">
        <f t="shared" si="7"/>
        <v>0</v>
      </c>
      <c r="F22" s="2" t="str">
        <f t="shared" si="7"/>
        <v>Новая локальная смета</v>
      </c>
      <c r="G22" s="2" t="str">
        <f t="shared" si="7"/>
        <v>Новая локальная смета</v>
      </c>
      <c r="H22" s="2"/>
      <c r="I22" s="2"/>
      <c r="J22" s="2"/>
      <c r="K22" s="2"/>
      <c r="L22" s="2"/>
      <c r="M22" s="2"/>
      <c r="N22" s="2"/>
      <c r="O22" s="2">
        <f t="shared" ref="O22:AT22" si="8">O44</f>
        <v>904431.83</v>
      </c>
      <c r="P22" s="2">
        <f t="shared" si="8"/>
        <v>848715.6</v>
      </c>
      <c r="Q22" s="2">
        <f t="shared" si="8"/>
        <v>5811.06</v>
      </c>
      <c r="R22" s="2">
        <f t="shared" si="8"/>
        <v>1751.29</v>
      </c>
      <c r="S22" s="2">
        <f t="shared" si="8"/>
        <v>49905.17</v>
      </c>
      <c r="T22" s="2">
        <f t="shared" si="8"/>
        <v>0</v>
      </c>
      <c r="U22" s="2">
        <f t="shared" si="8"/>
        <v>881.46275200000002</v>
      </c>
      <c r="V22" s="2">
        <f t="shared" si="8"/>
        <v>20.713344000000003</v>
      </c>
      <c r="W22" s="2">
        <f t="shared" si="8"/>
        <v>0</v>
      </c>
      <c r="X22" s="2">
        <f t="shared" si="8"/>
        <v>51302.89</v>
      </c>
      <c r="Y22" s="2">
        <f t="shared" si="8"/>
        <v>28171.83</v>
      </c>
      <c r="Z22" s="2">
        <f t="shared" si="8"/>
        <v>0</v>
      </c>
      <c r="AA22" s="2">
        <f t="shared" si="8"/>
        <v>0</v>
      </c>
      <c r="AB22" s="2">
        <f t="shared" si="8"/>
        <v>904431.83</v>
      </c>
      <c r="AC22" s="2">
        <f t="shared" si="8"/>
        <v>848715.6</v>
      </c>
      <c r="AD22" s="2">
        <f t="shared" si="8"/>
        <v>5811.06</v>
      </c>
      <c r="AE22" s="2">
        <f t="shared" si="8"/>
        <v>1751.29</v>
      </c>
      <c r="AF22" s="2">
        <f t="shared" si="8"/>
        <v>49905.17</v>
      </c>
      <c r="AG22" s="2">
        <f t="shared" si="8"/>
        <v>0</v>
      </c>
      <c r="AH22" s="2">
        <f t="shared" si="8"/>
        <v>881.46275200000002</v>
      </c>
      <c r="AI22" s="2">
        <f t="shared" si="8"/>
        <v>20.713344000000003</v>
      </c>
      <c r="AJ22" s="2">
        <f t="shared" si="8"/>
        <v>0</v>
      </c>
      <c r="AK22" s="2">
        <f t="shared" si="8"/>
        <v>51302.89</v>
      </c>
      <c r="AL22" s="2">
        <f t="shared" si="8"/>
        <v>28171.83</v>
      </c>
      <c r="AM22" s="2">
        <f t="shared" si="8"/>
        <v>0</v>
      </c>
      <c r="AN22" s="2">
        <f t="shared" si="8"/>
        <v>0</v>
      </c>
      <c r="AO22" s="2">
        <f t="shared" si="8"/>
        <v>0</v>
      </c>
      <c r="AP22" s="2">
        <f t="shared" si="8"/>
        <v>0</v>
      </c>
      <c r="AQ22" s="2">
        <f t="shared" si="8"/>
        <v>0</v>
      </c>
      <c r="AR22" s="2">
        <f t="shared" si="8"/>
        <v>985498.78</v>
      </c>
      <c r="AS22" s="2">
        <f t="shared" si="8"/>
        <v>985498.78</v>
      </c>
      <c r="AT22" s="2">
        <f t="shared" si="8"/>
        <v>0</v>
      </c>
      <c r="AU22" s="2">
        <f t="shared" ref="AU22:BZ22" si="9">AU44</f>
        <v>0</v>
      </c>
      <c r="AV22" s="2">
        <f t="shared" si="9"/>
        <v>848715.6</v>
      </c>
      <c r="AW22" s="2">
        <f t="shared" si="9"/>
        <v>848715.6</v>
      </c>
      <c r="AX22" s="2">
        <f t="shared" si="9"/>
        <v>0</v>
      </c>
      <c r="AY22" s="2">
        <f t="shared" si="9"/>
        <v>848715.6</v>
      </c>
      <c r="AZ22" s="2">
        <f t="shared" si="9"/>
        <v>0</v>
      </c>
      <c r="BA22" s="2">
        <f t="shared" si="9"/>
        <v>0</v>
      </c>
      <c r="BB22" s="2">
        <f t="shared" si="9"/>
        <v>0</v>
      </c>
      <c r="BC22" s="2">
        <f t="shared" si="9"/>
        <v>0</v>
      </c>
      <c r="BD22" s="2">
        <f t="shared" si="9"/>
        <v>0</v>
      </c>
      <c r="BE22" s="2">
        <f t="shared" si="9"/>
        <v>0</v>
      </c>
      <c r="BF22" s="2">
        <f t="shared" si="9"/>
        <v>0</v>
      </c>
      <c r="BG22" s="2">
        <f t="shared" si="9"/>
        <v>0</v>
      </c>
      <c r="BH22" s="2">
        <f t="shared" si="9"/>
        <v>0</v>
      </c>
      <c r="BI22" s="2">
        <f t="shared" si="9"/>
        <v>0</v>
      </c>
      <c r="BJ22" s="2">
        <f t="shared" si="9"/>
        <v>0</v>
      </c>
      <c r="BK22" s="2">
        <f t="shared" si="9"/>
        <v>0</v>
      </c>
      <c r="BL22" s="2">
        <f t="shared" si="9"/>
        <v>0</v>
      </c>
      <c r="BM22" s="2">
        <f t="shared" si="9"/>
        <v>0</v>
      </c>
      <c r="BN22" s="2">
        <f t="shared" si="9"/>
        <v>0</v>
      </c>
      <c r="BO22" s="2">
        <f t="shared" si="9"/>
        <v>0</v>
      </c>
      <c r="BP22" s="2">
        <f t="shared" si="9"/>
        <v>0</v>
      </c>
      <c r="BQ22" s="2">
        <f t="shared" si="9"/>
        <v>0</v>
      </c>
      <c r="BR22" s="2">
        <f t="shared" si="9"/>
        <v>0</v>
      </c>
      <c r="BS22" s="2">
        <f t="shared" si="9"/>
        <v>0</v>
      </c>
      <c r="BT22" s="2">
        <f t="shared" si="9"/>
        <v>0</v>
      </c>
      <c r="BU22" s="2">
        <f t="shared" si="9"/>
        <v>0</v>
      </c>
      <c r="BV22" s="2">
        <f t="shared" si="9"/>
        <v>0</v>
      </c>
      <c r="BW22" s="2">
        <f t="shared" si="9"/>
        <v>0</v>
      </c>
      <c r="BX22" s="2">
        <f t="shared" si="9"/>
        <v>0</v>
      </c>
      <c r="BY22" s="2">
        <f t="shared" si="9"/>
        <v>0</v>
      </c>
      <c r="BZ22" s="2">
        <f t="shared" si="9"/>
        <v>0</v>
      </c>
      <c r="CA22" s="2">
        <f t="shared" ref="CA22:DF22" si="10">CA44</f>
        <v>985498.78</v>
      </c>
      <c r="CB22" s="2">
        <f t="shared" si="10"/>
        <v>985498.78</v>
      </c>
      <c r="CC22" s="2">
        <f t="shared" si="10"/>
        <v>0</v>
      </c>
      <c r="CD22" s="2">
        <f t="shared" si="10"/>
        <v>0</v>
      </c>
      <c r="CE22" s="2">
        <f t="shared" si="10"/>
        <v>848715.6</v>
      </c>
      <c r="CF22" s="2">
        <f t="shared" si="10"/>
        <v>848715.6</v>
      </c>
      <c r="CG22" s="2">
        <f t="shared" si="10"/>
        <v>0</v>
      </c>
      <c r="CH22" s="2">
        <f t="shared" si="10"/>
        <v>848715.6</v>
      </c>
      <c r="CI22" s="2">
        <f t="shared" si="10"/>
        <v>0</v>
      </c>
      <c r="CJ22" s="2">
        <f t="shared" si="10"/>
        <v>0</v>
      </c>
      <c r="CK22" s="2">
        <f t="shared" si="10"/>
        <v>0</v>
      </c>
      <c r="CL22" s="2">
        <f t="shared" si="10"/>
        <v>0</v>
      </c>
      <c r="CM22" s="2">
        <f t="shared" si="10"/>
        <v>0</v>
      </c>
      <c r="CN22" s="2">
        <f t="shared" si="10"/>
        <v>0</v>
      </c>
      <c r="CO22" s="2">
        <f t="shared" si="10"/>
        <v>0</v>
      </c>
      <c r="CP22" s="2">
        <f t="shared" si="10"/>
        <v>0</v>
      </c>
      <c r="CQ22" s="2">
        <f t="shared" si="10"/>
        <v>0</v>
      </c>
      <c r="CR22" s="2">
        <f t="shared" si="10"/>
        <v>0</v>
      </c>
      <c r="CS22" s="2">
        <f t="shared" si="10"/>
        <v>0</v>
      </c>
      <c r="CT22" s="2">
        <f t="shared" si="10"/>
        <v>0</v>
      </c>
      <c r="CU22" s="2">
        <f t="shared" si="10"/>
        <v>0</v>
      </c>
      <c r="CV22" s="2">
        <f t="shared" si="10"/>
        <v>0</v>
      </c>
      <c r="CW22" s="2">
        <f t="shared" si="10"/>
        <v>0</v>
      </c>
      <c r="CX22" s="2">
        <f t="shared" si="10"/>
        <v>0</v>
      </c>
      <c r="CY22" s="2">
        <f t="shared" si="10"/>
        <v>0</v>
      </c>
      <c r="CZ22" s="2">
        <f t="shared" si="10"/>
        <v>0</v>
      </c>
      <c r="DA22" s="2">
        <f t="shared" si="10"/>
        <v>0</v>
      </c>
      <c r="DB22" s="2">
        <f t="shared" si="10"/>
        <v>0</v>
      </c>
      <c r="DC22" s="2">
        <f t="shared" si="10"/>
        <v>0</v>
      </c>
      <c r="DD22" s="2">
        <f t="shared" si="10"/>
        <v>0</v>
      </c>
      <c r="DE22" s="2">
        <f t="shared" si="10"/>
        <v>0</v>
      </c>
      <c r="DF22" s="2">
        <f t="shared" si="10"/>
        <v>0</v>
      </c>
      <c r="DG22" s="3">
        <f t="shared" ref="DG22:EL22" si="11">DG44</f>
        <v>0</v>
      </c>
      <c r="DH22" s="3">
        <f t="shared" si="11"/>
        <v>0</v>
      </c>
      <c r="DI22" s="3">
        <f t="shared" si="11"/>
        <v>0</v>
      </c>
      <c r="DJ22" s="3">
        <f t="shared" si="11"/>
        <v>0</v>
      </c>
      <c r="DK22" s="3">
        <f t="shared" si="11"/>
        <v>0</v>
      </c>
      <c r="DL22" s="3">
        <f t="shared" si="11"/>
        <v>0</v>
      </c>
      <c r="DM22" s="3">
        <f t="shared" si="11"/>
        <v>0</v>
      </c>
      <c r="DN22" s="3">
        <f t="shared" si="11"/>
        <v>0</v>
      </c>
      <c r="DO22" s="3">
        <f t="shared" si="11"/>
        <v>0</v>
      </c>
      <c r="DP22" s="3">
        <f t="shared" si="11"/>
        <v>0</v>
      </c>
      <c r="DQ22" s="3">
        <f t="shared" si="11"/>
        <v>0</v>
      </c>
      <c r="DR22" s="3">
        <f t="shared" si="11"/>
        <v>0</v>
      </c>
      <c r="DS22" s="3">
        <f t="shared" si="11"/>
        <v>0</v>
      </c>
      <c r="DT22" s="3">
        <f t="shared" si="11"/>
        <v>0</v>
      </c>
      <c r="DU22" s="3">
        <f t="shared" si="11"/>
        <v>0</v>
      </c>
      <c r="DV22" s="3">
        <f t="shared" si="11"/>
        <v>0</v>
      </c>
      <c r="DW22" s="3">
        <f t="shared" si="11"/>
        <v>0</v>
      </c>
      <c r="DX22" s="3">
        <f t="shared" si="11"/>
        <v>0</v>
      </c>
      <c r="DY22" s="3">
        <f t="shared" si="11"/>
        <v>0</v>
      </c>
      <c r="DZ22" s="3">
        <f t="shared" si="11"/>
        <v>0</v>
      </c>
      <c r="EA22" s="3">
        <f t="shared" si="11"/>
        <v>0</v>
      </c>
      <c r="EB22" s="3">
        <f t="shared" si="11"/>
        <v>0</v>
      </c>
      <c r="EC22" s="3">
        <f t="shared" si="11"/>
        <v>0</v>
      </c>
      <c r="ED22" s="3">
        <f t="shared" si="11"/>
        <v>0</v>
      </c>
      <c r="EE22" s="3">
        <f t="shared" si="11"/>
        <v>0</v>
      </c>
      <c r="EF22" s="3">
        <f t="shared" si="11"/>
        <v>0</v>
      </c>
      <c r="EG22" s="3">
        <f t="shared" si="11"/>
        <v>0</v>
      </c>
      <c r="EH22" s="3">
        <f t="shared" si="11"/>
        <v>0</v>
      </c>
      <c r="EI22" s="3">
        <f t="shared" si="11"/>
        <v>0</v>
      </c>
      <c r="EJ22" s="3">
        <f t="shared" si="11"/>
        <v>0</v>
      </c>
      <c r="EK22" s="3">
        <f t="shared" si="11"/>
        <v>0</v>
      </c>
      <c r="EL22" s="3">
        <f t="shared" si="11"/>
        <v>0</v>
      </c>
      <c r="EM22" s="3">
        <f t="shared" ref="EM22:FR22" si="12">EM44</f>
        <v>0</v>
      </c>
      <c r="EN22" s="3">
        <f t="shared" si="12"/>
        <v>0</v>
      </c>
      <c r="EO22" s="3">
        <f t="shared" si="12"/>
        <v>0</v>
      </c>
      <c r="EP22" s="3">
        <f t="shared" si="12"/>
        <v>0</v>
      </c>
      <c r="EQ22" s="3">
        <f t="shared" si="12"/>
        <v>0</v>
      </c>
      <c r="ER22" s="3">
        <f t="shared" si="12"/>
        <v>0</v>
      </c>
      <c r="ES22" s="3">
        <f t="shared" si="12"/>
        <v>0</v>
      </c>
      <c r="ET22" s="3">
        <f t="shared" si="12"/>
        <v>0</v>
      </c>
      <c r="EU22" s="3">
        <f t="shared" si="12"/>
        <v>0</v>
      </c>
      <c r="EV22" s="3">
        <f t="shared" si="12"/>
        <v>0</v>
      </c>
      <c r="EW22" s="3">
        <f t="shared" si="12"/>
        <v>0</v>
      </c>
      <c r="EX22" s="3">
        <f t="shared" si="12"/>
        <v>0</v>
      </c>
      <c r="EY22" s="3">
        <f t="shared" si="12"/>
        <v>0</v>
      </c>
      <c r="EZ22" s="3">
        <f t="shared" si="12"/>
        <v>0</v>
      </c>
      <c r="FA22" s="3">
        <f t="shared" si="12"/>
        <v>0</v>
      </c>
      <c r="FB22" s="3">
        <f t="shared" si="12"/>
        <v>0</v>
      </c>
      <c r="FC22" s="3">
        <f t="shared" si="12"/>
        <v>0</v>
      </c>
      <c r="FD22" s="3">
        <f t="shared" si="12"/>
        <v>0</v>
      </c>
      <c r="FE22" s="3">
        <f t="shared" si="12"/>
        <v>0</v>
      </c>
      <c r="FF22" s="3">
        <f t="shared" si="12"/>
        <v>0</v>
      </c>
      <c r="FG22" s="3">
        <f t="shared" si="12"/>
        <v>0</v>
      </c>
      <c r="FH22" s="3">
        <f t="shared" si="12"/>
        <v>0</v>
      </c>
      <c r="FI22" s="3">
        <f t="shared" si="12"/>
        <v>0</v>
      </c>
      <c r="FJ22" s="3">
        <f t="shared" si="12"/>
        <v>0</v>
      </c>
      <c r="FK22" s="3">
        <f t="shared" si="12"/>
        <v>0</v>
      </c>
      <c r="FL22" s="3">
        <f t="shared" si="12"/>
        <v>0</v>
      </c>
      <c r="FM22" s="3">
        <f t="shared" si="12"/>
        <v>0</v>
      </c>
      <c r="FN22" s="3">
        <f t="shared" si="12"/>
        <v>0</v>
      </c>
      <c r="FO22" s="3">
        <f t="shared" si="12"/>
        <v>0</v>
      </c>
      <c r="FP22" s="3">
        <f t="shared" si="12"/>
        <v>0</v>
      </c>
      <c r="FQ22" s="3">
        <f t="shared" si="12"/>
        <v>0</v>
      </c>
      <c r="FR22" s="3">
        <f t="shared" si="12"/>
        <v>0</v>
      </c>
      <c r="FS22" s="3">
        <f t="shared" ref="FS22:GX22" si="13">FS44</f>
        <v>0</v>
      </c>
      <c r="FT22" s="3">
        <f t="shared" si="13"/>
        <v>0</v>
      </c>
      <c r="FU22" s="3">
        <f t="shared" si="13"/>
        <v>0</v>
      </c>
      <c r="FV22" s="3">
        <f t="shared" si="13"/>
        <v>0</v>
      </c>
      <c r="FW22" s="3">
        <f t="shared" si="13"/>
        <v>0</v>
      </c>
      <c r="FX22" s="3">
        <f t="shared" si="13"/>
        <v>0</v>
      </c>
      <c r="FY22" s="3">
        <f t="shared" si="13"/>
        <v>0</v>
      </c>
      <c r="FZ22" s="3">
        <f t="shared" si="13"/>
        <v>0</v>
      </c>
      <c r="GA22" s="3">
        <f t="shared" si="13"/>
        <v>0</v>
      </c>
      <c r="GB22" s="3">
        <f t="shared" si="13"/>
        <v>0</v>
      </c>
      <c r="GC22" s="3">
        <f t="shared" si="13"/>
        <v>0</v>
      </c>
      <c r="GD22" s="3">
        <f t="shared" si="13"/>
        <v>0</v>
      </c>
      <c r="GE22" s="3">
        <f t="shared" si="13"/>
        <v>0</v>
      </c>
      <c r="GF22" s="3">
        <f t="shared" si="13"/>
        <v>0</v>
      </c>
      <c r="GG22" s="3">
        <f t="shared" si="13"/>
        <v>0</v>
      </c>
      <c r="GH22" s="3">
        <f t="shared" si="13"/>
        <v>0</v>
      </c>
      <c r="GI22" s="3">
        <f t="shared" si="13"/>
        <v>0</v>
      </c>
      <c r="GJ22" s="3">
        <f t="shared" si="13"/>
        <v>0</v>
      </c>
      <c r="GK22" s="3">
        <f t="shared" si="13"/>
        <v>0</v>
      </c>
      <c r="GL22" s="3">
        <f t="shared" si="13"/>
        <v>0</v>
      </c>
      <c r="GM22" s="3">
        <f t="shared" si="13"/>
        <v>0</v>
      </c>
      <c r="GN22" s="3">
        <f t="shared" si="13"/>
        <v>0</v>
      </c>
      <c r="GO22" s="3">
        <f t="shared" si="13"/>
        <v>0</v>
      </c>
      <c r="GP22" s="3">
        <f t="shared" si="13"/>
        <v>0</v>
      </c>
      <c r="GQ22" s="3">
        <f t="shared" si="13"/>
        <v>0</v>
      </c>
      <c r="GR22" s="3">
        <f t="shared" si="13"/>
        <v>0</v>
      </c>
      <c r="GS22" s="3">
        <f t="shared" si="13"/>
        <v>0</v>
      </c>
      <c r="GT22" s="3">
        <f t="shared" si="13"/>
        <v>0</v>
      </c>
      <c r="GU22" s="3">
        <f t="shared" si="13"/>
        <v>0</v>
      </c>
      <c r="GV22" s="3">
        <f t="shared" si="13"/>
        <v>0</v>
      </c>
      <c r="GW22" s="3">
        <f t="shared" si="13"/>
        <v>0</v>
      </c>
      <c r="GX22" s="3">
        <f t="shared" si="13"/>
        <v>0</v>
      </c>
    </row>
    <row r="24" spans="1:245" x14ac:dyDescent="0.2">
      <c r="A24">
        <v>17</v>
      </c>
      <c r="B24">
        <v>1</v>
      </c>
      <c r="C24">
        <f>ROW(SmtRes!A3)</f>
        <v>3</v>
      </c>
      <c r="D24">
        <f>ROW(EtalonRes!A3)</f>
        <v>3</v>
      </c>
      <c r="E24" t="s">
        <v>13</v>
      </c>
      <c r="F24" t="s">
        <v>14</v>
      </c>
      <c r="G24" t="s">
        <v>15</v>
      </c>
      <c r="H24" t="s">
        <v>16</v>
      </c>
      <c r="I24">
        <f>ROUND(161.28/100,9)</f>
        <v>1.6128</v>
      </c>
      <c r="J24">
        <v>0</v>
      </c>
      <c r="O24">
        <f t="shared" ref="O24:O40" si="14">ROUND(CP24,2)</f>
        <v>18725.849999999999</v>
      </c>
      <c r="P24">
        <f t="shared" ref="P24:P40" si="15">ROUND(CQ24*I24,2)</f>
        <v>0</v>
      </c>
      <c r="Q24">
        <f t="shared" ref="Q24:Q40" si="16">ROUND(CR24*I24,2)</f>
        <v>2563.73</v>
      </c>
      <c r="R24">
        <f t="shared" ref="R24:R40" si="17">ROUND(CS24*I24,2)</f>
        <v>1107.19</v>
      </c>
      <c r="S24">
        <f t="shared" ref="S24:S40" si="18">ROUND(CT24*I24,2)</f>
        <v>16162.12</v>
      </c>
      <c r="T24">
        <f t="shared" ref="T24:T40" si="19">ROUND(CU24*I24,2)</f>
        <v>0</v>
      </c>
      <c r="U24">
        <f t="shared" ref="U24:U40" si="20">CV24*I24</f>
        <v>304.07731200000001</v>
      </c>
      <c r="V24">
        <f t="shared" ref="V24:V40" si="21">CW24*I24</f>
        <v>12.483072</v>
      </c>
      <c r="W24">
        <f t="shared" ref="W24:W40" si="22">ROUND(CX24*I24,2)</f>
        <v>0</v>
      </c>
      <c r="X24">
        <f t="shared" ref="X24:X40" si="23">ROUND(CY24,2)</f>
        <v>17096.62</v>
      </c>
      <c r="Y24">
        <f t="shared" ref="Y24:Y40" si="24">ROUND(CZ24,2)</f>
        <v>10361.59</v>
      </c>
      <c r="AA24">
        <v>16496534</v>
      </c>
      <c r="AB24">
        <f t="shared" ref="AB24:AB40" si="25">ROUND((AC24+AD24+AF24),6)</f>
        <v>1767.24</v>
      </c>
      <c r="AC24">
        <f t="shared" ref="AC24:AC40" si="26">ROUND((ES24),6)</f>
        <v>0</v>
      </c>
      <c r="AD24">
        <f t="shared" ref="AD24:AD40" si="27">ROUND((((ET24)-(EU24))+AE24),6)</f>
        <v>241.95</v>
      </c>
      <c r="AE24">
        <f t="shared" ref="AE24:AE40" si="28">ROUND((EU24),6)</f>
        <v>104.49</v>
      </c>
      <c r="AF24">
        <f t="shared" ref="AF24:AF40" si="29">ROUND((EV24),6)</f>
        <v>1525.29</v>
      </c>
      <c r="AG24">
        <f t="shared" ref="AG24:AG40" si="30">ROUND((AP24),6)</f>
        <v>0</v>
      </c>
      <c r="AH24">
        <f t="shared" ref="AH24:AH40" si="31">(EW24)</f>
        <v>188.54</v>
      </c>
      <c r="AI24">
        <f t="shared" ref="AI24:AI40" si="32">(EX24)</f>
        <v>7.74</v>
      </c>
      <c r="AJ24">
        <f t="shared" ref="AJ24:AJ40" si="33">ROUND((AS24),6)</f>
        <v>0</v>
      </c>
      <c r="AK24">
        <v>1767.24</v>
      </c>
      <c r="AL24">
        <v>0</v>
      </c>
      <c r="AM24">
        <v>241.95</v>
      </c>
      <c r="AN24">
        <v>104.49</v>
      </c>
      <c r="AO24">
        <v>1525.29</v>
      </c>
      <c r="AP24">
        <v>0</v>
      </c>
      <c r="AQ24">
        <v>188.54</v>
      </c>
      <c r="AR24">
        <v>7.74</v>
      </c>
      <c r="AS24">
        <v>0</v>
      </c>
      <c r="AT24">
        <v>99</v>
      </c>
      <c r="AU24">
        <v>60</v>
      </c>
      <c r="AV24">
        <v>1</v>
      </c>
      <c r="AW24">
        <v>1</v>
      </c>
      <c r="AZ24">
        <v>6.57</v>
      </c>
      <c r="BA24">
        <v>6.57</v>
      </c>
      <c r="BB24">
        <v>6.57</v>
      </c>
      <c r="BC24">
        <v>6.57</v>
      </c>
      <c r="BD24" t="s">
        <v>6</v>
      </c>
      <c r="BE24" t="s">
        <v>6</v>
      </c>
      <c r="BF24" t="s">
        <v>6</v>
      </c>
      <c r="BG24" t="s">
        <v>6</v>
      </c>
      <c r="BH24">
        <v>0</v>
      </c>
      <c r="BI24">
        <v>1</v>
      </c>
      <c r="BJ24" t="s">
        <v>17</v>
      </c>
      <c r="BM24">
        <v>46001</v>
      </c>
      <c r="BN24">
        <v>0</v>
      </c>
      <c r="BO24" t="s">
        <v>6</v>
      </c>
      <c r="BP24">
        <v>0</v>
      </c>
      <c r="BQ24">
        <v>2</v>
      </c>
      <c r="BR24">
        <v>0</v>
      </c>
      <c r="BS24">
        <v>6.57</v>
      </c>
      <c r="BT24">
        <v>1</v>
      </c>
      <c r="BU24">
        <v>1</v>
      </c>
      <c r="BV24">
        <v>1</v>
      </c>
      <c r="BW24">
        <v>1</v>
      </c>
      <c r="BX24">
        <v>1</v>
      </c>
      <c r="BY24" t="s">
        <v>6</v>
      </c>
      <c r="BZ24">
        <v>110</v>
      </c>
      <c r="CA24">
        <v>70</v>
      </c>
      <c r="CF24">
        <v>0</v>
      </c>
      <c r="CG24">
        <v>0</v>
      </c>
      <c r="CM24">
        <v>0</v>
      </c>
      <c r="CN24" t="s">
        <v>6</v>
      </c>
      <c r="CO24">
        <v>0</v>
      </c>
      <c r="CP24">
        <f t="shared" ref="CP24:CP40" si="34">(P24+Q24+S24)</f>
        <v>18725.850000000002</v>
      </c>
      <c r="CQ24">
        <f t="shared" ref="CQ24:CQ40" si="35">AC24*BC24</f>
        <v>0</v>
      </c>
      <c r="CR24">
        <f t="shared" ref="CR24:CR40" si="36">AD24*BB24</f>
        <v>1589.6115</v>
      </c>
      <c r="CS24">
        <f t="shared" ref="CS24:CS40" si="37">AE24*BS24</f>
        <v>686.49929999999995</v>
      </c>
      <c r="CT24">
        <f t="shared" ref="CT24:CT40" si="38">AF24*BA24</f>
        <v>10021.1553</v>
      </c>
      <c r="CU24">
        <f t="shared" ref="CU24:CU40" si="39">AG24</f>
        <v>0</v>
      </c>
      <c r="CV24">
        <f t="shared" ref="CV24:CV40" si="40">AH24</f>
        <v>188.54</v>
      </c>
      <c r="CW24">
        <f t="shared" ref="CW24:CW40" si="41">AI24</f>
        <v>7.74</v>
      </c>
      <c r="CX24">
        <f t="shared" ref="CX24:CX40" si="42">AJ24</f>
        <v>0</v>
      </c>
      <c r="CY24">
        <f t="shared" ref="CY24:CY40" si="43">(((S24+R24)*AT24)/100)</f>
        <v>17096.616900000001</v>
      </c>
      <c r="CZ24">
        <f t="shared" ref="CZ24:CZ40" si="44">(((S24+R24)*AU24)/100)</f>
        <v>10361.586000000001</v>
      </c>
      <c r="DC24" t="s">
        <v>6</v>
      </c>
      <c r="DD24" t="s">
        <v>6</v>
      </c>
      <c r="DE24" t="s">
        <v>6</v>
      </c>
      <c r="DF24" t="s">
        <v>6</v>
      </c>
      <c r="DG24" t="s">
        <v>6</v>
      </c>
      <c r="DH24" t="s">
        <v>6</v>
      </c>
      <c r="DI24" t="s">
        <v>6</v>
      </c>
      <c r="DJ24" t="s">
        <v>6</v>
      </c>
      <c r="DK24" t="s">
        <v>6</v>
      </c>
      <c r="DL24" t="s">
        <v>6</v>
      </c>
      <c r="DM24" t="s">
        <v>6</v>
      </c>
      <c r="DN24">
        <v>0</v>
      </c>
      <c r="DO24">
        <v>0</v>
      </c>
      <c r="DP24">
        <v>1</v>
      </c>
      <c r="DQ24">
        <v>1</v>
      </c>
      <c r="DU24">
        <v>1005</v>
      </c>
      <c r="DV24" t="s">
        <v>16</v>
      </c>
      <c r="DW24" t="s">
        <v>16</v>
      </c>
      <c r="DX24">
        <v>100</v>
      </c>
      <c r="EE24">
        <v>15139168</v>
      </c>
      <c r="EF24">
        <v>2</v>
      </c>
      <c r="EG24" t="s">
        <v>18</v>
      </c>
      <c r="EH24">
        <v>0</v>
      </c>
      <c r="EI24" t="s">
        <v>6</v>
      </c>
      <c r="EJ24">
        <v>1</v>
      </c>
      <c r="EK24">
        <v>46001</v>
      </c>
      <c r="EL24" t="s">
        <v>19</v>
      </c>
      <c r="EM24" t="s">
        <v>20</v>
      </c>
      <c r="EO24" t="s">
        <v>6</v>
      </c>
      <c r="EQ24">
        <v>0</v>
      </c>
      <c r="ER24">
        <v>1767.24</v>
      </c>
      <c r="ES24">
        <v>0</v>
      </c>
      <c r="ET24">
        <v>241.95</v>
      </c>
      <c r="EU24">
        <v>104.49</v>
      </c>
      <c r="EV24">
        <v>1525.29</v>
      </c>
      <c r="EW24">
        <v>188.54</v>
      </c>
      <c r="EX24">
        <v>7.74</v>
      </c>
      <c r="EY24">
        <v>0</v>
      </c>
      <c r="FQ24">
        <v>0</v>
      </c>
      <c r="FR24">
        <f t="shared" ref="FR24:FR42" si="45">ROUND(IF(AND(BH24=3,BI24=3),P24,0),2)</f>
        <v>0</v>
      </c>
      <c r="FS24">
        <v>0</v>
      </c>
      <c r="FT24" t="s">
        <v>21</v>
      </c>
      <c r="FU24" t="s">
        <v>22</v>
      </c>
      <c r="FX24">
        <v>99</v>
      </c>
      <c r="FY24">
        <v>59.5</v>
      </c>
      <c r="GA24" t="s">
        <v>6</v>
      </c>
      <c r="GD24">
        <v>0</v>
      </c>
      <c r="GF24">
        <v>1630687704</v>
      </c>
      <c r="GG24">
        <v>1</v>
      </c>
      <c r="GH24">
        <v>1</v>
      </c>
      <c r="GI24">
        <v>4</v>
      </c>
      <c r="GJ24">
        <v>0</v>
      </c>
      <c r="GK24">
        <f>ROUND(R24*(R12)/100,2)</f>
        <v>0</v>
      </c>
      <c r="GL24">
        <f t="shared" ref="GL24:GL42" si="46">ROUND(IF(AND(BH24=3,BI24=3,FS24&lt;&gt;0),P24,0),2)</f>
        <v>0</v>
      </c>
      <c r="GM24">
        <f t="shared" ref="GM24:GM40" si="47">ROUND(O24+X24+Y24+GK24,2)+GX24</f>
        <v>46184.06</v>
      </c>
      <c r="GN24">
        <f t="shared" ref="GN24:GN40" si="48">IF(OR(BI24=0,BI24=1),ROUND(O24+X24+Y24+GK24,2),0)</f>
        <v>46184.06</v>
      </c>
      <c r="GO24">
        <f t="shared" ref="GO24:GO40" si="49">IF(BI24=2,ROUND(O24+X24+Y24+GK24,2),0)</f>
        <v>0</v>
      </c>
      <c r="GP24">
        <f t="shared" ref="GP24:GP40" si="50">IF(BI24=4,ROUND(O24+X24+Y24+GK24,2)+GX24,0)</f>
        <v>0</v>
      </c>
      <c r="GR24">
        <v>0</v>
      </c>
      <c r="GS24">
        <v>3</v>
      </c>
      <c r="GT24">
        <v>0</v>
      </c>
      <c r="GU24" t="s">
        <v>6</v>
      </c>
      <c r="GV24">
        <f t="shared" ref="GV24:GV40" si="51">ROUND(GT24,6)</f>
        <v>0</v>
      </c>
      <c r="GW24">
        <v>1</v>
      </c>
      <c r="GX24">
        <f t="shared" ref="GX24:GX42" si="52">ROUND(GV24*GW24*I24,2)</f>
        <v>0</v>
      </c>
      <c r="HA24">
        <v>0</v>
      </c>
      <c r="HB24">
        <v>0</v>
      </c>
      <c r="IK24">
        <v>0</v>
      </c>
    </row>
    <row r="25" spans="1:245" x14ac:dyDescent="0.2">
      <c r="A25">
        <v>17</v>
      </c>
      <c r="B25">
        <v>1</v>
      </c>
      <c r="C25">
        <f>ROW(SmtRes!A14)</f>
        <v>14</v>
      </c>
      <c r="D25">
        <f>ROW(EtalonRes!A14)</f>
        <v>14</v>
      </c>
      <c r="E25" t="s">
        <v>23</v>
      </c>
      <c r="F25" t="s">
        <v>24</v>
      </c>
      <c r="G25" t="s">
        <v>25</v>
      </c>
      <c r="H25" t="s">
        <v>16</v>
      </c>
      <c r="I25">
        <f>ROUND(161.28/100,9)</f>
        <v>1.6128</v>
      </c>
      <c r="J25">
        <v>0</v>
      </c>
      <c r="O25">
        <f t="shared" si="14"/>
        <v>107104.18</v>
      </c>
      <c r="P25">
        <f t="shared" si="15"/>
        <v>90586.240000000005</v>
      </c>
      <c r="Q25">
        <f t="shared" si="16"/>
        <v>2704.23</v>
      </c>
      <c r="R25">
        <f t="shared" si="17"/>
        <v>533.20000000000005</v>
      </c>
      <c r="S25">
        <f t="shared" si="18"/>
        <v>13813.71</v>
      </c>
      <c r="T25">
        <f t="shared" si="19"/>
        <v>0</v>
      </c>
      <c r="U25">
        <f t="shared" si="20"/>
        <v>240.565248</v>
      </c>
      <c r="V25">
        <f t="shared" si="21"/>
        <v>6.8221440000000007</v>
      </c>
      <c r="W25">
        <f t="shared" si="22"/>
        <v>0</v>
      </c>
      <c r="X25">
        <f t="shared" si="23"/>
        <v>15207.72</v>
      </c>
      <c r="Y25">
        <f t="shared" si="24"/>
        <v>7747.33</v>
      </c>
      <c r="AA25">
        <v>16496534</v>
      </c>
      <c r="AB25">
        <f t="shared" si="25"/>
        <v>10107.89</v>
      </c>
      <c r="AC25">
        <f t="shared" si="26"/>
        <v>8549.02</v>
      </c>
      <c r="AD25">
        <f t="shared" si="27"/>
        <v>255.21</v>
      </c>
      <c r="AE25">
        <f t="shared" si="28"/>
        <v>50.32</v>
      </c>
      <c r="AF25">
        <f t="shared" si="29"/>
        <v>1303.6600000000001</v>
      </c>
      <c r="AG25">
        <f t="shared" si="30"/>
        <v>0</v>
      </c>
      <c r="AH25">
        <f t="shared" si="31"/>
        <v>149.16</v>
      </c>
      <c r="AI25">
        <f t="shared" si="32"/>
        <v>4.2300000000000004</v>
      </c>
      <c r="AJ25">
        <f t="shared" si="33"/>
        <v>0</v>
      </c>
      <c r="AK25">
        <v>10107.89</v>
      </c>
      <c r="AL25">
        <v>8549.02</v>
      </c>
      <c r="AM25">
        <v>255.21</v>
      </c>
      <c r="AN25">
        <v>50.32</v>
      </c>
      <c r="AO25">
        <v>1303.6600000000001</v>
      </c>
      <c r="AP25">
        <v>0</v>
      </c>
      <c r="AQ25">
        <v>149.16</v>
      </c>
      <c r="AR25">
        <v>4.2300000000000004</v>
      </c>
      <c r="AS25">
        <v>0</v>
      </c>
      <c r="AT25">
        <v>106</v>
      </c>
      <c r="AU25">
        <v>54</v>
      </c>
      <c r="AV25">
        <v>1</v>
      </c>
      <c r="AW25">
        <v>1</v>
      </c>
      <c r="AZ25">
        <v>6.57</v>
      </c>
      <c r="BA25">
        <v>6.57</v>
      </c>
      <c r="BB25">
        <v>6.57</v>
      </c>
      <c r="BC25">
        <v>6.57</v>
      </c>
      <c r="BD25" t="s">
        <v>6</v>
      </c>
      <c r="BE25" t="s">
        <v>6</v>
      </c>
      <c r="BF25" t="s">
        <v>6</v>
      </c>
      <c r="BG25" t="s">
        <v>6</v>
      </c>
      <c r="BH25">
        <v>0</v>
      </c>
      <c r="BI25">
        <v>1</v>
      </c>
      <c r="BJ25" t="s">
        <v>26</v>
      </c>
      <c r="BM25">
        <v>10001</v>
      </c>
      <c r="BN25">
        <v>0</v>
      </c>
      <c r="BO25" t="s">
        <v>6</v>
      </c>
      <c r="BP25">
        <v>0</v>
      </c>
      <c r="BQ25">
        <v>2</v>
      </c>
      <c r="BR25">
        <v>0</v>
      </c>
      <c r="BS25">
        <v>6.57</v>
      </c>
      <c r="BT25">
        <v>1</v>
      </c>
      <c r="BU25">
        <v>1</v>
      </c>
      <c r="BV25">
        <v>1</v>
      </c>
      <c r="BW25">
        <v>1</v>
      </c>
      <c r="BX25">
        <v>1</v>
      </c>
      <c r="BY25" t="s">
        <v>6</v>
      </c>
      <c r="BZ25">
        <v>118</v>
      </c>
      <c r="CA25">
        <v>63</v>
      </c>
      <c r="CF25">
        <v>0</v>
      </c>
      <c r="CG25">
        <v>0</v>
      </c>
      <c r="CM25">
        <v>0</v>
      </c>
      <c r="CN25" t="s">
        <v>6</v>
      </c>
      <c r="CO25">
        <v>0</v>
      </c>
      <c r="CP25">
        <f t="shared" si="34"/>
        <v>107104.18</v>
      </c>
      <c r="CQ25">
        <f t="shared" si="35"/>
        <v>56167.061400000006</v>
      </c>
      <c r="CR25">
        <f t="shared" si="36"/>
        <v>1676.7297000000001</v>
      </c>
      <c r="CS25">
        <f t="shared" si="37"/>
        <v>330.60239999999999</v>
      </c>
      <c r="CT25">
        <f t="shared" si="38"/>
        <v>8565.0462000000007</v>
      </c>
      <c r="CU25">
        <f t="shared" si="39"/>
        <v>0</v>
      </c>
      <c r="CV25">
        <f t="shared" si="40"/>
        <v>149.16</v>
      </c>
      <c r="CW25">
        <f t="shared" si="41"/>
        <v>4.2300000000000004</v>
      </c>
      <c r="CX25">
        <f t="shared" si="42"/>
        <v>0</v>
      </c>
      <c r="CY25">
        <f t="shared" si="43"/>
        <v>15207.7246</v>
      </c>
      <c r="CZ25">
        <f t="shared" si="44"/>
        <v>7747.3314</v>
      </c>
      <c r="DC25" t="s">
        <v>6</v>
      </c>
      <c r="DD25" t="s">
        <v>6</v>
      </c>
      <c r="DE25" t="s">
        <v>6</v>
      </c>
      <c r="DF25" t="s">
        <v>6</v>
      </c>
      <c r="DG25" t="s">
        <v>6</v>
      </c>
      <c r="DH25" t="s">
        <v>6</v>
      </c>
      <c r="DI25" t="s">
        <v>6</v>
      </c>
      <c r="DJ25" t="s">
        <v>6</v>
      </c>
      <c r="DK25" t="s">
        <v>6</v>
      </c>
      <c r="DL25" t="s">
        <v>6</v>
      </c>
      <c r="DM25" t="s">
        <v>6</v>
      </c>
      <c r="DN25">
        <v>0</v>
      </c>
      <c r="DO25">
        <v>0</v>
      </c>
      <c r="DP25">
        <v>1</v>
      </c>
      <c r="DQ25">
        <v>1</v>
      </c>
      <c r="DU25">
        <v>1005</v>
      </c>
      <c r="DV25" t="s">
        <v>16</v>
      </c>
      <c r="DW25" t="s">
        <v>16</v>
      </c>
      <c r="DX25">
        <v>100</v>
      </c>
      <c r="EE25">
        <v>15139100</v>
      </c>
      <c r="EF25">
        <v>2</v>
      </c>
      <c r="EG25" t="s">
        <v>18</v>
      </c>
      <c r="EH25">
        <v>0</v>
      </c>
      <c r="EI25" t="s">
        <v>6</v>
      </c>
      <c r="EJ25">
        <v>1</v>
      </c>
      <c r="EK25">
        <v>10001</v>
      </c>
      <c r="EL25" t="s">
        <v>27</v>
      </c>
      <c r="EM25" t="s">
        <v>28</v>
      </c>
      <c r="EO25" t="s">
        <v>6</v>
      </c>
      <c r="EQ25">
        <v>0</v>
      </c>
      <c r="ER25">
        <v>10107.89</v>
      </c>
      <c r="ES25">
        <v>8549.02</v>
      </c>
      <c r="ET25">
        <v>255.21</v>
      </c>
      <c r="EU25">
        <v>50.32</v>
      </c>
      <c r="EV25">
        <v>1303.6600000000001</v>
      </c>
      <c r="EW25">
        <v>149.16</v>
      </c>
      <c r="EX25">
        <v>4.2300000000000004</v>
      </c>
      <c r="EY25">
        <v>0</v>
      </c>
      <c r="FQ25">
        <v>0</v>
      </c>
      <c r="FR25">
        <f t="shared" si="45"/>
        <v>0</v>
      </c>
      <c r="FS25">
        <v>0</v>
      </c>
      <c r="FT25" t="s">
        <v>21</v>
      </c>
      <c r="FU25" t="s">
        <v>22</v>
      </c>
      <c r="FX25">
        <v>106.2</v>
      </c>
      <c r="FY25">
        <v>53.55</v>
      </c>
      <c r="GA25" t="s">
        <v>6</v>
      </c>
      <c r="GD25">
        <v>0</v>
      </c>
      <c r="GF25">
        <v>-330529066</v>
      </c>
      <c r="GG25">
        <v>1</v>
      </c>
      <c r="GH25">
        <v>1</v>
      </c>
      <c r="GI25">
        <v>4</v>
      </c>
      <c r="GJ25">
        <v>0</v>
      </c>
      <c r="GK25">
        <f>ROUND(R25*(R12)/100,2)</f>
        <v>0</v>
      </c>
      <c r="GL25">
        <f t="shared" si="46"/>
        <v>0</v>
      </c>
      <c r="GM25">
        <f t="shared" si="47"/>
        <v>130059.23</v>
      </c>
      <c r="GN25">
        <f t="shared" si="48"/>
        <v>130059.23</v>
      </c>
      <c r="GO25">
        <f t="shared" si="49"/>
        <v>0</v>
      </c>
      <c r="GP25">
        <f t="shared" si="50"/>
        <v>0</v>
      </c>
      <c r="GR25">
        <v>0</v>
      </c>
      <c r="GS25">
        <v>3</v>
      </c>
      <c r="GT25">
        <v>0</v>
      </c>
      <c r="GU25" t="s">
        <v>6</v>
      </c>
      <c r="GV25">
        <f t="shared" si="51"/>
        <v>0</v>
      </c>
      <c r="GW25">
        <v>1</v>
      </c>
      <c r="GX25">
        <f t="shared" si="52"/>
        <v>0</v>
      </c>
      <c r="HA25">
        <v>0</v>
      </c>
      <c r="HB25">
        <v>0</v>
      </c>
      <c r="IK25">
        <v>0</v>
      </c>
    </row>
    <row r="26" spans="1:245" x14ac:dyDescent="0.2">
      <c r="A26">
        <v>18</v>
      </c>
      <c r="B26">
        <v>1</v>
      </c>
      <c r="C26">
        <v>14</v>
      </c>
      <c r="E26" t="s">
        <v>29</v>
      </c>
      <c r="F26" t="s">
        <v>30</v>
      </c>
      <c r="G26" t="s">
        <v>31</v>
      </c>
      <c r="H26" t="s">
        <v>32</v>
      </c>
      <c r="I26">
        <f>I25*J26</f>
        <v>161.28</v>
      </c>
      <c r="J26">
        <v>100</v>
      </c>
      <c r="O26">
        <f t="shared" si="14"/>
        <v>472660.05</v>
      </c>
      <c r="P26">
        <f t="shared" si="15"/>
        <v>472660.05</v>
      </c>
      <c r="Q26">
        <f t="shared" si="16"/>
        <v>0</v>
      </c>
      <c r="R26">
        <f t="shared" si="17"/>
        <v>0</v>
      </c>
      <c r="S26">
        <f t="shared" si="18"/>
        <v>0</v>
      </c>
      <c r="T26">
        <f t="shared" si="19"/>
        <v>0</v>
      </c>
      <c r="U26">
        <f t="shared" si="20"/>
        <v>0</v>
      </c>
      <c r="V26">
        <f t="shared" si="21"/>
        <v>0</v>
      </c>
      <c r="W26">
        <f t="shared" si="22"/>
        <v>0</v>
      </c>
      <c r="X26">
        <f t="shared" si="23"/>
        <v>0</v>
      </c>
      <c r="Y26">
        <f t="shared" si="24"/>
        <v>0</v>
      </c>
      <c r="AA26">
        <v>16496534</v>
      </c>
      <c r="AB26">
        <f t="shared" si="25"/>
        <v>446.07</v>
      </c>
      <c r="AC26">
        <f t="shared" si="26"/>
        <v>446.07</v>
      </c>
      <c r="AD26">
        <f t="shared" si="27"/>
        <v>0</v>
      </c>
      <c r="AE26">
        <f t="shared" si="28"/>
        <v>0</v>
      </c>
      <c r="AF26">
        <f t="shared" si="29"/>
        <v>0</v>
      </c>
      <c r="AG26">
        <f t="shared" si="30"/>
        <v>0</v>
      </c>
      <c r="AH26">
        <f t="shared" si="31"/>
        <v>0</v>
      </c>
      <c r="AI26">
        <f t="shared" si="32"/>
        <v>0</v>
      </c>
      <c r="AJ26">
        <f t="shared" si="33"/>
        <v>0</v>
      </c>
      <c r="AK26">
        <v>446.07</v>
      </c>
      <c r="AL26">
        <v>446.07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106</v>
      </c>
      <c r="AU26">
        <v>54</v>
      </c>
      <c r="AV26">
        <v>1</v>
      </c>
      <c r="AW26">
        <v>1</v>
      </c>
      <c r="AZ26">
        <v>6.57</v>
      </c>
      <c r="BA26">
        <v>1</v>
      </c>
      <c r="BB26">
        <v>1</v>
      </c>
      <c r="BC26">
        <v>6.57</v>
      </c>
      <c r="BD26" t="s">
        <v>6</v>
      </c>
      <c r="BE26" t="s">
        <v>6</v>
      </c>
      <c r="BF26" t="s">
        <v>6</v>
      </c>
      <c r="BG26" t="s">
        <v>6</v>
      </c>
      <c r="BH26">
        <v>3</v>
      </c>
      <c r="BI26">
        <v>1</v>
      </c>
      <c r="BJ26" t="s">
        <v>6</v>
      </c>
      <c r="BM26">
        <v>10001</v>
      </c>
      <c r="BN26">
        <v>0</v>
      </c>
      <c r="BO26" t="s">
        <v>6</v>
      </c>
      <c r="BP26">
        <v>0</v>
      </c>
      <c r="BQ26">
        <v>2</v>
      </c>
      <c r="BR26">
        <v>0</v>
      </c>
      <c r="BS26">
        <v>1</v>
      </c>
      <c r="BT26">
        <v>1</v>
      </c>
      <c r="BU26">
        <v>1</v>
      </c>
      <c r="BV26">
        <v>1</v>
      </c>
      <c r="BW26">
        <v>1</v>
      </c>
      <c r="BX26">
        <v>1</v>
      </c>
      <c r="BY26" t="s">
        <v>6</v>
      </c>
      <c r="BZ26">
        <v>118</v>
      </c>
      <c r="CA26">
        <v>63</v>
      </c>
      <c r="CF26">
        <v>0</v>
      </c>
      <c r="CG26">
        <v>0</v>
      </c>
      <c r="CM26">
        <v>0</v>
      </c>
      <c r="CN26" t="s">
        <v>6</v>
      </c>
      <c r="CO26">
        <v>0</v>
      </c>
      <c r="CP26">
        <f t="shared" si="34"/>
        <v>472660.05</v>
      </c>
      <c r="CQ26">
        <f t="shared" si="35"/>
        <v>2930.6799000000001</v>
      </c>
      <c r="CR26">
        <f t="shared" si="36"/>
        <v>0</v>
      </c>
      <c r="CS26">
        <f t="shared" si="37"/>
        <v>0</v>
      </c>
      <c r="CT26">
        <f t="shared" si="38"/>
        <v>0</v>
      </c>
      <c r="CU26">
        <f t="shared" si="39"/>
        <v>0</v>
      </c>
      <c r="CV26">
        <f t="shared" si="40"/>
        <v>0</v>
      </c>
      <c r="CW26">
        <f t="shared" si="41"/>
        <v>0</v>
      </c>
      <c r="CX26">
        <f t="shared" si="42"/>
        <v>0</v>
      </c>
      <c r="CY26">
        <f t="shared" si="43"/>
        <v>0</v>
      </c>
      <c r="CZ26">
        <f t="shared" si="44"/>
        <v>0</v>
      </c>
      <c r="DC26" t="s">
        <v>6</v>
      </c>
      <c r="DD26" t="s">
        <v>6</v>
      </c>
      <c r="DE26" t="s">
        <v>6</v>
      </c>
      <c r="DF26" t="s">
        <v>6</v>
      </c>
      <c r="DG26" t="s">
        <v>6</v>
      </c>
      <c r="DH26" t="s">
        <v>6</v>
      </c>
      <c r="DI26" t="s">
        <v>6</v>
      </c>
      <c r="DJ26" t="s">
        <v>6</v>
      </c>
      <c r="DK26" t="s">
        <v>6</v>
      </c>
      <c r="DL26" t="s">
        <v>6</v>
      </c>
      <c r="DM26" t="s">
        <v>6</v>
      </c>
      <c r="DN26">
        <v>0</v>
      </c>
      <c r="DO26">
        <v>0</v>
      </c>
      <c r="DP26">
        <v>1</v>
      </c>
      <c r="DQ26">
        <v>1</v>
      </c>
      <c r="DU26">
        <v>1005</v>
      </c>
      <c r="DV26" t="s">
        <v>32</v>
      </c>
      <c r="DW26" t="s">
        <v>32</v>
      </c>
      <c r="DX26">
        <v>1</v>
      </c>
      <c r="EE26">
        <v>15139100</v>
      </c>
      <c r="EF26">
        <v>2</v>
      </c>
      <c r="EG26" t="s">
        <v>18</v>
      </c>
      <c r="EH26">
        <v>0</v>
      </c>
      <c r="EI26" t="s">
        <v>6</v>
      </c>
      <c r="EJ26">
        <v>1</v>
      </c>
      <c r="EK26">
        <v>10001</v>
      </c>
      <c r="EL26" t="s">
        <v>27</v>
      </c>
      <c r="EM26" t="s">
        <v>28</v>
      </c>
      <c r="EO26" t="s">
        <v>6</v>
      </c>
      <c r="EQ26">
        <v>0</v>
      </c>
      <c r="ER26">
        <v>2930.65</v>
      </c>
      <c r="ES26">
        <v>446.07</v>
      </c>
      <c r="ET26">
        <v>0</v>
      </c>
      <c r="EU26">
        <v>0</v>
      </c>
      <c r="EV26">
        <v>0</v>
      </c>
      <c r="EW26">
        <v>0</v>
      </c>
      <c r="EX26">
        <v>0</v>
      </c>
      <c r="EZ26">
        <v>5</v>
      </c>
      <c r="FC26">
        <v>1</v>
      </c>
      <c r="FD26">
        <v>18</v>
      </c>
      <c r="FF26">
        <v>3458.17</v>
      </c>
      <c r="FQ26">
        <v>0</v>
      </c>
      <c r="FR26">
        <f t="shared" si="45"/>
        <v>0</v>
      </c>
      <c r="FS26">
        <v>0</v>
      </c>
      <c r="FT26" t="s">
        <v>21</v>
      </c>
      <c r="FU26" t="s">
        <v>22</v>
      </c>
      <c r="FX26">
        <v>106.2</v>
      </c>
      <c r="FY26">
        <v>53.55</v>
      </c>
      <c r="GA26" t="s">
        <v>33</v>
      </c>
      <c r="GD26">
        <v>0</v>
      </c>
      <c r="GF26">
        <v>-1032967554</v>
      </c>
      <c r="GG26">
        <v>1</v>
      </c>
      <c r="GH26">
        <v>3</v>
      </c>
      <c r="GI26">
        <v>4</v>
      </c>
      <c r="GJ26">
        <v>0</v>
      </c>
      <c r="GK26">
        <f>ROUND(R26*(R12)/100,2)</f>
        <v>0</v>
      </c>
      <c r="GL26">
        <f t="shared" si="46"/>
        <v>0</v>
      </c>
      <c r="GM26">
        <f t="shared" si="47"/>
        <v>472660.05</v>
      </c>
      <c r="GN26">
        <f t="shared" si="48"/>
        <v>472660.05</v>
      </c>
      <c r="GO26">
        <f t="shared" si="49"/>
        <v>0</v>
      </c>
      <c r="GP26">
        <f t="shared" si="50"/>
        <v>0</v>
      </c>
      <c r="GR26">
        <v>1</v>
      </c>
      <c r="GS26">
        <v>1</v>
      </c>
      <c r="GT26">
        <v>0</v>
      </c>
      <c r="GU26" t="s">
        <v>6</v>
      </c>
      <c r="GV26">
        <f t="shared" si="51"/>
        <v>0</v>
      </c>
      <c r="GW26">
        <v>1</v>
      </c>
      <c r="GX26">
        <f t="shared" si="52"/>
        <v>0</v>
      </c>
      <c r="HA26">
        <v>0</v>
      </c>
      <c r="HB26">
        <v>0</v>
      </c>
      <c r="IK26">
        <v>0</v>
      </c>
    </row>
    <row r="27" spans="1:245" x14ac:dyDescent="0.2">
      <c r="A27">
        <v>17</v>
      </c>
      <c r="B27">
        <v>1</v>
      </c>
      <c r="C27">
        <f>ROW(SmtRes!A21)</f>
        <v>21</v>
      </c>
      <c r="D27">
        <f>ROW(EtalonRes!A21)</f>
        <v>21</v>
      </c>
      <c r="E27" t="s">
        <v>34</v>
      </c>
      <c r="F27" t="s">
        <v>35</v>
      </c>
      <c r="G27" t="s">
        <v>36</v>
      </c>
      <c r="H27" t="s">
        <v>37</v>
      </c>
      <c r="I27">
        <f>ROUND(112/100,9)</f>
        <v>1.1200000000000001</v>
      </c>
      <c r="J27">
        <v>0</v>
      </c>
      <c r="O27">
        <f t="shared" si="14"/>
        <v>47691.040000000001</v>
      </c>
      <c r="P27">
        <f t="shared" si="15"/>
        <v>46187.94</v>
      </c>
      <c r="Q27">
        <f t="shared" si="16"/>
        <v>161.15</v>
      </c>
      <c r="R27">
        <f t="shared" si="17"/>
        <v>32.6</v>
      </c>
      <c r="S27">
        <f t="shared" si="18"/>
        <v>1341.95</v>
      </c>
      <c r="T27">
        <f t="shared" si="19"/>
        <v>0</v>
      </c>
      <c r="U27">
        <f t="shared" si="20"/>
        <v>23.945600000000002</v>
      </c>
      <c r="V27">
        <f t="shared" si="21"/>
        <v>0.41440000000000005</v>
      </c>
      <c r="W27">
        <f t="shared" si="22"/>
        <v>0</v>
      </c>
      <c r="X27">
        <f t="shared" si="23"/>
        <v>1457.02</v>
      </c>
      <c r="Y27">
        <f t="shared" si="24"/>
        <v>742.26</v>
      </c>
      <c r="AA27">
        <v>16496534</v>
      </c>
      <c r="AB27">
        <f t="shared" si="25"/>
        <v>6481.17</v>
      </c>
      <c r="AC27">
        <f t="shared" si="26"/>
        <v>6276.9</v>
      </c>
      <c r="AD27">
        <f t="shared" si="27"/>
        <v>21.9</v>
      </c>
      <c r="AE27">
        <f t="shared" si="28"/>
        <v>4.43</v>
      </c>
      <c r="AF27">
        <f t="shared" si="29"/>
        <v>182.37</v>
      </c>
      <c r="AG27">
        <f t="shared" si="30"/>
        <v>0</v>
      </c>
      <c r="AH27">
        <f t="shared" si="31"/>
        <v>21.38</v>
      </c>
      <c r="AI27">
        <f t="shared" si="32"/>
        <v>0.37</v>
      </c>
      <c r="AJ27">
        <f t="shared" si="33"/>
        <v>0</v>
      </c>
      <c r="AK27">
        <v>6481.17</v>
      </c>
      <c r="AL27">
        <v>6276.9</v>
      </c>
      <c r="AM27">
        <v>21.9</v>
      </c>
      <c r="AN27">
        <v>4.43</v>
      </c>
      <c r="AO27">
        <v>182.37</v>
      </c>
      <c r="AP27">
        <v>0</v>
      </c>
      <c r="AQ27">
        <v>21.38</v>
      </c>
      <c r="AR27">
        <v>0.37</v>
      </c>
      <c r="AS27">
        <v>0</v>
      </c>
      <c r="AT27">
        <v>106</v>
      </c>
      <c r="AU27">
        <v>54</v>
      </c>
      <c r="AV27">
        <v>1</v>
      </c>
      <c r="AW27">
        <v>1</v>
      </c>
      <c r="AZ27">
        <v>6.57</v>
      </c>
      <c r="BA27">
        <v>6.57</v>
      </c>
      <c r="BB27">
        <v>6.57</v>
      </c>
      <c r="BC27">
        <v>6.57</v>
      </c>
      <c r="BD27" t="s">
        <v>6</v>
      </c>
      <c r="BE27" t="s">
        <v>6</v>
      </c>
      <c r="BF27" t="s">
        <v>6</v>
      </c>
      <c r="BG27" t="s">
        <v>6</v>
      </c>
      <c r="BH27">
        <v>0</v>
      </c>
      <c r="BI27">
        <v>1</v>
      </c>
      <c r="BJ27" t="s">
        <v>38</v>
      </c>
      <c r="BM27">
        <v>10001</v>
      </c>
      <c r="BN27">
        <v>0</v>
      </c>
      <c r="BO27" t="s">
        <v>6</v>
      </c>
      <c r="BP27">
        <v>0</v>
      </c>
      <c r="BQ27">
        <v>2</v>
      </c>
      <c r="BR27">
        <v>0</v>
      </c>
      <c r="BS27">
        <v>6.57</v>
      </c>
      <c r="BT27">
        <v>1</v>
      </c>
      <c r="BU27">
        <v>1</v>
      </c>
      <c r="BV27">
        <v>1</v>
      </c>
      <c r="BW27">
        <v>1</v>
      </c>
      <c r="BX27">
        <v>1</v>
      </c>
      <c r="BY27" t="s">
        <v>6</v>
      </c>
      <c r="BZ27">
        <v>118</v>
      </c>
      <c r="CA27">
        <v>63</v>
      </c>
      <c r="CF27">
        <v>0</v>
      </c>
      <c r="CG27">
        <v>0</v>
      </c>
      <c r="CM27">
        <v>0</v>
      </c>
      <c r="CN27" t="s">
        <v>6</v>
      </c>
      <c r="CO27">
        <v>0</v>
      </c>
      <c r="CP27">
        <f t="shared" si="34"/>
        <v>47691.040000000001</v>
      </c>
      <c r="CQ27">
        <f t="shared" si="35"/>
        <v>41239.233</v>
      </c>
      <c r="CR27">
        <f t="shared" si="36"/>
        <v>143.88300000000001</v>
      </c>
      <c r="CS27">
        <f t="shared" si="37"/>
        <v>29.1051</v>
      </c>
      <c r="CT27">
        <f t="shared" si="38"/>
        <v>1198.1709000000001</v>
      </c>
      <c r="CU27">
        <f t="shared" si="39"/>
        <v>0</v>
      </c>
      <c r="CV27">
        <f t="shared" si="40"/>
        <v>21.38</v>
      </c>
      <c r="CW27">
        <f t="shared" si="41"/>
        <v>0.37</v>
      </c>
      <c r="CX27">
        <f t="shared" si="42"/>
        <v>0</v>
      </c>
      <c r="CY27">
        <f t="shared" si="43"/>
        <v>1457.0229999999999</v>
      </c>
      <c r="CZ27">
        <f t="shared" si="44"/>
        <v>742.25699999999995</v>
      </c>
      <c r="DC27" t="s">
        <v>6</v>
      </c>
      <c r="DD27" t="s">
        <v>6</v>
      </c>
      <c r="DE27" t="s">
        <v>6</v>
      </c>
      <c r="DF27" t="s">
        <v>6</v>
      </c>
      <c r="DG27" t="s">
        <v>6</v>
      </c>
      <c r="DH27" t="s">
        <v>6</v>
      </c>
      <c r="DI27" t="s">
        <v>6</v>
      </c>
      <c r="DJ27" t="s">
        <v>6</v>
      </c>
      <c r="DK27" t="s">
        <v>6</v>
      </c>
      <c r="DL27" t="s">
        <v>6</v>
      </c>
      <c r="DM27" t="s">
        <v>6</v>
      </c>
      <c r="DN27">
        <v>0</v>
      </c>
      <c r="DO27">
        <v>0</v>
      </c>
      <c r="DP27">
        <v>1</v>
      </c>
      <c r="DQ27">
        <v>1</v>
      </c>
      <c r="DU27">
        <v>1003</v>
      </c>
      <c r="DV27" t="s">
        <v>37</v>
      </c>
      <c r="DW27" t="s">
        <v>37</v>
      </c>
      <c r="DX27">
        <v>100</v>
      </c>
      <c r="EE27">
        <v>15139100</v>
      </c>
      <c r="EF27">
        <v>2</v>
      </c>
      <c r="EG27" t="s">
        <v>18</v>
      </c>
      <c r="EH27">
        <v>0</v>
      </c>
      <c r="EI27" t="s">
        <v>6</v>
      </c>
      <c r="EJ27">
        <v>1</v>
      </c>
      <c r="EK27">
        <v>10001</v>
      </c>
      <c r="EL27" t="s">
        <v>27</v>
      </c>
      <c r="EM27" t="s">
        <v>28</v>
      </c>
      <c r="EO27" t="s">
        <v>6</v>
      </c>
      <c r="EQ27">
        <v>0</v>
      </c>
      <c r="ER27">
        <v>6481.17</v>
      </c>
      <c r="ES27">
        <v>6276.9</v>
      </c>
      <c r="ET27">
        <v>21.9</v>
      </c>
      <c r="EU27">
        <v>4.43</v>
      </c>
      <c r="EV27">
        <v>182.37</v>
      </c>
      <c r="EW27">
        <v>21.38</v>
      </c>
      <c r="EX27">
        <v>0.37</v>
      </c>
      <c r="EY27">
        <v>0</v>
      </c>
      <c r="FQ27">
        <v>0</v>
      </c>
      <c r="FR27">
        <f t="shared" si="45"/>
        <v>0</v>
      </c>
      <c r="FS27">
        <v>0</v>
      </c>
      <c r="FT27" t="s">
        <v>21</v>
      </c>
      <c r="FU27" t="s">
        <v>22</v>
      </c>
      <c r="FX27">
        <v>106.2</v>
      </c>
      <c r="FY27">
        <v>53.55</v>
      </c>
      <c r="GA27" t="s">
        <v>6</v>
      </c>
      <c r="GD27">
        <v>0</v>
      </c>
      <c r="GF27">
        <v>-1968498593</v>
      </c>
      <c r="GG27">
        <v>1</v>
      </c>
      <c r="GH27">
        <v>1</v>
      </c>
      <c r="GI27">
        <v>4</v>
      </c>
      <c r="GJ27">
        <v>0</v>
      </c>
      <c r="GK27">
        <f>ROUND(R27*(R12)/100,2)</f>
        <v>0</v>
      </c>
      <c r="GL27">
        <f t="shared" si="46"/>
        <v>0</v>
      </c>
      <c r="GM27">
        <f t="shared" si="47"/>
        <v>49890.32</v>
      </c>
      <c r="GN27">
        <f t="shared" si="48"/>
        <v>49890.32</v>
      </c>
      <c r="GO27">
        <f t="shared" si="49"/>
        <v>0</v>
      </c>
      <c r="GP27">
        <f t="shared" si="50"/>
        <v>0</v>
      </c>
      <c r="GR27">
        <v>0</v>
      </c>
      <c r="GS27">
        <v>3</v>
      </c>
      <c r="GT27">
        <v>0</v>
      </c>
      <c r="GU27" t="s">
        <v>6</v>
      </c>
      <c r="GV27">
        <f t="shared" si="51"/>
        <v>0</v>
      </c>
      <c r="GW27">
        <v>1</v>
      </c>
      <c r="GX27">
        <f t="shared" si="52"/>
        <v>0</v>
      </c>
      <c r="HA27">
        <v>0</v>
      </c>
      <c r="HB27">
        <v>0</v>
      </c>
      <c r="IK27">
        <v>0</v>
      </c>
    </row>
    <row r="28" spans="1:245" x14ac:dyDescent="0.2">
      <c r="A28">
        <v>18</v>
      </c>
      <c r="B28">
        <v>1</v>
      </c>
      <c r="C28">
        <v>21</v>
      </c>
      <c r="E28" t="s">
        <v>39</v>
      </c>
      <c r="F28" t="s">
        <v>30</v>
      </c>
      <c r="G28" t="s">
        <v>40</v>
      </c>
      <c r="H28" t="s">
        <v>41</v>
      </c>
      <c r="I28">
        <f>I27*J28</f>
        <v>112</v>
      </c>
      <c r="J28">
        <v>99.999999999999986</v>
      </c>
      <c r="O28">
        <f t="shared" si="14"/>
        <v>170722.24</v>
      </c>
      <c r="P28">
        <f t="shared" si="15"/>
        <v>170722.24</v>
      </c>
      <c r="Q28">
        <f t="shared" si="16"/>
        <v>0</v>
      </c>
      <c r="R28">
        <f t="shared" si="17"/>
        <v>0</v>
      </c>
      <c r="S28">
        <f t="shared" si="18"/>
        <v>0</v>
      </c>
      <c r="T28">
        <f t="shared" si="19"/>
        <v>0</v>
      </c>
      <c r="U28">
        <f t="shared" si="20"/>
        <v>0</v>
      </c>
      <c r="V28">
        <f t="shared" si="21"/>
        <v>0</v>
      </c>
      <c r="W28">
        <f t="shared" si="22"/>
        <v>0</v>
      </c>
      <c r="X28">
        <f t="shared" si="23"/>
        <v>0</v>
      </c>
      <c r="Y28">
        <f t="shared" si="24"/>
        <v>0</v>
      </c>
      <c r="AA28">
        <v>16496534</v>
      </c>
      <c r="AB28">
        <f t="shared" si="25"/>
        <v>232.01</v>
      </c>
      <c r="AC28">
        <f t="shared" si="26"/>
        <v>232.01</v>
      </c>
      <c r="AD28">
        <f t="shared" si="27"/>
        <v>0</v>
      </c>
      <c r="AE28">
        <f t="shared" si="28"/>
        <v>0</v>
      </c>
      <c r="AF28">
        <f t="shared" si="29"/>
        <v>0</v>
      </c>
      <c r="AG28">
        <f t="shared" si="30"/>
        <v>0</v>
      </c>
      <c r="AH28">
        <f t="shared" si="31"/>
        <v>0</v>
      </c>
      <c r="AI28">
        <f t="shared" si="32"/>
        <v>0</v>
      </c>
      <c r="AJ28">
        <f t="shared" si="33"/>
        <v>0</v>
      </c>
      <c r="AK28">
        <v>232.01</v>
      </c>
      <c r="AL28">
        <v>232.01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106</v>
      </c>
      <c r="AU28">
        <v>54</v>
      </c>
      <c r="AV28">
        <v>1</v>
      </c>
      <c r="AW28">
        <v>1</v>
      </c>
      <c r="AZ28">
        <v>6.57</v>
      </c>
      <c r="BA28">
        <v>1</v>
      </c>
      <c r="BB28">
        <v>1</v>
      </c>
      <c r="BC28">
        <v>6.57</v>
      </c>
      <c r="BD28" t="s">
        <v>6</v>
      </c>
      <c r="BE28" t="s">
        <v>6</v>
      </c>
      <c r="BF28" t="s">
        <v>6</v>
      </c>
      <c r="BG28" t="s">
        <v>6</v>
      </c>
      <c r="BH28">
        <v>3</v>
      </c>
      <c r="BI28">
        <v>1</v>
      </c>
      <c r="BJ28" t="s">
        <v>6</v>
      </c>
      <c r="BM28">
        <v>10001</v>
      </c>
      <c r="BN28">
        <v>0</v>
      </c>
      <c r="BO28" t="s">
        <v>6</v>
      </c>
      <c r="BP28">
        <v>0</v>
      </c>
      <c r="BQ28">
        <v>2</v>
      </c>
      <c r="BR28">
        <v>0</v>
      </c>
      <c r="BS28">
        <v>1</v>
      </c>
      <c r="BT28">
        <v>1</v>
      </c>
      <c r="BU28">
        <v>1</v>
      </c>
      <c r="BV28">
        <v>1</v>
      </c>
      <c r="BW28">
        <v>1</v>
      </c>
      <c r="BX28">
        <v>1</v>
      </c>
      <c r="BY28" t="s">
        <v>6</v>
      </c>
      <c r="BZ28">
        <v>118</v>
      </c>
      <c r="CA28">
        <v>63</v>
      </c>
      <c r="CF28">
        <v>0</v>
      </c>
      <c r="CG28">
        <v>0</v>
      </c>
      <c r="CM28">
        <v>0</v>
      </c>
      <c r="CN28" t="s">
        <v>6</v>
      </c>
      <c r="CO28">
        <v>0</v>
      </c>
      <c r="CP28">
        <f t="shared" si="34"/>
        <v>170722.24</v>
      </c>
      <c r="CQ28">
        <f t="shared" si="35"/>
        <v>1524.3057000000001</v>
      </c>
      <c r="CR28">
        <f t="shared" si="36"/>
        <v>0</v>
      </c>
      <c r="CS28">
        <f t="shared" si="37"/>
        <v>0</v>
      </c>
      <c r="CT28">
        <f t="shared" si="38"/>
        <v>0</v>
      </c>
      <c r="CU28">
        <f t="shared" si="39"/>
        <v>0</v>
      </c>
      <c r="CV28">
        <f t="shared" si="40"/>
        <v>0</v>
      </c>
      <c r="CW28">
        <f t="shared" si="41"/>
        <v>0</v>
      </c>
      <c r="CX28">
        <f t="shared" si="42"/>
        <v>0</v>
      </c>
      <c r="CY28">
        <f t="shared" si="43"/>
        <v>0</v>
      </c>
      <c r="CZ28">
        <f t="shared" si="44"/>
        <v>0</v>
      </c>
      <c r="DC28" t="s">
        <v>6</v>
      </c>
      <c r="DD28" t="s">
        <v>6</v>
      </c>
      <c r="DE28" t="s">
        <v>6</v>
      </c>
      <c r="DF28" t="s">
        <v>6</v>
      </c>
      <c r="DG28" t="s">
        <v>6</v>
      </c>
      <c r="DH28" t="s">
        <v>6</v>
      </c>
      <c r="DI28" t="s">
        <v>6</v>
      </c>
      <c r="DJ28" t="s">
        <v>6</v>
      </c>
      <c r="DK28" t="s">
        <v>6</v>
      </c>
      <c r="DL28" t="s">
        <v>6</v>
      </c>
      <c r="DM28" t="s">
        <v>6</v>
      </c>
      <c r="DN28">
        <v>0</v>
      </c>
      <c r="DO28">
        <v>0</v>
      </c>
      <c r="DP28">
        <v>1</v>
      </c>
      <c r="DQ28">
        <v>1</v>
      </c>
      <c r="DU28">
        <v>1003</v>
      </c>
      <c r="DV28" t="s">
        <v>41</v>
      </c>
      <c r="DW28" t="s">
        <v>41</v>
      </c>
      <c r="DX28">
        <v>1</v>
      </c>
      <c r="EE28">
        <v>15139100</v>
      </c>
      <c r="EF28">
        <v>2</v>
      </c>
      <c r="EG28" t="s">
        <v>18</v>
      </c>
      <c r="EH28">
        <v>0</v>
      </c>
      <c r="EI28" t="s">
        <v>6</v>
      </c>
      <c r="EJ28">
        <v>1</v>
      </c>
      <c r="EK28">
        <v>10001</v>
      </c>
      <c r="EL28" t="s">
        <v>27</v>
      </c>
      <c r="EM28" t="s">
        <v>28</v>
      </c>
      <c r="EO28" t="s">
        <v>6</v>
      </c>
      <c r="EQ28">
        <v>0</v>
      </c>
      <c r="ER28">
        <v>1524.3</v>
      </c>
      <c r="ES28">
        <v>232.01</v>
      </c>
      <c r="ET28">
        <v>0</v>
      </c>
      <c r="EU28">
        <v>0</v>
      </c>
      <c r="EV28">
        <v>0</v>
      </c>
      <c r="EW28">
        <v>0</v>
      </c>
      <c r="EX28">
        <v>0</v>
      </c>
      <c r="EZ28">
        <v>5</v>
      </c>
      <c r="FC28">
        <v>1</v>
      </c>
      <c r="FD28">
        <v>18</v>
      </c>
      <c r="FF28">
        <v>1798.67</v>
      </c>
      <c r="FQ28">
        <v>0</v>
      </c>
      <c r="FR28">
        <f t="shared" si="45"/>
        <v>0</v>
      </c>
      <c r="FS28">
        <v>0</v>
      </c>
      <c r="FT28" t="s">
        <v>21</v>
      </c>
      <c r="FU28" t="s">
        <v>22</v>
      </c>
      <c r="FX28">
        <v>106.2</v>
      </c>
      <c r="FY28">
        <v>53.55</v>
      </c>
      <c r="GA28" t="s">
        <v>42</v>
      </c>
      <c r="GD28">
        <v>0</v>
      </c>
      <c r="GF28">
        <v>1331515220</v>
      </c>
      <c r="GG28">
        <v>1</v>
      </c>
      <c r="GH28">
        <v>3</v>
      </c>
      <c r="GI28">
        <v>4</v>
      </c>
      <c r="GJ28">
        <v>0</v>
      </c>
      <c r="GK28">
        <f>ROUND(R28*(R12)/100,2)</f>
        <v>0</v>
      </c>
      <c r="GL28">
        <f t="shared" si="46"/>
        <v>0</v>
      </c>
      <c r="GM28">
        <f t="shared" si="47"/>
        <v>170722.24</v>
      </c>
      <c r="GN28">
        <f t="shared" si="48"/>
        <v>170722.24</v>
      </c>
      <c r="GO28">
        <f t="shared" si="49"/>
        <v>0</v>
      </c>
      <c r="GP28">
        <f t="shared" si="50"/>
        <v>0</v>
      </c>
      <c r="GR28">
        <v>1</v>
      </c>
      <c r="GS28">
        <v>1</v>
      </c>
      <c r="GT28">
        <v>0</v>
      </c>
      <c r="GU28" t="s">
        <v>6</v>
      </c>
      <c r="GV28">
        <f t="shared" si="51"/>
        <v>0</v>
      </c>
      <c r="GW28">
        <v>1</v>
      </c>
      <c r="GX28">
        <f t="shared" si="52"/>
        <v>0</v>
      </c>
      <c r="HA28">
        <v>0</v>
      </c>
      <c r="HB28">
        <v>0</v>
      </c>
      <c r="IK28">
        <v>0</v>
      </c>
    </row>
    <row r="29" spans="1:245" x14ac:dyDescent="0.2">
      <c r="A29">
        <v>17</v>
      </c>
      <c r="B29">
        <v>1</v>
      </c>
      <c r="C29">
        <f>ROW(SmtRes!A28)</f>
        <v>28</v>
      </c>
      <c r="D29">
        <f>ROW(EtalonRes!A29)</f>
        <v>29</v>
      </c>
      <c r="E29" t="s">
        <v>43</v>
      </c>
      <c r="F29" t="s">
        <v>44</v>
      </c>
      <c r="G29" t="s">
        <v>45</v>
      </c>
      <c r="H29" t="s">
        <v>37</v>
      </c>
      <c r="I29">
        <f>ROUND(112/100,9)</f>
        <v>1.1200000000000001</v>
      </c>
      <c r="J29">
        <v>0</v>
      </c>
      <c r="O29">
        <f t="shared" si="14"/>
        <v>3343.73</v>
      </c>
      <c r="P29">
        <f t="shared" si="15"/>
        <v>706.77</v>
      </c>
      <c r="Q29">
        <f t="shared" si="16"/>
        <v>37.75</v>
      </c>
      <c r="R29">
        <f t="shared" si="17"/>
        <v>11.33</v>
      </c>
      <c r="S29">
        <f t="shared" si="18"/>
        <v>2599.21</v>
      </c>
      <c r="T29">
        <f t="shared" si="19"/>
        <v>0</v>
      </c>
      <c r="U29">
        <f t="shared" si="20"/>
        <v>46.379199999999997</v>
      </c>
      <c r="V29">
        <f t="shared" si="21"/>
        <v>0.13440000000000002</v>
      </c>
      <c r="W29">
        <f t="shared" si="22"/>
        <v>0</v>
      </c>
      <c r="X29">
        <f t="shared" si="23"/>
        <v>2166.75</v>
      </c>
      <c r="Y29">
        <f t="shared" si="24"/>
        <v>1696.85</v>
      </c>
      <c r="AA29">
        <v>16496534</v>
      </c>
      <c r="AB29">
        <f t="shared" si="25"/>
        <v>454.41</v>
      </c>
      <c r="AC29">
        <f t="shared" si="26"/>
        <v>96.05</v>
      </c>
      <c r="AD29">
        <f t="shared" si="27"/>
        <v>5.13</v>
      </c>
      <c r="AE29">
        <f t="shared" si="28"/>
        <v>1.54</v>
      </c>
      <c r="AF29">
        <f t="shared" si="29"/>
        <v>353.23</v>
      </c>
      <c r="AG29">
        <f t="shared" si="30"/>
        <v>0</v>
      </c>
      <c r="AH29">
        <f t="shared" si="31"/>
        <v>41.41</v>
      </c>
      <c r="AI29">
        <f t="shared" si="32"/>
        <v>0.12</v>
      </c>
      <c r="AJ29">
        <f t="shared" si="33"/>
        <v>0</v>
      </c>
      <c r="AK29">
        <v>454.41</v>
      </c>
      <c r="AL29">
        <v>96.05</v>
      </c>
      <c r="AM29">
        <v>5.13</v>
      </c>
      <c r="AN29">
        <v>1.54</v>
      </c>
      <c r="AO29">
        <v>353.23</v>
      </c>
      <c r="AP29">
        <v>0</v>
      </c>
      <c r="AQ29">
        <v>41.41</v>
      </c>
      <c r="AR29">
        <v>0.12</v>
      </c>
      <c r="AS29">
        <v>0</v>
      </c>
      <c r="AT29">
        <v>83</v>
      </c>
      <c r="AU29">
        <v>65</v>
      </c>
      <c r="AV29">
        <v>1</v>
      </c>
      <c r="AW29">
        <v>1</v>
      </c>
      <c r="AZ29">
        <v>6.57</v>
      </c>
      <c r="BA29">
        <v>6.57</v>
      </c>
      <c r="BB29">
        <v>6.57</v>
      </c>
      <c r="BC29">
        <v>6.57</v>
      </c>
      <c r="BD29" t="s">
        <v>6</v>
      </c>
      <c r="BE29" t="s">
        <v>6</v>
      </c>
      <c r="BF29" t="s">
        <v>6</v>
      </c>
      <c r="BG29" t="s">
        <v>6</v>
      </c>
      <c r="BH29">
        <v>0</v>
      </c>
      <c r="BI29">
        <v>1</v>
      </c>
      <c r="BJ29" t="s">
        <v>46</v>
      </c>
      <c r="BM29">
        <v>58001</v>
      </c>
      <c r="BN29">
        <v>0</v>
      </c>
      <c r="BO29" t="s">
        <v>6</v>
      </c>
      <c r="BP29">
        <v>0</v>
      </c>
      <c r="BQ29">
        <v>6</v>
      </c>
      <c r="BR29">
        <v>0</v>
      </c>
      <c r="BS29">
        <v>6.57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6</v>
      </c>
      <c r="BZ29">
        <v>83</v>
      </c>
      <c r="CA29">
        <v>65</v>
      </c>
      <c r="CF29">
        <v>0</v>
      </c>
      <c r="CG29">
        <v>0</v>
      </c>
      <c r="CM29">
        <v>0</v>
      </c>
      <c r="CN29" t="s">
        <v>6</v>
      </c>
      <c r="CO29">
        <v>0</v>
      </c>
      <c r="CP29">
        <f t="shared" si="34"/>
        <v>3343.73</v>
      </c>
      <c r="CQ29">
        <f t="shared" si="35"/>
        <v>631.04849999999999</v>
      </c>
      <c r="CR29">
        <f t="shared" si="36"/>
        <v>33.704100000000004</v>
      </c>
      <c r="CS29">
        <f t="shared" si="37"/>
        <v>10.117800000000001</v>
      </c>
      <c r="CT29">
        <f t="shared" si="38"/>
        <v>2320.7211000000002</v>
      </c>
      <c r="CU29">
        <f t="shared" si="39"/>
        <v>0</v>
      </c>
      <c r="CV29">
        <f t="shared" si="40"/>
        <v>41.41</v>
      </c>
      <c r="CW29">
        <f t="shared" si="41"/>
        <v>0.12</v>
      </c>
      <c r="CX29">
        <f t="shared" si="42"/>
        <v>0</v>
      </c>
      <c r="CY29">
        <f t="shared" si="43"/>
        <v>2166.7482</v>
      </c>
      <c r="CZ29">
        <f t="shared" si="44"/>
        <v>1696.8510000000001</v>
      </c>
      <c r="DC29" t="s">
        <v>6</v>
      </c>
      <c r="DD29" t="s">
        <v>6</v>
      </c>
      <c r="DE29" t="s">
        <v>6</v>
      </c>
      <c r="DF29" t="s">
        <v>6</v>
      </c>
      <c r="DG29" t="s">
        <v>6</v>
      </c>
      <c r="DH29" t="s">
        <v>6</v>
      </c>
      <c r="DI29" t="s">
        <v>6</v>
      </c>
      <c r="DJ29" t="s">
        <v>6</v>
      </c>
      <c r="DK29" t="s">
        <v>6</v>
      </c>
      <c r="DL29" t="s">
        <v>6</v>
      </c>
      <c r="DM29" t="s">
        <v>6</v>
      </c>
      <c r="DN29">
        <v>0</v>
      </c>
      <c r="DO29">
        <v>0</v>
      </c>
      <c r="DP29">
        <v>1</v>
      </c>
      <c r="DQ29">
        <v>1</v>
      </c>
      <c r="DU29">
        <v>1003</v>
      </c>
      <c r="DV29" t="s">
        <v>37</v>
      </c>
      <c r="DW29" t="s">
        <v>37</v>
      </c>
      <c r="DX29">
        <v>100</v>
      </c>
      <c r="EE29">
        <v>15139180</v>
      </c>
      <c r="EF29">
        <v>6</v>
      </c>
      <c r="EG29" t="s">
        <v>47</v>
      </c>
      <c r="EH29">
        <v>0</v>
      </c>
      <c r="EI29" t="s">
        <v>6</v>
      </c>
      <c r="EJ29">
        <v>1</v>
      </c>
      <c r="EK29">
        <v>58001</v>
      </c>
      <c r="EL29" t="s">
        <v>48</v>
      </c>
      <c r="EM29" t="s">
        <v>49</v>
      </c>
      <c r="EO29" t="s">
        <v>6</v>
      </c>
      <c r="EQ29">
        <v>0</v>
      </c>
      <c r="ER29">
        <v>454.41</v>
      </c>
      <c r="ES29">
        <v>96.05</v>
      </c>
      <c r="ET29">
        <v>5.13</v>
      </c>
      <c r="EU29">
        <v>1.54</v>
      </c>
      <c r="EV29">
        <v>353.23</v>
      </c>
      <c r="EW29">
        <v>41.41</v>
      </c>
      <c r="EX29">
        <v>0.12</v>
      </c>
      <c r="EY29">
        <v>0</v>
      </c>
      <c r="FQ29">
        <v>0</v>
      </c>
      <c r="FR29">
        <f t="shared" si="45"/>
        <v>0</v>
      </c>
      <c r="FS29">
        <v>0</v>
      </c>
      <c r="FX29">
        <v>83</v>
      </c>
      <c r="FY29">
        <v>65</v>
      </c>
      <c r="GA29" t="s">
        <v>6</v>
      </c>
      <c r="GD29">
        <v>0</v>
      </c>
      <c r="GF29">
        <v>-58071427</v>
      </c>
      <c r="GG29">
        <v>1</v>
      </c>
      <c r="GH29">
        <v>1</v>
      </c>
      <c r="GI29">
        <v>4</v>
      </c>
      <c r="GJ29">
        <v>0</v>
      </c>
      <c r="GK29">
        <f>ROUND(R29*(R12)/100,2)</f>
        <v>0</v>
      </c>
      <c r="GL29">
        <f t="shared" si="46"/>
        <v>0</v>
      </c>
      <c r="GM29">
        <f t="shared" si="47"/>
        <v>7207.33</v>
      </c>
      <c r="GN29">
        <f t="shared" si="48"/>
        <v>7207.33</v>
      </c>
      <c r="GO29">
        <f t="shared" si="49"/>
        <v>0</v>
      </c>
      <c r="GP29">
        <f t="shared" si="50"/>
        <v>0</v>
      </c>
      <c r="GR29">
        <v>0</v>
      </c>
      <c r="GS29">
        <v>3</v>
      </c>
      <c r="GT29">
        <v>0</v>
      </c>
      <c r="GU29" t="s">
        <v>6</v>
      </c>
      <c r="GV29">
        <f t="shared" si="51"/>
        <v>0</v>
      </c>
      <c r="GW29">
        <v>1</v>
      </c>
      <c r="GX29">
        <f t="shared" si="52"/>
        <v>0</v>
      </c>
      <c r="HA29">
        <v>0</v>
      </c>
      <c r="HB29">
        <v>0</v>
      </c>
      <c r="IK29">
        <v>0</v>
      </c>
    </row>
    <row r="30" spans="1:245" x14ac:dyDescent="0.2">
      <c r="A30">
        <v>18</v>
      </c>
      <c r="B30">
        <v>1</v>
      </c>
      <c r="C30">
        <v>28</v>
      </c>
      <c r="E30" t="s">
        <v>50</v>
      </c>
      <c r="F30" t="s">
        <v>30</v>
      </c>
      <c r="G30" t="s">
        <v>51</v>
      </c>
      <c r="H30" t="s">
        <v>41</v>
      </c>
      <c r="I30">
        <f>I29*J30</f>
        <v>112</v>
      </c>
      <c r="J30">
        <v>99.999999999999986</v>
      </c>
      <c r="O30">
        <f t="shared" si="14"/>
        <v>21074.46</v>
      </c>
      <c r="P30">
        <f t="shared" si="15"/>
        <v>21074.46</v>
      </c>
      <c r="Q30">
        <f t="shared" si="16"/>
        <v>0</v>
      </c>
      <c r="R30">
        <f t="shared" si="17"/>
        <v>0</v>
      </c>
      <c r="S30">
        <f t="shared" si="18"/>
        <v>0</v>
      </c>
      <c r="T30">
        <f t="shared" si="19"/>
        <v>0</v>
      </c>
      <c r="U30">
        <f t="shared" si="20"/>
        <v>0</v>
      </c>
      <c r="V30">
        <f t="shared" si="21"/>
        <v>0</v>
      </c>
      <c r="W30">
        <f t="shared" si="22"/>
        <v>0</v>
      </c>
      <c r="X30">
        <f t="shared" si="23"/>
        <v>0</v>
      </c>
      <c r="Y30">
        <f t="shared" si="24"/>
        <v>0</v>
      </c>
      <c r="AA30">
        <v>16496534</v>
      </c>
      <c r="AB30">
        <f t="shared" si="25"/>
        <v>28.64</v>
      </c>
      <c r="AC30">
        <f t="shared" si="26"/>
        <v>28.64</v>
      </c>
      <c r="AD30">
        <f t="shared" si="27"/>
        <v>0</v>
      </c>
      <c r="AE30">
        <f t="shared" si="28"/>
        <v>0</v>
      </c>
      <c r="AF30">
        <f t="shared" si="29"/>
        <v>0</v>
      </c>
      <c r="AG30">
        <f t="shared" si="30"/>
        <v>0</v>
      </c>
      <c r="AH30">
        <f t="shared" si="31"/>
        <v>0</v>
      </c>
      <c r="AI30">
        <f t="shared" si="32"/>
        <v>0</v>
      </c>
      <c r="AJ30">
        <f t="shared" si="33"/>
        <v>0</v>
      </c>
      <c r="AK30">
        <v>28.64</v>
      </c>
      <c r="AL30">
        <v>28.64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83</v>
      </c>
      <c r="AU30">
        <v>65</v>
      </c>
      <c r="AV30">
        <v>1</v>
      </c>
      <c r="AW30">
        <v>1</v>
      </c>
      <c r="AZ30">
        <v>6.57</v>
      </c>
      <c r="BA30">
        <v>1</v>
      </c>
      <c r="BB30">
        <v>1</v>
      </c>
      <c r="BC30">
        <v>6.57</v>
      </c>
      <c r="BD30" t="s">
        <v>6</v>
      </c>
      <c r="BE30" t="s">
        <v>6</v>
      </c>
      <c r="BF30" t="s">
        <v>6</v>
      </c>
      <c r="BG30" t="s">
        <v>6</v>
      </c>
      <c r="BH30">
        <v>3</v>
      </c>
      <c r="BI30">
        <v>1</v>
      </c>
      <c r="BJ30" t="s">
        <v>6</v>
      </c>
      <c r="BM30">
        <v>58001</v>
      </c>
      <c r="BN30">
        <v>0</v>
      </c>
      <c r="BO30" t="s">
        <v>6</v>
      </c>
      <c r="BP30">
        <v>0</v>
      </c>
      <c r="BQ30">
        <v>6</v>
      </c>
      <c r="BR30">
        <v>0</v>
      </c>
      <c r="BS30">
        <v>1</v>
      </c>
      <c r="BT30">
        <v>1</v>
      </c>
      <c r="BU30">
        <v>1</v>
      </c>
      <c r="BV30">
        <v>1</v>
      </c>
      <c r="BW30">
        <v>1</v>
      </c>
      <c r="BX30">
        <v>1</v>
      </c>
      <c r="BY30" t="s">
        <v>6</v>
      </c>
      <c r="BZ30">
        <v>83</v>
      </c>
      <c r="CA30">
        <v>65</v>
      </c>
      <c r="CF30">
        <v>0</v>
      </c>
      <c r="CG30">
        <v>0</v>
      </c>
      <c r="CM30">
        <v>0</v>
      </c>
      <c r="CN30" t="s">
        <v>6</v>
      </c>
      <c r="CO30">
        <v>0</v>
      </c>
      <c r="CP30">
        <f t="shared" si="34"/>
        <v>21074.46</v>
      </c>
      <c r="CQ30">
        <f t="shared" si="35"/>
        <v>188.16480000000001</v>
      </c>
      <c r="CR30">
        <f t="shared" si="36"/>
        <v>0</v>
      </c>
      <c r="CS30">
        <f t="shared" si="37"/>
        <v>0</v>
      </c>
      <c r="CT30">
        <f t="shared" si="38"/>
        <v>0</v>
      </c>
      <c r="CU30">
        <f t="shared" si="39"/>
        <v>0</v>
      </c>
      <c r="CV30">
        <f t="shared" si="40"/>
        <v>0</v>
      </c>
      <c r="CW30">
        <f t="shared" si="41"/>
        <v>0</v>
      </c>
      <c r="CX30">
        <f t="shared" si="42"/>
        <v>0</v>
      </c>
      <c r="CY30">
        <f t="shared" si="43"/>
        <v>0</v>
      </c>
      <c r="CZ30">
        <f t="shared" si="44"/>
        <v>0</v>
      </c>
      <c r="DC30" t="s">
        <v>6</v>
      </c>
      <c r="DD30" t="s">
        <v>6</v>
      </c>
      <c r="DE30" t="s">
        <v>6</v>
      </c>
      <c r="DF30" t="s">
        <v>6</v>
      </c>
      <c r="DG30" t="s">
        <v>6</v>
      </c>
      <c r="DH30" t="s">
        <v>6</v>
      </c>
      <c r="DI30" t="s">
        <v>6</v>
      </c>
      <c r="DJ30" t="s">
        <v>6</v>
      </c>
      <c r="DK30" t="s">
        <v>6</v>
      </c>
      <c r="DL30" t="s">
        <v>6</v>
      </c>
      <c r="DM30" t="s">
        <v>6</v>
      </c>
      <c r="DN30">
        <v>0</v>
      </c>
      <c r="DO30">
        <v>0</v>
      </c>
      <c r="DP30">
        <v>1</v>
      </c>
      <c r="DQ30">
        <v>1</v>
      </c>
      <c r="DU30">
        <v>1003</v>
      </c>
      <c r="DV30" t="s">
        <v>41</v>
      </c>
      <c r="DW30" t="s">
        <v>41</v>
      </c>
      <c r="DX30">
        <v>1</v>
      </c>
      <c r="EE30">
        <v>15139180</v>
      </c>
      <c r="EF30">
        <v>6</v>
      </c>
      <c r="EG30" t="s">
        <v>47</v>
      </c>
      <c r="EH30">
        <v>0</v>
      </c>
      <c r="EI30" t="s">
        <v>6</v>
      </c>
      <c r="EJ30">
        <v>1</v>
      </c>
      <c r="EK30">
        <v>58001</v>
      </c>
      <c r="EL30" t="s">
        <v>48</v>
      </c>
      <c r="EM30" t="s">
        <v>49</v>
      </c>
      <c r="EO30" t="s">
        <v>6</v>
      </c>
      <c r="EQ30">
        <v>0</v>
      </c>
      <c r="ER30">
        <v>188.14</v>
      </c>
      <c r="ES30">
        <v>28.64</v>
      </c>
      <c r="ET30">
        <v>0</v>
      </c>
      <c r="EU30">
        <v>0</v>
      </c>
      <c r="EV30">
        <v>0</v>
      </c>
      <c r="EW30">
        <v>0</v>
      </c>
      <c r="EX30">
        <v>0</v>
      </c>
      <c r="EZ30">
        <v>5</v>
      </c>
      <c r="FC30">
        <v>1</v>
      </c>
      <c r="FD30">
        <v>18</v>
      </c>
      <c r="FF30">
        <v>222</v>
      </c>
      <c r="FQ30">
        <v>0</v>
      </c>
      <c r="FR30">
        <f t="shared" si="45"/>
        <v>0</v>
      </c>
      <c r="FS30">
        <v>0</v>
      </c>
      <c r="FX30">
        <v>83</v>
      </c>
      <c r="FY30">
        <v>65</v>
      </c>
      <c r="GA30" t="s">
        <v>52</v>
      </c>
      <c r="GD30">
        <v>0</v>
      </c>
      <c r="GF30">
        <v>-1929252935</v>
      </c>
      <c r="GG30">
        <v>1</v>
      </c>
      <c r="GH30">
        <v>3</v>
      </c>
      <c r="GI30">
        <v>4</v>
      </c>
      <c r="GJ30">
        <v>0</v>
      </c>
      <c r="GK30">
        <f>ROUND(R30*(R12)/100,2)</f>
        <v>0</v>
      </c>
      <c r="GL30">
        <f t="shared" si="46"/>
        <v>0</v>
      </c>
      <c r="GM30">
        <f t="shared" si="47"/>
        <v>21074.46</v>
      </c>
      <c r="GN30">
        <f t="shared" si="48"/>
        <v>21074.46</v>
      </c>
      <c r="GO30">
        <f t="shared" si="49"/>
        <v>0</v>
      </c>
      <c r="GP30">
        <f t="shared" si="50"/>
        <v>0</v>
      </c>
      <c r="GR30">
        <v>1</v>
      </c>
      <c r="GS30">
        <v>1</v>
      </c>
      <c r="GT30">
        <v>0</v>
      </c>
      <c r="GU30" t="s">
        <v>6</v>
      </c>
      <c r="GV30">
        <f t="shared" si="51"/>
        <v>0</v>
      </c>
      <c r="GW30">
        <v>1</v>
      </c>
      <c r="GX30">
        <f t="shared" si="52"/>
        <v>0</v>
      </c>
      <c r="HA30">
        <v>0</v>
      </c>
      <c r="HB30">
        <v>0</v>
      </c>
      <c r="IK30">
        <v>0</v>
      </c>
    </row>
    <row r="31" spans="1:245" x14ac:dyDescent="0.2">
      <c r="A31">
        <v>17</v>
      </c>
      <c r="B31">
        <v>1</v>
      </c>
      <c r="C31">
        <f>ROW(SmtRes!A39)</f>
        <v>39</v>
      </c>
      <c r="D31">
        <f>ROW(EtalonRes!A37)</f>
        <v>37</v>
      </c>
      <c r="E31" t="s">
        <v>53</v>
      </c>
      <c r="F31" t="s">
        <v>54</v>
      </c>
      <c r="G31" t="s">
        <v>55</v>
      </c>
      <c r="H31" t="s">
        <v>16</v>
      </c>
      <c r="I31">
        <f>ROUND(148.16/100,9)</f>
        <v>1.4816</v>
      </c>
      <c r="J31">
        <v>0</v>
      </c>
      <c r="O31">
        <f t="shared" si="14"/>
        <v>15223.27</v>
      </c>
      <c r="P31">
        <f t="shared" si="15"/>
        <v>3.5</v>
      </c>
      <c r="Q31">
        <f t="shared" si="16"/>
        <v>344.2</v>
      </c>
      <c r="R31">
        <f t="shared" si="17"/>
        <v>66.97</v>
      </c>
      <c r="S31">
        <f t="shared" si="18"/>
        <v>14875.57</v>
      </c>
      <c r="T31">
        <f t="shared" si="19"/>
        <v>0</v>
      </c>
      <c r="U31">
        <f t="shared" si="20"/>
        <v>246.641952</v>
      </c>
      <c r="V31">
        <f t="shared" si="21"/>
        <v>0.85932799999999998</v>
      </c>
      <c r="W31">
        <f t="shared" si="22"/>
        <v>0</v>
      </c>
      <c r="X31">
        <f t="shared" si="23"/>
        <v>14195.41</v>
      </c>
      <c r="Y31">
        <f t="shared" si="24"/>
        <v>7022.99</v>
      </c>
      <c r="AA31">
        <v>16496534</v>
      </c>
      <c r="AB31">
        <f t="shared" si="25"/>
        <v>1563.91</v>
      </c>
      <c r="AC31">
        <f t="shared" si="26"/>
        <v>0.36</v>
      </c>
      <c r="AD31">
        <f t="shared" si="27"/>
        <v>35.36</v>
      </c>
      <c r="AE31">
        <f t="shared" si="28"/>
        <v>6.88</v>
      </c>
      <c r="AF31">
        <f t="shared" si="29"/>
        <v>1528.19</v>
      </c>
      <c r="AG31">
        <f t="shared" si="30"/>
        <v>0</v>
      </c>
      <c r="AH31">
        <f t="shared" si="31"/>
        <v>166.47</v>
      </c>
      <c r="AI31">
        <f t="shared" si="32"/>
        <v>0.57999999999999996</v>
      </c>
      <c r="AJ31">
        <f t="shared" si="33"/>
        <v>0</v>
      </c>
      <c r="AK31">
        <v>1563.91</v>
      </c>
      <c r="AL31">
        <v>0.36</v>
      </c>
      <c r="AM31">
        <v>35.36</v>
      </c>
      <c r="AN31">
        <v>6.88</v>
      </c>
      <c r="AO31">
        <v>1528.19</v>
      </c>
      <c r="AP31">
        <v>0</v>
      </c>
      <c r="AQ31">
        <v>166.47</v>
      </c>
      <c r="AR31">
        <v>0.57999999999999996</v>
      </c>
      <c r="AS31">
        <v>0</v>
      </c>
      <c r="AT31">
        <v>95</v>
      </c>
      <c r="AU31">
        <v>47</v>
      </c>
      <c r="AV31">
        <v>1</v>
      </c>
      <c r="AW31">
        <v>1</v>
      </c>
      <c r="AZ31">
        <v>6.57</v>
      </c>
      <c r="BA31">
        <v>6.57</v>
      </c>
      <c r="BB31">
        <v>6.57</v>
      </c>
      <c r="BC31">
        <v>6.57</v>
      </c>
      <c r="BD31" t="s">
        <v>6</v>
      </c>
      <c r="BE31" t="s">
        <v>6</v>
      </c>
      <c r="BF31" t="s">
        <v>6</v>
      </c>
      <c r="BG31" t="s">
        <v>6</v>
      </c>
      <c r="BH31">
        <v>0</v>
      </c>
      <c r="BI31">
        <v>1</v>
      </c>
      <c r="BJ31" t="s">
        <v>56</v>
      </c>
      <c r="BM31">
        <v>15001</v>
      </c>
      <c r="BN31">
        <v>0</v>
      </c>
      <c r="BO31" t="s">
        <v>6</v>
      </c>
      <c r="BP31">
        <v>0</v>
      </c>
      <c r="BQ31">
        <v>2</v>
      </c>
      <c r="BR31">
        <v>0</v>
      </c>
      <c r="BS31">
        <v>6.57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6</v>
      </c>
      <c r="BZ31">
        <v>105</v>
      </c>
      <c r="CA31">
        <v>55</v>
      </c>
      <c r="CF31">
        <v>0</v>
      </c>
      <c r="CG31">
        <v>0</v>
      </c>
      <c r="CM31">
        <v>0</v>
      </c>
      <c r="CN31" t="s">
        <v>6</v>
      </c>
      <c r="CO31">
        <v>0</v>
      </c>
      <c r="CP31">
        <f t="shared" si="34"/>
        <v>15223.27</v>
      </c>
      <c r="CQ31">
        <f t="shared" si="35"/>
        <v>2.3652000000000002</v>
      </c>
      <c r="CR31">
        <f t="shared" si="36"/>
        <v>232.3152</v>
      </c>
      <c r="CS31">
        <f t="shared" si="37"/>
        <v>45.201599999999999</v>
      </c>
      <c r="CT31">
        <f t="shared" si="38"/>
        <v>10040.2083</v>
      </c>
      <c r="CU31">
        <f t="shared" si="39"/>
        <v>0</v>
      </c>
      <c r="CV31">
        <f t="shared" si="40"/>
        <v>166.47</v>
      </c>
      <c r="CW31">
        <f t="shared" si="41"/>
        <v>0.57999999999999996</v>
      </c>
      <c r="CX31">
        <f t="shared" si="42"/>
        <v>0</v>
      </c>
      <c r="CY31">
        <f t="shared" si="43"/>
        <v>14195.412999999999</v>
      </c>
      <c r="CZ31">
        <f t="shared" si="44"/>
        <v>7022.9938000000002</v>
      </c>
      <c r="DC31" t="s">
        <v>6</v>
      </c>
      <c r="DD31" t="s">
        <v>6</v>
      </c>
      <c r="DE31" t="s">
        <v>6</v>
      </c>
      <c r="DF31" t="s">
        <v>6</v>
      </c>
      <c r="DG31" t="s">
        <v>6</v>
      </c>
      <c r="DH31" t="s">
        <v>6</v>
      </c>
      <c r="DI31" t="s">
        <v>6</v>
      </c>
      <c r="DJ31" t="s">
        <v>6</v>
      </c>
      <c r="DK31" t="s">
        <v>6</v>
      </c>
      <c r="DL31" t="s">
        <v>6</v>
      </c>
      <c r="DM31" t="s">
        <v>6</v>
      </c>
      <c r="DN31">
        <v>0</v>
      </c>
      <c r="DO31">
        <v>0</v>
      </c>
      <c r="DP31">
        <v>1</v>
      </c>
      <c r="DQ31">
        <v>1</v>
      </c>
      <c r="DU31">
        <v>1005</v>
      </c>
      <c r="DV31" t="s">
        <v>16</v>
      </c>
      <c r="DW31" t="s">
        <v>16</v>
      </c>
      <c r="DX31">
        <v>100</v>
      </c>
      <c r="EE31">
        <v>15139126</v>
      </c>
      <c r="EF31">
        <v>2</v>
      </c>
      <c r="EG31" t="s">
        <v>18</v>
      </c>
      <c r="EH31">
        <v>0</v>
      </c>
      <c r="EI31" t="s">
        <v>6</v>
      </c>
      <c r="EJ31">
        <v>1</v>
      </c>
      <c r="EK31">
        <v>15001</v>
      </c>
      <c r="EL31" t="s">
        <v>57</v>
      </c>
      <c r="EM31" t="s">
        <v>58</v>
      </c>
      <c r="EO31" t="s">
        <v>6</v>
      </c>
      <c r="EQ31">
        <v>0</v>
      </c>
      <c r="ER31">
        <v>1563.91</v>
      </c>
      <c r="ES31">
        <v>0.36</v>
      </c>
      <c r="ET31">
        <v>35.36</v>
      </c>
      <c r="EU31">
        <v>6.88</v>
      </c>
      <c r="EV31">
        <v>1528.19</v>
      </c>
      <c r="EW31">
        <v>166.47</v>
      </c>
      <c r="EX31">
        <v>0.57999999999999996</v>
      </c>
      <c r="EY31">
        <v>0</v>
      </c>
      <c r="FQ31">
        <v>0</v>
      </c>
      <c r="FR31">
        <f t="shared" si="45"/>
        <v>0</v>
      </c>
      <c r="FS31">
        <v>0</v>
      </c>
      <c r="FT31" t="s">
        <v>21</v>
      </c>
      <c r="FU31" t="s">
        <v>22</v>
      </c>
      <c r="FX31">
        <v>94.5</v>
      </c>
      <c r="FY31">
        <v>46.75</v>
      </c>
      <c r="GA31" t="s">
        <v>6</v>
      </c>
      <c r="GD31">
        <v>0</v>
      </c>
      <c r="GF31">
        <v>251333065</v>
      </c>
      <c r="GG31">
        <v>1</v>
      </c>
      <c r="GH31">
        <v>1</v>
      </c>
      <c r="GI31">
        <v>4</v>
      </c>
      <c r="GJ31">
        <v>0</v>
      </c>
      <c r="GK31">
        <f>ROUND(R31*(R12)/100,2)</f>
        <v>0</v>
      </c>
      <c r="GL31">
        <f t="shared" si="46"/>
        <v>0</v>
      </c>
      <c r="GM31">
        <f t="shared" si="47"/>
        <v>36441.67</v>
      </c>
      <c r="GN31">
        <f t="shared" si="48"/>
        <v>36441.67</v>
      </c>
      <c r="GO31">
        <f t="shared" si="49"/>
        <v>0</v>
      </c>
      <c r="GP31">
        <f t="shared" si="50"/>
        <v>0</v>
      </c>
      <c r="GR31">
        <v>0</v>
      </c>
      <c r="GS31">
        <v>3</v>
      </c>
      <c r="GT31">
        <v>0</v>
      </c>
      <c r="GU31" t="s">
        <v>6</v>
      </c>
      <c r="GV31">
        <f t="shared" si="51"/>
        <v>0</v>
      </c>
      <c r="GW31">
        <v>1</v>
      </c>
      <c r="GX31">
        <f t="shared" si="52"/>
        <v>0</v>
      </c>
      <c r="HA31">
        <v>0</v>
      </c>
      <c r="HB31">
        <v>0</v>
      </c>
      <c r="IK31">
        <v>0</v>
      </c>
    </row>
    <row r="32" spans="1:245" x14ac:dyDescent="0.2">
      <c r="A32">
        <v>18</v>
      </c>
      <c r="B32">
        <v>1</v>
      </c>
      <c r="C32">
        <v>33</v>
      </c>
      <c r="E32" t="s">
        <v>59</v>
      </c>
      <c r="F32" t="s">
        <v>60</v>
      </c>
      <c r="G32" t="s">
        <v>61</v>
      </c>
      <c r="H32" t="s">
        <v>32</v>
      </c>
      <c r="I32">
        <f>I31*J32</f>
        <v>155.56800000000001</v>
      </c>
      <c r="J32">
        <v>105</v>
      </c>
      <c r="O32">
        <f t="shared" si="14"/>
        <v>0</v>
      </c>
      <c r="P32">
        <f t="shared" si="15"/>
        <v>0</v>
      </c>
      <c r="Q32">
        <f t="shared" si="16"/>
        <v>0</v>
      </c>
      <c r="R32">
        <f t="shared" si="17"/>
        <v>0</v>
      </c>
      <c r="S32">
        <f t="shared" si="18"/>
        <v>0</v>
      </c>
      <c r="T32">
        <f t="shared" si="19"/>
        <v>0</v>
      </c>
      <c r="U32">
        <f t="shared" si="20"/>
        <v>0</v>
      </c>
      <c r="V32">
        <f t="shared" si="21"/>
        <v>0</v>
      </c>
      <c r="W32">
        <f t="shared" si="22"/>
        <v>0</v>
      </c>
      <c r="X32">
        <f t="shared" si="23"/>
        <v>0</v>
      </c>
      <c r="Y32">
        <f t="shared" si="24"/>
        <v>0</v>
      </c>
      <c r="AA32">
        <v>16496534</v>
      </c>
      <c r="AB32">
        <f t="shared" si="25"/>
        <v>0</v>
      </c>
      <c r="AC32">
        <f t="shared" si="26"/>
        <v>0</v>
      </c>
      <c r="AD32">
        <f t="shared" si="27"/>
        <v>0</v>
      </c>
      <c r="AE32">
        <f t="shared" si="28"/>
        <v>0</v>
      </c>
      <c r="AF32">
        <f t="shared" si="29"/>
        <v>0</v>
      </c>
      <c r="AG32">
        <f t="shared" si="30"/>
        <v>0</v>
      </c>
      <c r="AH32">
        <f t="shared" si="31"/>
        <v>0</v>
      </c>
      <c r="AI32">
        <f t="shared" si="32"/>
        <v>0</v>
      </c>
      <c r="AJ32">
        <f t="shared" si="33"/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95</v>
      </c>
      <c r="AU32">
        <v>47</v>
      </c>
      <c r="AV32">
        <v>1</v>
      </c>
      <c r="AW32">
        <v>1</v>
      </c>
      <c r="AZ32">
        <v>6.57</v>
      </c>
      <c r="BA32">
        <v>1</v>
      </c>
      <c r="BB32">
        <v>1</v>
      </c>
      <c r="BC32">
        <v>6.57</v>
      </c>
      <c r="BD32" t="s">
        <v>6</v>
      </c>
      <c r="BE32" t="s">
        <v>6</v>
      </c>
      <c r="BF32" t="s">
        <v>6</v>
      </c>
      <c r="BG32" t="s">
        <v>6</v>
      </c>
      <c r="BH32">
        <v>3</v>
      </c>
      <c r="BI32">
        <v>1</v>
      </c>
      <c r="BJ32" t="s">
        <v>6</v>
      </c>
      <c r="BM32">
        <v>15001</v>
      </c>
      <c r="BN32">
        <v>0</v>
      </c>
      <c r="BO32" t="s">
        <v>6</v>
      </c>
      <c r="BP32">
        <v>0</v>
      </c>
      <c r="BQ32">
        <v>2</v>
      </c>
      <c r="BR32">
        <v>0</v>
      </c>
      <c r="BS32">
        <v>1</v>
      </c>
      <c r="BT32">
        <v>1</v>
      </c>
      <c r="BU32">
        <v>1</v>
      </c>
      <c r="BV32">
        <v>1</v>
      </c>
      <c r="BW32">
        <v>1</v>
      </c>
      <c r="BX32">
        <v>1</v>
      </c>
      <c r="BY32" t="s">
        <v>6</v>
      </c>
      <c r="BZ32">
        <v>105</v>
      </c>
      <c r="CA32">
        <v>55</v>
      </c>
      <c r="CF32">
        <v>0</v>
      </c>
      <c r="CG32">
        <v>0</v>
      </c>
      <c r="CM32">
        <v>0</v>
      </c>
      <c r="CN32" t="s">
        <v>6</v>
      </c>
      <c r="CO32">
        <v>0</v>
      </c>
      <c r="CP32">
        <f t="shared" si="34"/>
        <v>0</v>
      </c>
      <c r="CQ32">
        <f t="shared" si="35"/>
        <v>0</v>
      </c>
      <c r="CR32">
        <f t="shared" si="36"/>
        <v>0</v>
      </c>
      <c r="CS32">
        <f t="shared" si="37"/>
        <v>0</v>
      </c>
      <c r="CT32">
        <f t="shared" si="38"/>
        <v>0</v>
      </c>
      <c r="CU32">
        <f t="shared" si="39"/>
        <v>0</v>
      </c>
      <c r="CV32">
        <f t="shared" si="40"/>
        <v>0</v>
      </c>
      <c r="CW32">
        <f t="shared" si="41"/>
        <v>0</v>
      </c>
      <c r="CX32">
        <f t="shared" si="42"/>
        <v>0</v>
      </c>
      <c r="CY32">
        <f t="shared" si="43"/>
        <v>0</v>
      </c>
      <c r="CZ32">
        <f t="shared" si="44"/>
        <v>0</v>
      </c>
      <c r="DC32" t="s">
        <v>6</v>
      </c>
      <c r="DD32" t="s">
        <v>6</v>
      </c>
      <c r="DE32" t="s">
        <v>6</v>
      </c>
      <c r="DF32" t="s">
        <v>6</v>
      </c>
      <c r="DG32" t="s">
        <v>6</v>
      </c>
      <c r="DH32" t="s">
        <v>6</v>
      </c>
      <c r="DI32" t="s">
        <v>6</v>
      </c>
      <c r="DJ32" t="s">
        <v>6</v>
      </c>
      <c r="DK32" t="s">
        <v>6</v>
      </c>
      <c r="DL32" t="s">
        <v>6</v>
      </c>
      <c r="DM32" t="s">
        <v>6</v>
      </c>
      <c r="DN32">
        <v>0</v>
      </c>
      <c r="DO32">
        <v>0</v>
      </c>
      <c r="DP32">
        <v>1</v>
      </c>
      <c r="DQ32">
        <v>1</v>
      </c>
      <c r="DU32">
        <v>1005</v>
      </c>
      <c r="DV32" t="s">
        <v>32</v>
      </c>
      <c r="DW32" t="s">
        <v>32</v>
      </c>
      <c r="DX32">
        <v>1</v>
      </c>
      <c r="EE32">
        <v>15139126</v>
      </c>
      <c r="EF32">
        <v>2</v>
      </c>
      <c r="EG32" t="s">
        <v>18</v>
      </c>
      <c r="EH32">
        <v>0</v>
      </c>
      <c r="EI32" t="s">
        <v>6</v>
      </c>
      <c r="EJ32">
        <v>1</v>
      </c>
      <c r="EK32">
        <v>15001</v>
      </c>
      <c r="EL32" t="s">
        <v>57</v>
      </c>
      <c r="EM32" t="s">
        <v>58</v>
      </c>
      <c r="EO32" t="s">
        <v>6</v>
      </c>
      <c r="EQ32">
        <v>0</v>
      </c>
      <c r="ER32">
        <v>0</v>
      </c>
      <c r="ES32">
        <v>0</v>
      </c>
      <c r="ET32">
        <v>0</v>
      </c>
      <c r="EU32">
        <v>0</v>
      </c>
      <c r="EV32">
        <v>0</v>
      </c>
      <c r="EW32">
        <v>0</v>
      </c>
      <c r="EX32">
        <v>0</v>
      </c>
      <c r="FQ32">
        <v>0</v>
      </c>
      <c r="FR32">
        <f t="shared" si="45"/>
        <v>0</v>
      </c>
      <c r="FS32">
        <v>0</v>
      </c>
      <c r="FT32" t="s">
        <v>21</v>
      </c>
      <c r="FU32" t="s">
        <v>22</v>
      </c>
      <c r="FX32">
        <v>94.5</v>
      </c>
      <c r="FY32">
        <v>46.75</v>
      </c>
      <c r="GA32" t="s">
        <v>6</v>
      </c>
      <c r="GD32">
        <v>0</v>
      </c>
      <c r="GF32">
        <v>-112006704</v>
      </c>
      <c r="GG32">
        <v>1</v>
      </c>
      <c r="GH32">
        <v>1</v>
      </c>
      <c r="GI32">
        <v>4</v>
      </c>
      <c r="GJ32">
        <v>0</v>
      </c>
      <c r="GK32">
        <f>ROUND(R32*(R12)/100,2)</f>
        <v>0</v>
      </c>
      <c r="GL32">
        <f t="shared" si="46"/>
        <v>0</v>
      </c>
      <c r="GM32">
        <f t="shared" si="47"/>
        <v>0</v>
      </c>
      <c r="GN32">
        <f t="shared" si="48"/>
        <v>0</v>
      </c>
      <c r="GO32">
        <f t="shared" si="49"/>
        <v>0</v>
      </c>
      <c r="GP32">
        <f t="shared" si="50"/>
        <v>0</v>
      </c>
      <c r="GR32">
        <v>0</v>
      </c>
      <c r="GS32">
        <v>3</v>
      </c>
      <c r="GT32">
        <v>0</v>
      </c>
      <c r="GU32" t="s">
        <v>6</v>
      </c>
      <c r="GV32">
        <f t="shared" si="51"/>
        <v>0</v>
      </c>
      <c r="GW32">
        <v>1</v>
      </c>
      <c r="GX32">
        <f t="shared" si="52"/>
        <v>0</v>
      </c>
      <c r="HA32">
        <v>0</v>
      </c>
      <c r="HB32">
        <v>0</v>
      </c>
      <c r="IK32">
        <v>0</v>
      </c>
    </row>
    <row r="33" spans="1:245" x14ac:dyDescent="0.2">
      <c r="A33">
        <v>18</v>
      </c>
      <c r="B33">
        <v>1</v>
      </c>
      <c r="C33">
        <v>35</v>
      </c>
      <c r="E33" t="s">
        <v>62</v>
      </c>
      <c r="F33" t="s">
        <v>63</v>
      </c>
      <c r="G33" t="s">
        <v>64</v>
      </c>
      <c r="H33" t="s">
        <v>32</v>
      </c>
      <c r="I33">
        <f>I31*J33</f>
        <v>155.56800000000001</v>
      </c>
      <c r="J33">
        <v>105</v>
      </c>
      <c r="O33">
        <f t="shared" si="14"/>
        <v>35139.17</v>
      </c>
      <c r="P33">
        <f t="shared" si="15"/>
        <v>35139.17</v>
      </c>
      <c r="Q33">
        <f t="shared" si="16"/>
        <v>0</v>
      </c>
      <c r="R33">
        <f t="shared" si="17"/>
        <v>0</v>
      </c>
      <c r="S33">
        <f t="shared" si="18"/>
        <v>0</v>
      </c>
      <c r="T33">
        <f t="shared" si="19"/>
        <v>0</v>
      </c>
      <c r="U33">
        <f t="shared" si="20"/>
        <v>0</v>
      </c>
      <c r="V33">
        <f t="shared" si="21"/>
        <v>0</v>
      </c>
      <c r="W33">
        <f t="shared" si="22"/>
        <v>0</v>
      </c>
      <c r="X33">
        <f t="shared" si="23"/>
        <v>0</v>
      </c>
      <c r="Y33">
        <f t="shared" si="24"/>
        <v>0</v>
      </c>
      <c r="AA33">
        <v>16496534</v>
      </c>
      <c r="AB33">
        <f t="shared" si="25"/>
        <v>34.380000000000003</v>
      </c>
      <c r="AC33">
        <f t="shared" si="26"/>
        <v>34.380000000000003</v>
      </c>
      <c r="AD33">
        <f t="shared" si="27"/>
        <v>0</v>
      </c>
      <c r="AE33">
        <f t="shared" si="28"/>
        <v>0</v>
      </c>
      <c r="AF33">
        <f t="shared" si="29"/>
        <v>0</v>
      </c>
      <c r="AG33">
        <f t="shared" si="30"/>
        <v>0</v>
      </c>
      <c r="AH33">
        <f t="shared" si="31"/>
        <v>0</v>
      </c>
      <c r="AI33">
        <f t="shared" si="32"/>
        <v>0</v>
      </c>
      <c r="AJ33">
        <f t="shared" si="33"/>
        <v>0</v>
      </c>
      <c r="AK33">
        <v>34.380000000000003</v>
      </c>
      <c r="AL33">
        <v>34.380000000000003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95</v>
      </c>
      <c r="AU33">
        <v>47</v>
      </c>
      <c r="AV33">
        <v>1</v>
      </c>
      <c r="AW33">
        <v>1</v>
      </c>
      <c r="AZ33">
        <v>6.57</v>
      </c>
      <c r="BA33">
        <v>1</v>
      </c>
      <c r="BB33">
        <v>1</v>
      </c>
      <c r="BC33">
        <v>6.57</v>
      </c>
      <c r="BD33" t="s">
        <v>6</v>
      </c>
      <c r="BE33" t="s">
        <v>6</v>
      </c>
      <c r="BF33" t="s">
        <v>6</v>
      </c>
      <c r="BG33" t="s">
        <v>6</v>
      </c>
      <c r="BH33">
        <v>3</v>
      </c>
      <c r="BI33">
        <v>1</v>
      </c>
      <c r="BJ33" t="s">
        <v>65</v>
      </c>
      <c r="BM33">
        <v>15001</v>
      </c>
      <c r="BN33">
        <v>0</v>
      </c>
      <c r="BO33" t="s">
        <v>6</v>
      </c>
      <c r="BP33">
        <v>0</v>
      </c>
      <c r="BQ33">
        <v>2</v>
      </c>
      <c r="BR33">
        <v>0</v>
      </c>
      <c r="BS33">
        <v>1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6</v>
      </c>
      <c r="BZ33">
        <v>105</v>
      </c>
      <c r="CA33">
        <v>55</v>
      </c>
      <c r="CF33">
        <v>0</v>
      </c>
      <c r="CG33">
        <v>0</v>
      </c>
      <c r="CM33">
        <v>0</v>
      </c>
      <c r="CN33" t="s">
        <v>6</v>
      </c>
      <c r="CO33">
        <v>0</v>
      </c>
      <c r="CP33">
        <f t="shared" si="34"/>
        <v>35139.17</v>
      </c>
      <c r="CQ33">
        <f t="shared" si="35"/>
        <v>225.87660000000002</v>
      </c>
      <c r="CR33">
        <f t="shared" si="36"/>
        <v>0</v>
      </c>
      <c r="CS33">
        <f t="shared" si="37"/>
        <v>0</v>
      </c>
      <c r="CT33">
        <f t="shared" si="38"/>
        <v>0</v>
      </c>
      <c r="CU33">
        <f t="shared" si="39"/>
        <v>0</v>
      </c>
      <c r="CV33">
        <f t="shared" si="40"/>
        <v>0</v>
      </c>
      <c r="CW33">
        <f t="shared" si="41"/>
        <v>0</v>
      </c>
      <c r="CX33">
        <f t="shared" si="42"/>
        <v>0</v>
      </c>
      <c r="CY33">
        <f t="shared" si="43"/>
        <v>0</v>
      </c>
      <c r="CZ33">
        <f t="shared" si="44"/>
        <v>0</v>
      </c>
      <c r="DC33" t="s">
        <v>6</v>
      </c>
      <c r="DD33" t="s">
        <v>6</v>
      </c>
      <c r="DE33" t="s">
        <v>6</v>
      </c>
      <c r="DF33" t="s">
        <v>6</v>
      </c>
      <c r="DG33" t="s">
        <v>6</v>
      </c>
      <c r="DH33" t="s">
        <v>6</v>
      </c>
      <c r="DI33" t="s">
        <v>6</v>
      </c>
      <c r="DJ33" t="s">
        <v>6</v>
      </c>
      <c r="DK33" t="s">
        <v>6</v>
      </c>
      <c r="DL33" t="s">
        <v>6</v>
      </c>
      <c r="DM33" t="s">
        <v>6</v>
      </c>
      <c r="DN33">
        <v>0</v>
      </c>
      <c r="DO33">
        <v>0</v>
      </c>
      <c r="DP33">
        <v>1</v>
      </c>
      <c r="DQ33">
        <v>1</v>
      </c>
      <c r="DU33">
        <v>1005</v>
      </c>
      <c r="DV33" t="s">
        <v>32</v>
      </c>
      <c r="DW33" t="s">
        <v>32</v>
      </c>
      <c r="DX33">
        <v>1</v>
      </c>
      <c r="EE33">
        <v>15139126</v>
      </c>
      <c r="EF33">
        <v>2</v>
      </c>
      <c r="EG33" t="s">
        <v>18</v>
      </c>
      <c r="EH33">
        <v>0</v>
      </c>
      <c r="EI33" t="s">
        <v>6</v>
      </c>
      <c r="EJ33">
        <v>1</v>
      </c>
      <c r="EK33">
        <v>15001</v>
      </c>
      <c r="EL33" t="s">
        <v>57</v>
      </c>
      <c r="EM33" t="s">
        <v>58</v>
      </c>
      <c r="EO33" t="s">
        <v>6</v>
      </c>
      <c r="EQ33">
        <v>0</v>
      </c>
      <c r="ER33">
        <v>34.380000000000003</v>
      </c>
      <c r="ES33">
        <v>34.380000000000003</v>
      </c>
      <c r="ET33">
        <v>0</v>
      </c>
      <c r="EU33">
        <v>0</v>
      </c>
      <c r="EV33">
        <v>0</v>
      </c>
      <c r="EW33">
        <v>0</v>
      </c>
      <c r="EX33">
        <v>0</v>
      </c>
      <c r="FQ33">
        <v>0</v>
      </c>
      <c r="FR33">
        <f t="shared" si="45"/>
        <v>0</v>
      </c>
      <c r="FS33">
        <v>0</v>
      </c>
      <c r="FT33" t="s">
        <v>21</v>
      </c>
      <c r="FU33" t="s">
        <v>22</v>
      </c>
      <c r="FX33">
        <v>94.5</v>
      </c>
      <c r="FY33">
        <v>46.75</v>
      </c>
      <c r="GA33" t="s">
        <v>6</v>
      </c>
      <c r="GD33">
        <v>0</v>
      </c>
      <c r="GF33">
        <v>-956992290</v>
      </c>
      <c r="GG33">
        <v>1</v>
      </c>
      <c r="GH33">
        <v>1</v>
      </c>
      <c r="GI33">
        <v>4</v>
      </c>
      <c r="GJ33">
        <v>0</v>
      </c>
      <c r="GK33">
        <f>ROUND(R33*(R12)/100,2)</f>
        <v>0</v>
      </c>
      <c r="GL33">
        <f t="shared" si="46"/>
        <v>0</v>
      </c>
      <c r="GM33">
        <f t="shared" si="47"/>
        <v>35139.17</v>
      </c>
      <c r="GN33">
        <f t="shared" si="48"/>
        <v>35139.17</v>
      </c>
      <c r="GO33">
        <f t="shared" si="49"/>
        <v>0</v>
      </c>
      <c r="GP33">
        <f t="shared" si="50"/>
        <v>0</v>
      </c>
      <c r="GR33">
        <v>0</v>
      </c>
      <c r="GS33">
        <v>3</v>
      </c>
      <c r="GT33">
        <v>0</v>
      </c>
      <c r="GU33" t="s">
        <v>6</v>
      </c>
      <c r="GV33">
        <f t="shared" si="51"/>
        <v>0</v>
      </c>
      <c r="GW33">
        <v>1</v>
      </c>
      <c r="GX33">
        <f t="shared" si="52"/>
        <v>0</v>
      </c>
      <c r="HA33">
        <v>0</v>
      </c>
      <c r="HB33">
        <v>0</v>
      </c>
      <c r="IK33">
        <v>0</v>
      </c>
    </row>
    <row r="34" spans="1:245" x14ac:dyDescent="0.2">
      <c r="A34">
        <v>18</v>
      </c>
      <c r="B34">
        <v>1</v>
      </c>
      <c r="C34">
        <v>37</v>
      </c>
      <c r="E34" t="s">
        <v>66</v>
      </c>
      <c r="F34" t="s">
        <v>67</v>
      </c>
      <c r="G34" t="s">
        <v>68</v>
      </c>
      <c r="H34" t="s">
        <v>69</v>
      </c>
      <c r="I34">
        <f>I31*J34</f>
        <v>44.448</v>
      </c>
      <c r="J34">
        <v>30</v>
      </c>
      <c r="O34">
        <f t="shared" si="14"/>
        <v>0</v>
      </c>
      <c r="P34">
        <f t="shared" si="15"/>
        <v>0</v>
      </c>
      <c r="Q34">
        <f t="shared" si="16"/>
        <v>0</v>
      </c>
      <c r="R34">
        <f t="shared" si="17"/>
        <v>0</v>
      </c>
      <c r="S34">
        <f t="shared" si="18"/>
        <v>0</v>
      </c>
      <c r="T34">
        <f t="shared" si="19"/>
        <v>0</v>
      </c>
      <c r="U34">
        <f t="shared" si="20"/>
        <v>0</v>
      </c>
      <c r="V34">
        <f t="shared" si="21"/>
        <v>0</v>
      </c>
      <c r="W34">
        <f t="shared" si="22"/>
        <v>0</v>
      </c>
      <c r="X34">
        <f t="shared" si="23"/>
        <v>0</v>
      </c>
      <c r="Y34">
        <f t="shared" si="24"/>
        <v>0</v>
      </c>
      <c r="AA34">
        <v>16496534</v>
      </c>
      <c r="AB34">
        <f t="shared" si="25"/>
        <v>0</v>
      </c>
      <c r="AC34">
        <f t="shared" si="26"/>
        <v>0</v>
      </c>
      <c r="AD34">
        <f t="shared" si="27"/>
        <v>0</v>
      </c>
      <c r="AE34">
        <f t="shared" si="28"/>
        <v>0</v>
      </c>
      <c r="AF34">
        <f t="shared" si="29"/>
        <v>0</v>
      </c>
      <c r="AG34">
        <f t="shared" si="30"/>
        <v>0</v>
      </c>
      <c r="AH34">
        <f t="shared" si="31"/>
        <v>0</v>
      </c>
      <c r="AI34">
        <f t="shared" si="32"/>
        <v>0</v>
      </c>
      <c r="AJ34">
        <f t="shared" si="33"/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95</v>
      </c>
      <c r="AU34">
        <v>47</v>
      </c>
      <c r="AV34">
        <v>1</v>
      </c>
      <c r="AW34">
        <v>1</v>
      </c>
      <c r="AZ34">
        <v>6.57</v>
      </c>
      <c r="BA34">
        <v>1</v>
      </c>
      <c r="BB34">
        <v>1</v>
      </c>
      <c r="BC34">
        <v>6.57</v>
      </c>
      <c r="BD34" t="s">
        <v>6</v>
      </c>
      <c r="BE34" t="s">
        <v>6</v>
      </c>
      <c r="BF34" t="s">
        <v>6</v>
      </c>
      <c r="BG34" t="s">
        <v>6</v>
      </c>
      <c r="BH34">
        <v>3</v>
      </c>
      <c r="BI34">
        <v>1</v>
      </c>
      <c r="BJ34" t="s">
        <v>6</v>
      </c>
      <c r="BM34">
        <v>15001</v>
      </c>
      <c r="BN34">
        <v>0</v>
      </c>
      <c r="BO34" t="s">
        <v>6</v>
      </c>
      <c r="BP34">
        <v>0</v>
      </c>
      <c r="BQ34">
        <v>2</v>
      </c>
      <c r="BR34">
        <v>0</v>
      </c>
      <c r="BS34">
        <v>1</v>
      </c>
      <c r="BT34">
        <v>1</v>
      </c>
      <c r="BU34">
        <v>1</v>
      </c>
      <c r="BV34">
        <v>1</v>
      </c>
      <c r="BW34">
        <v>1</v>
      </c>
      <c r="BX34">
        <v>1</v>
      </c>
      <c r="BY34" t="s">
        <v>6</v>
      </c>
      <c r="BZ34">
        <v>105</v>
      </c>
      <c r="CA34">
        <v>55</v>
      </c>
      <c r="CF34">
        <v>0</v>
      </c>
      <c r="CG34">
        <v>0</v>
      </c>
      <c r="CM34">
        <v>0</v>
      </c>
      <c r="CN34" t="s">
        <v>6</v>
      </c>
      <c r="CO34">
        <v>0</v>
      </c>
      <c r="CP34">
        <f t="shared" si="34"/>
        <v>0</v>
      </c>
      <c r="CQ34">
        <f t="shared" si="35"/>
        <v>0</v>
      </c>
      <c r="CR34">
        <f t="shared" si="36"/>
        <v>0</v>
      </c>
      <c r="CS34">
        <f t="shared" si="37"/>
        <v>0</v>
      </c>
      <c r="CT34">
        <f t="shared" si="38"/>
        <v>0</v>
      </c>
      <c r="CU34">
        <f t="shared" si="39"/>
        <v>0</v>
      </c>
      <c r="CV34">
        <f t="shared" si="40"/>
        <v>0</v>
      </c>
      <c r="CW34">
        <f t="shared" si="41"/>
        <v>0</v>
      </c>
      <c r="CX34">
        <f t="shared" si="42"/>
        <v>0</v>
      </c>
      <c r="CY34">
        <f t="shared" si="43"/>
        <v>0</v>
      </c>
      <c r="CZ34">
        <f t="shared" si="44"/>
        <v>0</v>
      </c>
      <c r="DC34" t="s">
        <v>6</v>
      </c>
      <c r="DD34" t="s">
        <v>6</v>
      </c>
      <c r="DE34" t="s">
        <v>6</v>
      </c>
      <c r="DF34" t="s">
        <v>6</v>
      </c>
      <c r="DG34" t="s">
        <v>6</v>
      </c>
      <c r="DH34" t="s">
        <v>6</v>
      </c>
      <c r="DI34" t="s">
        <v>6</v>
      </c>
      <c r="DJ34" t="s">
        <v>6</v>
      </c>
      <c r="DK34" t="s">
        <v>6</v>
      </c>
      <c r="DL34" t="s">
        <v>6</v>
      </c>
      <c r="DM34" t="s">
        <v>6</v>
      </c>
      <c r="DN34">
        <v>0</v>
      </c>
      <c r="DO34">
        <v>0</v>
      </c>
      <c r="DP34">
        <v>1</v>
      </c>
      <c r="DQ34">
        <v>1</v>
      </c>
      <c r="DU34">
        <v>1009</v>
      </c>
      <c r="DV34" t="s">
        <v>69</v>
      </c>
      <c r="DW34" t="s">
        <v>69</v>
      </c>
      <c r="DX34">
        <v>1</v>
      </c>
      <c r="EE34">
        <v>15139126</v>
      </c>
      <c r="EF34">
        <v>2</v>
      </c>
      <c r="EG34" t="s">
        <v>18</v>
      </c>
      <c r="EH34">
        <v>0</v>
      </c>
      <c r="EI34" t="s">
        <v>6</v>
      </c>
      <c r="EJ34">
        <v>1</v>
      </c>
      <c r="EK34">
        <v>15001</v>
      </c>
      <c r="EL34" t="s">
        <v>57</v>
      </c>
      <c r="EM34" t="s">
        <v>58</v>
      </c>
      <c r="EO34" t="s">
        <v>6</v>
      </c>
      <c r="EQ34">
        <v>0</v>
      </c>
      <c r="ER34">
        <v>0</v>
      </c>
      <c r="ES34">
        <v>0</v>
      </c>
      <c r="ET34">
        <v>0</v>
      </c>
      <c r="EU34">
        <v>0</v>
      </c>
      <c r="EV34">
        <v>0</v>
      </c>
      <c r="EW34">
        <v>0</v>
      </c>
      <c r="EX34">
        <v>0</v>
      </c>
      <c r="FQ34">
        <v>0</v>
      </c>
      <c r="FR34">
        <f t="shared" si="45"/>
        <v>0</v>
      </c>
      <c r="FS34">
        <v>0</v>
      </c>
      <c r="FT34" t="s">
        <v>21</v>
      </c>
      <c r="FU34" t="s">
        <v>22</v>
      </c>
      <c r="FX34">
        <v>94.5</v>
      </c>
      <c r="FY34">
        <v>46.75</v>
      </c>
      <c r="GA34" t="s">
        <v>6</v>
      </c>
      <c r="GD34">
        <v>0</v>
      </c>
      <c r="GF34">
        <v>-1516100259</v>
      </c>
      <c r="GG34">
        <v>1</v>
      </c>
      <c r="GH34">
        <v>1</v>
      </c>
      <c r="GI34">
        <v>4</v>
      </c>
      <c r="GJ34">
        <v>0</v>
      </c>
      <c r="GK34">
        <f>ROUND(R34*(R12)/100,2)</f>
        <v>0</v>
      </c>
      <c r="GL34">
        <f t="shared" si="46"/>
        <v>0</v>
      </c>
      <c r="GM34">
        <f t="shared" si="47"/>
        <v>0</v>
      </c>
      <c r="GN34">
        <f t="shared" si="48"/>
        <v>0</v>
      </c>
      <c r="GO34">
        <f t="shared" si="49"/>
        <v>0</v>
      </c>
      <c r="GP34">
        <f t="shared" si="50"/>
        <v>0</v>
      </c>
      <c r="GR34">
        <v>0</v>
      </c>
      <c r="GS34">
        <v>3</v>
      </c>
      <c r="GT34">
        <v>0</v>
      </c>
      <c r="GU34" t="s">
        <v>6</v>
      </c>
      <c r="GV34">
        <f t="shared" si="51"/>
        <v>0</v>
      </c>
      <c r="GW34">
        <v>1</v>
      </c>
      <c r="GX34">
        <f t="shared" si="52"/>
        <v>0</v>
      </c>
      <c r="HA34">
        <v>0</v>
      </c>
      <c r="HB34">
        <v>0</v>
      </c>
      <c r="IK34">
        <v>0</v>
      </c>
    </row>
    <row r="35" spans="1:245" x14ac:dyDescent="0.2">
      <c r="A35">
        <v>18</v>
      </c>
      <c r="B35">
        <v>1</v>
      </c>
      <c r="C35">
        <v>36</v>
      </c>
      <c r="E35" t="s">
        <v>70</v>
      </c>
      <c r="F35" t="s">
        <v>71</v>
      </c>
      <c r="G35" t="s">
        <v>72</v>
      </c>
      <c r="H35" t="s">
        <v>69</v>
      </c>
      <c r="I35">
        <f>I31*J35</f>
        <v>44.448</v>
      </c>
      <c r="J35">
        <v>30</v>
      </c>
      <c r="O35">
        <f t="shared" si="14"/>
        <v>4643.17</v>
      </c>
      <c r="P35">
        <f t="shared" si="15"/>
        <v>4643.17</v>
      </c>
      <c r="Q35">
        <f t="shared" si="16"/>
        <v>0</v>
      </c>
      <c r="R35">
        <f t="shared" si="17"/>
        <v>0</v>
      </c>
      <c r="S35">
        <f t="shared" si="18"/>
        <v>0</v>
      </c>
      <c r="T35">
        <f t="shared" si="19"/>
        <v>0</v>
      </c>
      <c r="U35">
        <f t="shared" si="20"/>
        <v>0</v>
      </c>
      <c r="V35">
        <f t="shared" si="21"/>
        <v>0</v>
      </c>
      <c r="W35">
        <f t="shared" si="22"/>
        <v>0</v>
      </c>
      <c r="X35">
        <f t="shared" si="23"/>
        <v>0</v>
      </c>
      <c r="Y35">
        <f t="shared" si="24"/>
        <v>0</v>
      </c>
      <c r="AA35">
        <v>16496534</v>
      </c>
      <c r="AB35">
        <f t="shared" si="25"/>
        <v>15.9</v>
      </c>
      <c r="AC35">
        <f t="shared" si="26"/>
        <v>15.9</v>
      </c>
      <c r="AD35">
        <f t="shared" si="27"/>
        <v>0</v>
      </c>
      <c r="AE35">
        <f t="shared" si="28"/>
        <v>0</v>
      </c>
      <c r="AF35">
        <f t="shared" si="29"/>
        <v>0</v>
      </c>
      <c r="AG35">
        <f t="shared" si="30"/>
        <v>0</v>
      </c>
      <c r="AH35">
        <f t="shared" si="31"/>
        <v>0</v>
      </c>
      <c r="AI35">
        <f t="shared" si="32"/>
        <v>0</v>
      </c>
      <c r="AJ35">
        <f t="shared" si="33"/>
        <v>0</v>
      </c>
      <c r="AK35">
        <v>15.9</v>
      </c>
      <c r="AL35">
        <v>15.9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95</v>
      </c>
      <c r="AU35">
        <v>47</v>
      </c>
      <c r="AV35">
        <v>1</v>
      </c>
      <c r="AW35">
        <v>1</v>
      </c>
      <c r="AZ35">
        <v>6.57</v>
      </c>
      <c r="BA35">
        <v>1</v>
      </c>
      <c r="BB35">
        <v>1</v>
      </c>
      <c r="BC35">
        <v>6.57</v>
      </c>
      <c r="BD35" t="s">
        <v>6</v>
      </c>
      <c r="BE35" t="s">
        <v>6</v>
      </c>
      <c r="BF35" t="s">
        <v>6</v>
      </c>
      <c r="BG35" t="s">
        <v>6</v>
      </c>
      <c r="BH35">
        <v>3</v>
      </c>
      <c r="BI35">
        <v>1</v>
      </c>
      <c r="BJ35" t="s">
        <v>73</v>
      </c>
      <c r="BM35">
        <v>15001</v>
      </c>
      <c r="BN35">
        <v>0</v>
      </c>
      <c r="BO35" t="s">
        <v>6</v>
      </c>
      <c r="BP35">
        <v>0</v>
      </c>
      <c r="BQ35">
        <v>2</v>
      </c>
      <c r="BR35">
        <v>0</v>
      </c>
      <c r="BS35">
        <v>1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6</v>
      </c>
      <c r="BZ35">
        <v>105</v>
      </c>
      <c r="CA35">
        <v>55</v>
      </c>
      <c r="CF35">
        <v>0</v>
      </c>
      <c r="CG35">
        <v>0</v>
      </c>
      <c r="CM35">
        <v>0</v>
      </c>
      <c r="CN35" t="s">
        <v>6</v>
      </c>
      <c r="CO35">
        <v>0</v>
      </c>
      <c r="CP35">
        <f t="shared" si="34"/>
        <v>4643.17</v>
      </c>
      <c r="CQ35">
        <f t="shared" si="35"/>
        <v>104.46300000000001</v>
      </c>
      <c r="CR35">
        <f t="shared" si="36"/>
        <v>0</v>
      </c>
      <c r="CS35">
        <f t="shared" si="37"/>
        <v>0</v>
      </c>
      <c r="CT35">
        <f t="shared" si="38"/>
        <v>0</v>
      </c>
      <c r="CU35">
        <f t="shared" si="39"/>
        <v>0</v>
      </c>
      <c r="CV35">
        <f t="shared" si="40"/>
        <v>0</v>
      </c>
      <c r="CW35">
        <f t="shared" si="41"/>
        <v>0</v>
      </c>
      <c r="CX35">
        <f t="shared" si="42"/>
        <v>0</v>
      </c>
      <c r="CY35">
        <f t="shared" si="43"/>
        <v>0</v>
      </c>
      <c r="CZ35">
        <f t="shared" si="44"/>
        <v>0</v>
      </c>
      <c r="DC35" t="s">
        <v>6</v>
      </c>
      <c r="DD35" t="s">
        <v>6</v>
      </c>
      <c r="DE35" t="s">
        <v>6</v>
      </c>
      <c r="DF35" t="s">
        <v>6</v>
      </c>
      <c r="DG35" t="s">
        <v>6</v>
      </c>
      <c r="DH35" t="s">
        <v>6</v>
      </c>
      <c r="DI35" t="s">
        <v>6</v>
      </c>
      <c r="DJ35" t="s">
        <v>6</v>
      </c>
      <c r="DK35" t="s">
        <v>6</v>
      </c>
      <c r="DL35" t="s">
        <v>6</v>
      </c>
      <c r="DM35" t="s">
        <v>6</v>
      </c>
      <c r="DN35">
        <v>0</v>
      </c>
      <c r="DO35">
        <v>0</v>
      </c>
      <c r="DP35">
        <v>1</v>
      </c>
      <c r="DQ35">
        <v>1</v>
      </c>
      <c r="DU35">
        <v>1009</v>
      </c>
      <c r="DV35" t="s">
        <v>69</v>
      </c>
      <c r="DW35" t="s">
        <v>69</v>
      </c>
      <c r="DX35">
        <v>1</v>
      </c>
      <c r="EE35">
        <v>15139126</v>
      </c>
      <c r="EF35">
        <v>2</v>
      </c>
      <c r="EG35" t="s">
        <v>18</v>
      </c>
      <c r="EH35">
        <v>0</v>
      </c>
      <c r="EI35" t="s">
        <v>6</v>
      </c>
      <c r="EJ35">
        <v>1</v>
      </c>
      <c r="EK35">
        <v>15001</v>
      </c>
      <c r="EL35" t="s">
        <v>57</v>
      </c>
      <c r="EM35" t="s">
        <v>58</v>
      </c>
      <c r="EO35" t="s">
        <v>6</v>
      </c>
      <c r="EQ35">
        <v>0</v>
      </c>
      <c r="ER35">
        <v>15.9</v>
      </c>
      <c r="ES35">
        <v>15.9</v>
      </c>
      <c r="ET35">
        <v>0</v>
      </c>
      <c r="EU35">
        <v>0</v>
      </c>
      <c r="EV35">
        <v>0</v>
      </c>
      <c r="EW35">
        <v>0</v>
      </c>
      <c r="EX35">
        <v>0</v>
      </c>
      <c r="FQ35">
        <v>0</v>
      </c>
      <c r="FR35">
        <f t="shared" si="45"/>
        <v>0</v>
      </c>
      <c r="FS35">
        <v>0</v>
      </c>
      <c r="FT35" t="s">
        <v>21</v>
      </c>
      <c r="FU35" t="s">
        <v>22</v>
      </c>
      <c r="FX35">
        <v>94.5</v>
      </c>
      <c r="FY35">
        <v>46.75</v>
      </c>
      <c r="GA35" t="s">
        <v>6</v>
      </c>
      <c r="GD35">
        <v>0</v>
      </c>
      <c r="GF35">
        <v>1104462431</v>
      </c>
      <c r="GG35">
        <v>1</v>
      </c>
      <c r="GH35">
        <v>1</v>
      </c>
      <c r="GI35">
        <v>4</v>
      </c>
      <c r="GJ35">
        <v>0</v>
      </c>
      <c r="GK35">
        <f>ROUND(R35*(R12)/100,2)</f>
        <v>0</v>
      </c>
      <c r="GL35">
        <f t="shared" si="46"/>
        <v>0</v>
      </c>
      <c r="GM35">
        <f t="shared" si="47"/>
        <v>4643.17</v>
      </c>
      <c r="GN35">
        <f t="shared" si="48"/>
        <v>4643.17</v>
      </c>
      <c r="GO35">
        <f t="shared" si="49"/>
        <v>0</v>
      </c>
      <c r="GP35">
        <f t="shared" si="50"/>
        <v>0</v>
      </c>
      <c r="GR35">
        <v>0</v>
      </c>
      <c r="GS35">
        <v>3</v>
      </c>
      <c r="GT35">
        <v>0</v>
      </c>
      <c r="GU35" t="s">
        <v>6</v>
      </c>
      <c r="GV35">
        <f t="shared" si="51"/>
        <v>0</v>
      </c>
      <c r="GW35">
        <v>1</v>
      </c>
      <c r="GX35">
        <f t="shared" si="52"/>
        <v>0</v>
      </c>
      <c r="HA35">
        <v>0</v>
      </c>
      <c r="HB35">
        <v>0</v>
      </c>
      <c r="IK35">
        <v>0</v>
      </c>
    </row>
    <row r="36" spans="1:245" x14ac:dyDescent="0.2">
      <c r="A36">
        <v>18</v>
      </c>
      <c r="B36">
        <v>1</v>
      </c>
      <c r="C36">
        <v>38</v>
      </c>
      <c r="E36" t="s">
        <v>74</v>
      </c>
      <c r="F36" t="s">
        <v>75</v>
      </c>
      <c r="G36" t="s">
        <v>76</v>
      </c>
      <c r="H36" t="s">
        <v>69</v>
      </c>
      <c r="I36">
        <f>I31*J36</f>
        <v>13.18652</v>
      </c>
      <c r="J36">
        <v>8.9001889848812095</v>
      </c>
      <c r="O36">
        <f t="shared" si="14"/>
        <v>1307.33</v>
      </c>
      <c r="P36">
        <f t="shared" si="15"/>
        <v>1307.33</v>
      </c>
      <c r="Q36">
        <f t="shared" si="16"/>
        <v>0</v>
      </c>
      <c r="R36">
        <f t="shared" si="17"/>
        <v>0</v>
      </c>
      <c r="S36">
        <f t="shared" si="18"/>
        <v>0</v>
      </c>
      <c r="T36">
        <f t="shared" si="19"/>
        <v>0</v>
      </c>
      <c r="U36">
        <f t="shared" si="20"/>
        <v>0</v>
      </c>
      <c r="V36">
        <f t="shared" si="21"/>
        <v>0</v>
      </c>
      <c r="W36">
        <f t="shared" si="22"/>
        <v>0</v>
      </c>
      <c r="X36">
        <f t="shared" si="23"/>
        <v>0</v>
      </c>
      <c r="Y36">
        <f t="shared" si="24"/>
        <v>0</v>
      </c>
      <c r="AA36">
        <v>16496534</v>
      </c>
      <c r="AB36">
        <f t="shared" si="25"/>
        <v>15.09</v>
      </c>
      <c r="AC36">
        <f t="shared" si="26"/>
        <v>15.09</v>
      </c>
      <c r="AD36">
        <f t="shared" si="27"/>
        <v>0</v>
      </c>
      <c r="AE36">
        <f t="shared" si="28"/>
        <v>0</v>
      </c>
      <c r="AF36">
        <f t="shared" si="29"/>
        <v>0</v>
      </c>
      <c r="AG36">
        <f t="shared" si="30"/>
        <v>0</v>
      </c>
      <c r="AH36">
        <f t="shared" si="31"/>
        <v>0</v>
      </c>
      <c r="AI36">
        <f t="shared" si="32"/>
        <v>0</v>
      </c>
      <c r="AJ36">
        <f t="shared" si="33"/>
        <v>0</v>
      </c>
      <c r="AK36">
        <v>15.09</v>
      </c>
      <c r="AL36">
        <v>15.09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95</v>
      </c>
      <c r="AU36">
        <v>47</v>
      </c>
      <c r="AV36">
        <v>1</v>
      </c>
      <c r="AW36">
        <v>1</v>
      </c>
      <c r="AZ36">
        <v>6.57</v>
      </c>
      <c r="BA36">
        <v>1</v>
      </c>
      <c r="BB36">
        <v>1</v>
      </c>
      <c r="BC36">
        <v>6.57</v>
      </c>
      <c r="BD36" t="s">
        <v>6</v>
      </c>
      <c r="BE36" t="s">
        <v>6</v>
      </c>
      <c r="BF36" t="s">
        <v>6</v>
      </c>
      <c r="BG36" t="s">
        <v>6</v>
      </c>
      <c r="BH36">
        <v>3</v>
      </c>
      <c r="BI36">
        <v>1</v>
      </c>
      <c r="BJ36" t="s">
        <v>77</v>
      </c>
      <c r="BM36">
        <v>15001</v>
      </c>
      <c r="BN36">
        <v>0</v>
      </c>
      <c r="BO36" t="s">
        <v>6</v>
      </c>
      <c r="BP36">
        <v>0</v>
      </c>
      <c r="BQ36">
        <v>2</v>
      </c>
      <c r="BR36">
        <v>0</v>
      </c>
      <c r="BS36">
        <v>1</v>
      </c>
      <c r="BT36">
        <v>1</v>
      </c>
      <c r="BU36">
        <v>1</v>
      </c>
      <c r="BV36">
        <v>1</v>
      </c>
      <c r="BW36">
        <v>1</v>
      </c>
      <c r="BX36">
        <v>1</v>
      </c>
      <c r="BY36" t="s">
        <v>6</v>
      </c>
      <c r="BZ36">
        <v>105</v>
      </c>
      <c r="CA36">
        <v>55</v>
      </c>
      <c r="CF36">
        <v>0</v>
      </c>
      <c r="CG36">
        <v>0</v>
      </c>
      <c r="CM36">
        <v>0</v>
      </c>
      <c r="CN36" t="s">
        <v>6</v>
      </c>
      <c r="CO36">
        <v>0</v>
      </c>
      <c r="CP36">
        <f t="shared" si="34"/>
        <v>1307.33</v>
      </c>
      <c r="CQ36">
        <f t="shared" si="35"/>
        <v>99.141300000000001</v>
      </c>
      <c r="CR36">
        <f t="shared" si="36"/>
        <v>0</v>
      </c>
      <c r="CS36">
        <f t="shared" si="37"/>
        <v>0</v>
      </c>
      <c r="CT36">
        <f t="shared" si="38"/>
        <v>0</v>
      </c>
      <c r="CU36">
        <f t="shared" si="39"/>
        <v>0</v>
      </c>
      <c r="CV36">
        <f t="shared" si="40"/>
        <v>0</v>
      </c>
      <c r="CW36">
        <f t="shared" si="41"/>
        <v>0</v>
      </c>
      <c r="CX36">
        <f t="shared" si="42"/>
        <v>0</v>
      </c>
      <c r="CY36">
        <f t="shared" si="43"/>
        <v>0</v>
      </c>
      <c r="CZ36">
        <f t="shared" si="44"/>
        <v>0</v>
      </c>
      <c r="DC36" t="s">
        <v>6</v>
      </c>
      <c r="DD36" t="s">
        <v>6</v>
      </c>
      <c r="DE36" t="s">
        <v>6</v>
      </c>
      <c r="DF36" t="s">
        <v>6</v>
      </c>
      <c r="DG36" t="s">
        <v>6</v>
      </c>
      <c r="DH36" t="s">
        <v>6</v>
      </c>
      <c r="DI36" t="s">
        <v>6</v>
      </c>
      <c r="DJ36" t="s">
        <v>6</v>
      </c>
      <c r="DK36" t="s">
        <v>6</v>
      </c>
      <c r="DL36" t="s">
        <v>6</v>
      </c>
      <c r="DM36" t="s">
        <v>6</v>
      </c>
      <c r="DN36">
        <v>0</v>
      </c>
      <c r="DO36">
        <v>0</v>
      </c>
      <c r="DP36">
        <v>1</v>
      </c>
      <c r="DQ36">
        <v>1</v>
      </c>
      <c r="DU36">
        <v>1009</v>
      </c>
      <c r="DV36" t="s">
        <v>69</v>
      </c>
      <c r="DW36" t="s">
        <v>69</v>
      </c>
      <c r="DX36">
        <v>1</v>
      </c>
      <c r="EE36">
        <v>15139126</v>
      </c>
      <c r="EF36">
        <v>2</v>
      </c>
      <c r="EG36" t="s">
        <v>18</v>
      </c>
      <c r="EH36">
        <v>0</v>
      </c>
      <c r="EI36" t="s">
        <v>6</v>
      </c>
      <c r="EJ36">
        <v>1</v>
      </c>
      <c r="EK36">
        <v>15001</v>
      </c>
      <c r="EL36" t="s">
        <v>57</v>
      </c>
      <c r="EM36" t="s">
        <v>58</v>
      </c>
      <c r="EO36" t="s">
        <v>6</v>
      </c>
      <c r="EQ36">
        <v>0</v>
      </c>
      <c r="ER36">
        <v>15.09</v>
      </c>
      <c r="ES36">
        <v>15.09</v>
      </c>
      <c r="ET36">
        <v>0</v>
      </c>
      <c r="EU36">
        <v>0</v>
      </c>
      <c r="EV36">
        <v>0</v>
      </c>
      <c r="EW36">
        <v>0</v>
      </c>
      <c r="EX36">
        <v>0</v>
      </c>
      <c r="FQ36">
        <v>0</v>
      </c>
      <c r="FR36">
        <f t="shared" si="45"/>
        <v>0</v>
      </c>
      <c r="FS36">
        <v>0</v>
      </c>
      <c r="FT36" t="s">
        <v>21</v>
      </c>
      <c r="FU36" t="s">
        <v>22</v>
      </c>
      <c r="FX36">
        <v>94.5</v>
      </c>
      <c r="FY36">
        <v>46.75</v>
      </c>
      <c r="GA36" t="s">
        <v>6</v>
      </c>
      <c r="GD36">
        <v>0</v>
      </c>
      <c r="GF36">
        <v>1453462043</v>
      </c>
      <c r="GG36">
        <v>1</v>
      </c>
      <c r="GH36">
        <v>1</v>
      </c>
      <c r="GI36">
        <v>4</v>
      </c>
      <c r="GJ36">
        <v>0</v>
      </c>
      <c r="GK36">
        <f>ROUND(R36*(R12)/100,2)</f>
        <v>0</v>
      </c>
      <c r="GL36">
        <f t="shared" si="46"/>
        <v>0</v>
      </c>
      <c r="GM36">
        <f t="shared" si="47"/>
        <v>1307.33</v>
      </c>
      <c r="GN36">
        <f t="shared" si="48"/>
        <v>1307.33</v>
      </c>
      <c r="GO36">
        <f t="shared" si="49"/>
        <v>0</v>
      </c>
      <c r="GP36">
        <f t="shared" si="50"/>
        <v>0</v>
      </c>
      <c r="GR36">
        <v>0</v>
      </c>
      <c r="GS36">
        <v>3</v>
      </c>
      <c r="GT36">
        <v>0</v>
      </c>
      <c r="GU36" t="s">
        <v>6</v>
      </c>
      <c r="GV36">
        <f t="shared" si="51"/>
        <v>0</v>
      </c>
      <c r="GW36">
        <v>1</v>
      </c>
      <c r="GX36">
        <f t="shared" si="52"/>
        <v>0</v>
      </c>
      <c r="HA36">
        <v>0</v>
      </c>
      <c r="HB36">
        <v>0</v>
      </c>
      <c r="IK36">
        <v>0</v>
      </c>
    </row>
    <row r="37" spans="1:245" x14ac:dyDescent="0.2">
      <c r="A37">
        <v>18</v>
      </c>
      <c r="B37">
        <v>1</v>
      </c>
      <c r="C37">
        <v>39</v>
      </c>
      <c r="E37" t="s">
        <v>78</v>
      </c>
      <c r="F37" t="s">
        <v>79</v>
      </c>
      <c r="G37" t="s">
        <v>80</v>
      </c>
      <c r="H37" t="s">
        <v>81</v>
      </c>
      <c r="I37">
        <f>I31*J37</f>
        <v>1.3185999999999998E-2</v>
      </c>
      <c r="J37">
        <v>8.8998380129589622E-3</v>
      </c>
      <c r="O37">
        <f t="shared" si="14"/>
        <v>0</v>
      </c>
      <c r="P37">
        <f t="shared" si="15"/>
        <v>0</v>
      </c>
      <c r="Q37">
        <f t="shared" si="16"/>
        <v>0</v>
      </c>
      <c r="R37">
        <f t="shared" si="17"/>
        <v>0</v>
      </c>
      <c r="S37">
        <f t="shared" si="18"/>
        <v>0</v>
      </c>
      <c r="T37">
        <f t="shared" si="19"/>
        <v>0</v>
      </c>
      <c r="U37">
        <f t="shared" si="20"/>
        <v>0</v>
      </c>
      <c r="V37">
        <f t="shared" si="21"/>
        <v>0</v>
      </c>
      <c r="W37">
        <f t="shared" si="22"/>
        <v>0</v>
      </c>
      <c r="X37">
        <f t="shared" si="23"/>
        <v>0</v>
      </c>
      <c r="Y37">
        <f t="shared" si="24"/>
        <v>0</v>
      </c>
      <c r="AA37">
        <v>16496534</v>
      </c>
      <c r="AB37">
        <f t="shared" si="25"/>
        <v>0</v>
      </c>
      <c r="AC37">
        <f t="shared" si="26"/>
        <v>0</v>
      </c>
      <c r="AD37">
        <f t="shared" si="27"/>
        <v>0</v>
      </c>
      <c r="AE37">
        <f t="shared" si="28"/>
        <v>0</v>
      </c>
      <c r="AF37">
        <f t="shared" si="29"/>
        <v>0</v>
      </c>
      <c r="AG37">
        <f t="shared" si="30"/>
        <v>0</v>
      </c>
      <c r="AH37">
        <f t="shared" si="31"/>
        <v>0</v>
      </c>
      <c r="AI37">
        <f t="shared" si="32"/>
        <v>0</v>
      </c>
      <c r="AJ37">
        <f t="shared" si="33"/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95</v>
      </c>
      <c r="AU37">
        <v>47</v>
      </c>
      <c r="AV37">
        <v>1</v>
      </c>
      <c r="AW37">
        <v>1</v>
      </c>
      <c r="AZ37">
        <v>6.57</v>
      </c>
      <c r="BA37">
        <v>1</v>
      </c>
      <c r="BB37">
        <v>1</v>
      </c>
      <c r="BC37">
        <v>6.57</v>
      </c>
      <c r="BD37" t="s">
        <v>6</v>
      </c>
      <c r="BE37" t="s">
        <v>6</v>
      </c>
      <c r="BF37" t="s">
        <v>6</v>
      </c>
      <c r="BG37" t="s">
        <v>6</v>
      </c>
      <c r="BH37">
        <v>3</v>
      </c>
      <c r="BI37">
        <v>1</v>
      </c>
      <c r="BJ37" t="s">
        <v>6</v>
      </c>
      <c r="BM37">
        <v>15001</v>
      </c>
      <c r="BN37">
        <v>0</v>
      </c>
      <c r="BO37" t="s">
        <v>6</v>
      </c>
      <c r="BP37">
        <v>0</v>
      </c>
      <c r="BQ37">
        <v>2</v>
      </c>
      <c r="BR37">
        <v>0</v>
      </c>
      <c r="BS37">
        <v>1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6</v>
      </c>
      <c r="BZ37">
        <v>105</v>
      </c>
      <c r="CA37">
        <v>55</v>
      </c>
      <c r="CF37">
        <v>0</v>
      </c>
      <c r="CG37">
        <v>0</v>
      </c>
      <c r="CM37">
        <v>0</v>
      </c>
      <c r="CN37" t="s">
        <v>6</v>
      </c>
      <c r="CO37">
        <v>0</v>
      </c>
      <c r="CP37">
        <f t="shared" si="34"/>
        <v>0</v>
      </c>
      <c r="CQ37">
        <f t="shared" si="35"/>
        <v>0</v>
      </c>
      <c r="CR37">
        <f t="shared" si="36"/>
        <v>0</v>
      </c>
      <c r="CS37">
        <f t="shared" si="37"/>
        <v>0</v>
      </c>
      <c r="CT37">
        <f t="shared" si="38"/>
        <v>0</v>
      </c>
      <c r="CU37">
        <f t="shared" si="39"/>
        <v>0</v>
      </c>
      <c r="CV37">
        <f t="shared" si="40"/>
        <v>0</v>
      </c>
      <c r="CW37">
        <f t="shared" si="41"/>
        <v>0</v>
      </c>
      <c r="CX37">
        <f t="shared" si="42"/>
        <v>0</v>
      </c>
      <c r="CY37">
        <f t="shared" si="43"/>
        <v>0</v>
      </c>
      <c r="CZ37">
        <f t="shared" si="44"/>
        <v>0</v>
      </c>
      <c r="DC37" t="s">
        <v>6</v>
      </c>
      <c r="DD37" t="s">
        <v>6</v>
      </c>
      <c r="DE37" t="s">
        <v>6</v>
      </c>
      <c r="DF37" t="s">
        <v>6</v>
      </c>
      <c r="DG37" t="s">
        <v>6</v>
      </c>
      <c r="DH37" t="s">
        <v>6</v>
      </c>
      <c r="DI37" t="s">
        <v>6</v>
      </c>
      <c r="DJ37" t="s">
        <v>6</v>
      </c>
      <c r="DK37" t="s">
        <v>6</v>
      </c>
      <c r="DL37" t="s">
        <v>6</v>
      </c>
      <c r="DM37" t="s">
        <v>6</v>
      </c>
      <c r="DN37">
        <v>0</v>
      </c>
      <c r="DO37">
        <v>0</v>
      </c>
      <c r="DP37">
        <v>1</v>
      </c>
      <c r="DQ37">
        <v>1</v>
      </c>
      <c r="DU37">
        <v>1009</v>
      </c>
      <c r="DV37" t="s">
        <v>81</v>
      </c>
      <c r="DW37" t="s">
        <v>81</v>
      </c>
      <c r="DX37">
        <v>1000</v>
      </c>
      <c r="EE37">
        <v>15139126</v>
      </c>
      <c r="EF37">
        <v>2</v>
      </c>
      <c r="EG37" t="s">
        <v>18</v>
      </c>
      <c r="EH37">
        <v>0</v>
      </c>
      <c r="EI37" t="s">
        <v>6</v>
      </c>
      <c r="EJ37">
        <v>1</v>
      </c>
      <c r="EK37">
        <v>15001</v>
      </c>
      <c r="EL37" t="s">
        <v>57</v>
      </c>
      <c r="EM37" t="s">
        <v>58</v>
      </c>
      <c r="EO37" t="s">
        <v>6</v>
      </c>
      <c r="EQ37">
        <v>0</v>
      </c>
      <c r="ER37">
        <v>0</v>
      </c>
      <c r="ES37">
        <v>0</v>
      </c>
      <c r="ET37">
        <v>0</v>
      </c>
      <c r="EU37">
        <v>0</v>
      </c>
      <c r="EV37">
        <v>0</v>
      </c>
      <c r="EW37">
        <v>0</v>
      </c>
      <c r="EX37">
        <v>0</v>
      </c>
      <c r="FQ37">
        <v>0</v>
      </c>
      <c r="FR37">
        <f t="shared" si="45"/>
        <v>0</v>
      </c>
      <c r="FS37">
        <v>0</v>
      </c>
      <c r="FT37" t="s">
        <v>21</v>
      </c>
      <c r="FU37" t="s">
        <v>22</v>
      </c>
      <c r="FX37">
        <v>94.5</v>
      </c>
      <c r="FY37">
        <v>46.75</v>
      </c>
      <c r="GA37" t="s">
        <v>6</v>
      </c>
      <c r="GD37">
        <v>0</v>
      </c>
      <c r="GF37">
        <v>-1212923053</v>
      </c>
      <c r="GG37">
        <v>1</v>
      </c>
      <c r="GH37">
        <v>1</v>
      </c>
      <c r="GI37">
        <v>4</v>
      </c>
      <c r="GJ37">
        <v>0</v>
      </c>
      <c r="GK37">
        <f>ROUND(R37*(R12)/100,2)</f>
        <v>0</v>
      </c>
      <c r="GL37">
        <f t="shared" si="46"/>
        <v>0</v>
      </c>
      <c r="GM37">
        <f t="shared" si="47"/>
        <v>0</v>
      </c>
      <c r="GN37">
        <f t="shared" si="48"/>
        <v>0</v>
      </c>
      <c r="GO37">
        <f t="shared" si="49"/>
        <v>0</v>
      </c>
      <c r="GP37">
        <f t="shared" si="50"/>
        <v>0</v>
      </c>
      <c r="GR37">
        <v>0</v>
      </c>
      <c r="GS37">
        <v>3</v>
      </c>
      <c r="GT37">
        <v>0</v>
      </c>
      <c r="GU37" t="s">
        <v>6</v>
      </c>
      <c r="GV37">
        <f t="shared" si="51"/>
        <v>0</v>
      </c>
      <c r="GW37">
        <v>1</v>
      </c>
      <c r="GX37">
        <f t="shared" si="52"/>
        <v>0</v>
      </c>
      <c r="HA37">
        <v>0</v>
      </c>
      <c r="HB37">
        <v>0</v>
      </c>
      <c r="IK37">
        <v>0</v>
      </c>
    </row>
    <row r="38" spans="1:245" x14ac:dyDescent="0.2">
      <c r="A38">
        <v>17</v>
      </c>
      <c r="B38">
        <v>1</v>
      </c>
      <c r="C38">
        <f>ROW(SmtRes!A43)</f>
        <v>43</v>
      </c>
      <c r="D38">
        <f>ROW(EtalonRes!A40)</f>
        <v>40</v>
      </c>
      <c r="E38" t="s">
        <v>82</v>
      </c>
      <c r="F38" t="s">
        <v>83</v>
      </c>
      <c r="G38" t="s">
        <v>84</v>
      </c>
      <c r="H38" t="s">
        <v>37</v>
      </c>
      <c r="I38">
        <f>ROUND(296.32/100,9)</f>
        <v>2.9632000000000001</v>
      </c>
      <c r="J38">
        <v>0</v>
      </c>
      <c r="O38">
        <f t="shared" si="14"/>
        <v>1813.47</v>
      </c>
      <c r="P38">
        <f t="shared" si="15"/>
        <v>700.86</v>
      </c>
      <c r="Q38">
        <f t="shared" si="16"/>
        <v>0</v>
      </c>
      <c r="R38">
        <f t="shared" si="17"/>
        <v>0</v>
      </c>
      <c r="S38">
        <f t="shared" si="18"/>
        <v>1112.6099999999999</v>
      </c>
      <c r="T38">
        <f t="shared" si="19"/>
        <v>0</v>
      </c>
      <c r="U38">
        <f t="shared" si="20"/>
        <v>19.853440000000003</v>
      </c>
      <c r="V38">
        <f t="shared" si="21"/>
        <v>0</v>
      </c>
      <c r="W38">
        <f t="shared" si="22"/>
        <v>0</v>
      </c>
      <c r="X38">
        <f t="shared" si="23"/>
        <v>1179.3699999999999</v>
      </c>
      <c r="Y38">
        <f t="shared" si="24"/>
        <v>600.80999999999995</v>
      </c>
      <c r="AA38">
        <v>16496534</v>
      </c>
      <c r="AB38">
        <f t="shared" si="25"/>
        <v>93.15</v>
      </c>
      <c r="AC38">
        <f t="shared" si="26"/>
        <v>36</v>
      </c>
      <c r="AD38">
        <f t="shared" si="27"/>
        <v>0</v>
      </c>
      <c r="AE38">
        <f t="shared" si="28"/>
        <v>0</v>
      </c>
      <c r="AF38">
        <f t="shared" si="29"/>
        <v>57.15</v>
      </c>
      <c r="AG38">
        <f t="shared" si="30"/>
        <v>0</v>
      </c>
      <c r="AH38">
        <f t="shared" si="31"/>
        <v>6.7</v>
      </c>
      <c r="AI38">
        <f t="shared" si="32"/>
        <v>0</v>
      </c>
      <c r="AJ38">
        <f t="shared" si="33"/>
        <v>0</v>
      </c>
      <c r="AK38">
        <v>93.15</v>
      </c>
      <c r="AL38">
        <v>36</v>
      </c>
      <c r="AM38">
        <v>0</v>
      </c>
      <c r="AN38">
        <v>0</v>
      </c>
      <c r="AO38">
        <v>57.15</v>
      </c>
      <c r="AP38">
        <v>0</v>
      </c>
      <c r="AQ38">
        <v>6.7</v>
      </c>
      <c r="AR38">
        <v>0</v>
      </c>
      <c r="AS38">
        <v>0</v>
      </c>
      <c r="AT38">
        <v>106</v>
      </c>
      <c r="AU38">
        <v>54</v>
      </c>
      <c r="AV38">
        <v>1</v>
      </c>
      <c r="AW38">
        <v>1</v>
      </c>
      <c r="AZ38">
        <v>6.57</v>
      </c>
      <c r="BA38">
        <v>6.57</v>
      </c>
      <c r="BB38">
        <v>6.57</v>
      </c>
      <c r="BC38">
        <v>6.57</v>
      </c>
      <c r="BD38" t="s">
        <v>6</v>
      </c>
      <c r="BE38" t="s">
        <v>6</v>
      </c>
      <c r="BF38" t="s">
        <v>6</v>
      </c>
      <c r="BG38" t="s">
        <v>6</v>
      </c>
      <c r="BH38">
        <v>0</v>
      </c>
      <c r="BI38">
        <v>1</v>
      </c>
      <c r="BJ38" t="s">
        <v>85</v>
      </c>
      <c r="BM38">
        <v>10001</v>
      </c>
      <c r="BN38">
        <v>0</v>
      </c>
      <c r="BO38" t="s">
        <v>6</v>
      </c>
      <c r="BP38">
        <v>0</v>
      </c>
      <c r="BQ38">
        <v>2</v>
      </c>
      <c r="BR38">
        <v>0</v>
      </c>
      <c r="BS38">
        <v>6.57</v>
      </c>
      <c r="BT38">
        <v>1</v>
      </c>
      <c r="BU38">
        <v>1</v>
      </c>
      <c r="BV38">
        <v>1</v>
      </c>
      <c r="BW38">
        <v>1</v>
      </c>
      <c r="BX38">
        <v>1</v>
      </c>
      <c r="BY38" t="s">
        <v>6</v>
      </c>
      <c r="BZ38">
        <v>118</v>
      </c>
      <c r="CA38">
        <v>63</v>
      </c>
      <c r="CF38">
        <v>0</v>
      </c>
      <c r="CG38">
        <v>0</v>
      </c>
      <c r="CM38">
        <v>0</v>
      </c>
      <c r="CN38" t="s">
        <v>6</v>
      </c>
      <c r="CO38">
        <v>0</v>
      </c>
      <c r="CP38">
        <f t="shared" si="34"/>
        <v>1813.4699999999998</v>
      </c>
      <c r="CQ38">
        <f t="shared" si="35"/>
        <v>236.52</v>
      </c>
      <c r="CR38">
        <f t="shared" si="36"/>
        <v>0</v>
      </c>
      <c r="CS38">
        <f t="shared" si="37"/>
        <v>0</v>
      </c>
      <c r="CT38">
        <f t="shared" si="38"/>
        <v>375.47550000000001</v>
      </c>
      <c r="CU38">
        <f t="shared" si="39"/>
        <v>0</v>
      </c>
      <c r="CV38">
        <f t="shared" si="40"/>
        <v>6.7</v>
      </c>
      <c r="CW38">
        <f t="shared" si="41"/>
        <v>0</v>
      </c>
      <c r="CX38">
        <f t="shared" si="42"/>
        <v>0</v>
      </c>
      <c r="CY38">
        <f t="shared" si="43"/>
        <v>1179.3665999999998</v>
      </c>
      <c r="CZ38">
        <f t="shared" si="44"/>
        <v>600.80939999999998</v>
      </c>
      <c r="DC38" t="s">
        <v>6</v>
      </c>
      <c r="DD38" t="s">
        <v>6</v>
      </c>
      <c r="DE38" t="s">
        <v>6</v>
      </c>
      <c r="DF38" t="s">
        <v>6</v>
      </c>
      <c r="DG38" t="s">
        <v>6</v>
      </c>
      <c r="DH38" t="s">
        <v>6</v>
      </c>
      <c r="DI38" t="s">
        <v>6</v>
      </c>
      <c r="DJ38" t="s">
        <v>6</v>
      </c>
      <c r="DK38" t="s">
        <v>6</v>
      </c>
      <c r="DL38" t="s">
        <v>6</v>
      </c>
      <c r="DM38" t="s">
        <v>6</v>
      </c>
      <c r="DN38">
        <v>0</v>
      </c>
      <c r="DO38">
        <v>0</v>
      </c>
      <c r="DP38">
        <v>1</v>
      </c>
      <c r="DQ38">
        <v>1</v>
      </c>
      <c r="DU38">
        <v>1003</v>
      </c>
      <c r="DV38" t="s">
        <v>37</v>
      </c>
      <c r="DW38" t="s">
        <v>37</v>
      </c>
      <c r="DX38">
        <v>100</v>
      </c>
      <c r="EE38">
        <v>15139100</v>
      </c>
      <c r="EF38">
        <v>2</v>
      </c>
      <c r="EG38" t="s">
        <v>18</v>
      </c>
      <c r="EH38">
        <v>0</v>
      </c>
      <c r="EI38" t="s">
        <v>6</v>
      </c>
      <c r="EJ38">
        <v>1</v>
      </c>
      <c r="EK38">
        <v>10001</v>
      </c>
      <c r="EL38" t="s">
        <v>27</v>
      </c>
      <c r="EM38" t="s">
        <v>28</v>
      </c>
      <c r="EO38" t="s">
        <v>6</v>
      </c>
      <c r="EQ38">
        <v>0</v>
      </c>
      <c r="ER38">
        <v>93.15</v>
      </c>
      <c r="ES38">
        <v>36</v>
      </c>
      <c r="ET38">
        <v>0</v>
      </c>
      <c r="EU38">
        <v>0</v>
      </c>
      <c r="EV38">
        <v>57.15</v>
      </c>
      <c r="EW38">
        <v>6.7</v>
      </c>
      <c r="EX38">
        <v>0</v>
      </c>
      <c r="EY38">
        <v>0</v>
      </c>
      <c r="FQ38">
        <v>0</v>
      </c>
      <c r="FR38">
        <f t="shared" si="45"/>
        <v>0</v>
      </c>
      <c r="FS38">
        <v>0</v>
      </c>
      <c r="FT38" t="s">
        <v>21</v>
      </c>
      <c r="FU38" t="s">
        <v>22</v>
      </c>
      <c r="FX38">
        <v>106.2</v>
      </c>
      <c r="FY38">
        <v>53.55</v>
      </c>
      <c r="GA38" t="s">
        <v>6</v>
      </c>
      <c r="GD38">
        <v>0</v>
      </c>
      <c r="GF38">
        <v>-1862938563</v>
      </c>
      <c r="GG38">
        <v>1</v>
      </c>
      <c r="GH38">
        <v>1</v>
      </c>
      <c r="GI38">
        <v>4</v>
      </c>
      <c r="GJ38">
        <v>0</v>
      </c>
      <c r="GK38">
        <f>ROUND(R38*(R12)/100,2)</f>
        <v>0</v>
      </c>
      <c r="GL38">
        <f t="shared" si="46"/>
        <v>0</v>
      </c>
      <c r="GM38">
        <f t="shared" si="47"/>
        <v>3593.65</v>
      </c>
      <c r="GN38">
        <f t="shared" si="48"/>
        <v>3593.65</v>
      </c>
      <c r="GO38">
        <f t="shared" si="49"/>
        <v>0</v>
      </c>
      <c r="GP38">
        <f t="shared" si="50"/>
        <v>0</v>
      </c>
      <c r="GR38">
        <v>0</v>
      </c>
      <c r="GS38">
        <v>3</v>
      </c>
      <c r="GT38">
        <v>0</v>
      </c>
      <c r="GU38" t="s">
        <v>6</v>
      </c>
      <c r="GV38">
        <f t="shared" si="51"/>
        <v>0</v>
      </c>
      <c r="GW38">
        <v>1</v>
      </c>
      <c r="GX38">
        <f t="shared" si="52"/>
        <v>0</v>
      </c>
      <c r="HA38">
        <v>0</v>
      </c>
      <c r="HB38">
        <v>0</v>
      </c>
      <c r="IK38">
        <v>0</v>
      </c>
    </row>
    <row r="39" spans="1:245" x14ac:dyDescent="0.2">
      <c r="A39">
        <v>18</v>
      </c>
      <c r="B39">
        <v>1</v>
      </c>
      <c r="C39">
        <v>41</v>
      </c>
      <c r="E39" t="s">
        <v>86</v>
      </c>
      <c r="F39" t="s">
        <v>87</v>
      </c>
      <c r="G39" t="s">
        <v>88</v>
      </c>
      <c r="H39" t="s">
        <v>89</v>
      </c>
      <c r="I39">
        <f>I38*J39</f>
        <v>296.32</v>
      </c>
      <c r="J39">
        <v>100</v>
      </c>
      <c r="O39">
        <f t="shared" si="14"/>
        <v>0</v>
      </c>
      <c r="P39">
        <f t="shared" si="15"/>
        <v>0</v>
      </c>
      <c r="Q39">
        <f t="shared" si="16"/>
        <v>0</v>
      </c>
      <c r="R39">
        <f t="shared" si="17"/>
        <v>0</v>
      </c>
      <c r="S39">
        <f t="shared" si="18"/>
        <v>0</v>
      </c>
      <c r="T39">
        <f t="shared" si="19"/>
        <v>0</v>
      </c>
      <c r="U39">
        <f t="shared" si="20"/>
        <v>0</v>
      </c>
      <c r="V39">
        <f t="shared" si="21"/>
        <v>0</v>
      </c>
      <c r="W39">
        <f t="shared" si="22"/>
        <v>0</v>
      </c>
      <c r="X39">
        <f t="shared" si="23"/>
        <v>0</v>
      </c>
      <c r="Y39">
        <f t="shared" si="24"/>
        <v>0</v>
      </c>
      <c r="AA39">
        <v>16496534</v>
      </c>
      <c r="AB39">
        <f t="shared" si="25"/>
        <v>0</v>
      </c>
      <c r="AC39">
        <f t="shared" si="26"/>
        <v>0</v>
      </c>
      <c r="AD39">
        <f t="shared" si="27"/>
        <v>0</v>
      </c>
      <c r="AE39">
        <f t="shared" si="28"/>
        <v>0</v>
      </c>
      <c r="AF39">
        <f t="shared" si="29"/>
        <v>0</v>
      </c>
      <c r="AG39">
        <f t="shared" si="30"/>
        <v>0</v>
      </c>
      <c r="AH39">
        <f t="shared" si="31"/>
        <v>0</v>
      </c>
      <c r="AI39">
        <f t="shared" si="32"/>
        <v>0</v>
      </c>
      <c r="AJ39">
        <f t="shared" si="33"/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106</v>
      </c>
      <c r="AU39">
        <v>54</v>
      </c>
      <c r="AV39">
        <v>1</v>
      </c>
      <c r="AW39">
        <v>1</v>
      </c>
      <c r="AZ39">
        <v>6.57</v>
      </c>
      <c r="BA39">
        <v>1</v>
      </c>
      <c r="BB39">
        <v>1</v>
      </c>
      <c r="BC39">
        <v>6.57</v>
      </c>
      <c r="BD39" t="s">
        <v>6</v>
      </c>
      <c r="BE39" t="s">
        <v>6</v>
      </c>
      <c r="BF39" t="s">
        <v>6</v>
      </c>
      <c r="BG39" t="s">
        <v>6</v>
      </c>
      <c r="BH39">
        <v>3</v>
      </c>
      <c r="BI39">
        <v>1</v>
      </c>
      <c r="BJ39" t="s">
        <v>6</v>
      </c>
      <c r="BM39">
        <v>10001</v>
      </c>
      <c r="BN39">
        <v>0</v>
      </c>
      <c r="BO39" t="s">
        <v>6</v>
      </c>
      <c r="BP39">
        <v>0</v>
      </c>
      <c r="BQ39">
        <v>2</v>
      </c>
      <c r="BR39">
        <v>0</v>
      </c>
      <c r="BS39">
        <v>1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6</v>
      </c>
      <c r="BZ39">
        <v>118</v>
      </c>
      <c r="CA39">
        <v>63</v>
      </c>
      <c r="CF39">
        <v>0</v>
      </c>
      <c r="CG39">
        <v>0</v>
      </c>
      <c r="CM39">
        <v>0</v>
      </c>
      <c r="CN39" t="s">
        <v>6</v>
      </c>
      <c r="CO39">
        <v>0</v>
      </c>
      <c r="CP39">
        <f t="shared" si="34"/>
        <v>0</v>
      </c>
      <c r="CQ39">
        <f t="shared" si="35"/>
        <v>0</v>
      </c>
      <c r="CR39">
        <f t="shared" si="36"/>
        <v>0</v>
      </c>
      <c r="CS39">
        <f t="shared" si="37"/>
        <v>0</v>
      </c>
      <c r="CT39">
        <f t="shared" si="38"/>
        <v>0</v>
      </c>
      <c r="CU39">
        <f t="shared" si="39"/>
        <v>0</v>
      </c>
      <c r="CV39">
        <f t="shared" si="40"/>
        <v>0</v>
      </c>
      <c r="CW39">
        <f t="shared" si="41"/>
        <v>0</v>
      </c>
      <c r="CX39">
        <f t="shared" si="42"/>
        <v>0</v>
      </c>
      <c r="CY39">
        <f t="shared" si="43"/>
        <v>0</v>
      </c>
      <c r="CZ39">
        <f t="shared" si="44"/>
        <v>0</v>
      </c>
      <c r="DC39" t="s">
        <v>6</v>
      </c>
      <c r="DD39" t="s">
        <v>6</v>
      </c>
      <c r="DE39" t="s">
        <v>6</v>
      </c>
      <c r="DF39" t="s">
        <v>6</v>
      </c>
      <c r="DG39" t="s">
        <v>6</v>
      </c>
      <c r="DH39" t="s">
        <v>6</v>
      </c>
      <c r="DI39" t="s">
        <v>6</v>
      </c>
      <c r="DJ39" t="s">
        <v>6</v>
      </c>
      <c r="DK39" t="s">
        <v>6</v>
      </c>
      <c r="DL39" t="s">
        <v>6</v>
      </c>
      <c r="DM39" t="s">
        <v>6</v>
      </c>
      <c r="DN39">
        <v>0</v>
      </c>
      <c r="DO39">
        <v>0</v>
      </c>
      <c r="DP39">
        <v>1</v>
      </c>
      <c r="DQ39">
        <v>1</v>
      </c>
      <c r="DU39">
        <v>1013</v>
      </c>
      <c r="DV39" t="s">
        <v>89</v>
      </c>
      <c r="DW39" t="s">
        <v>89</v>
      </c>
      <c r="DX39">
        <v>1</v>
      </c>
      <c r="EE39">
        <v>15139100</v>
      </c>
      <c r="EF39">
        <v>2</v>
      </c>
      <c r="EG39" t="s">
        <v>18</v>
      </c>
      <c r="EH39">
        <v>0</v>
      </c>
      <c r="EI39" t="s">
        <v>6</v>
      </c>
      <c r="EJ39">
        <v>1</v>
      </c>
      <c r="EK39">
        <v>10001</v>
      </c>
      <c r="EL39" t="s">
        <v>27</v>
      </c>
      <c r="EM39" t="s">
        <v>28</v>
      </c>
      <c r="EO39" t="s">
        <v>6</v>
      </c>
      <c r="EQ39">
        <v>0</v>
      </c>
      <c r="ER39">
        <v>0</v>
      </c>
      <c r="ES39">
        <v>0</v>
      </c>
      <c r="ET39">
        <v>0</v>
      </c>
      <c r="EU39">
        <v>0</v>
      </c>
      <c r="EV39">
        <v>0</v>
      </c>
      <c r="EW39">
        <v>0</v>
      </c>
      <c r="EX39">
        <v>0</v>
      </c>
      <c r="FQ39">
        <v>0</v>
      </c>
      <c r="FR39">
        <f t="shared" si="45"/>
        <v>0</v>
      </c>
      <c r="FS39">
        <v>0</v>
      </c>
      <c r="FT39" t="s">
        <v>21</v>
      </c>
      <c r="FU39" t="s">
        <v>22</v>
      </c>
      <c r="FX39">
        <v>106.2</v>
      </c>
      <c r="FY39">
        <v>53.55</v>
      </c>
      <c r="GA39" t="s">
        <v>6</v>
      </c>
      <c r="GD39">
        <v>0</v>
      </c>
      <c r="GF39">
        <v>-1710570218</v>
      </c>
      <c r="GG39">
        <v>1</v>
      </c>
      <c r="GH39">
        <v>1</v>
      </c>
      <c r="GI39">
        <v>4</v>
      </c>
      <c r="GJ39">
        <v>0</v>
      </c>
      <c r="GK39">
        <f>ROUND(R39*(R12)/100,2)</f>
        <v>0</v>
      </c>
      <c r="GL39">
        <f t="shared" si="46"/>
        <v>0</v>
      </c>
      <c r="GM39">
        <f t="shared" si="47"/>
        <v>0</v>
      </c>
      <c r="GN39">
        <f t="shared" si="48"/>
        <v>0</v>
      </c>
      <c r="GO39">
        <f t="shared" si="49"/>
        <v>0</v>
      </c>
      <c r="GP39">
        <f t="shared" si="50"/>
        <v>0</v>
      </c>
      <c r="GR39">
        <v>0</v>
      </c>
      <c r="GS39">
        <v>3</v>
      </c>
      <c r="GT39">
        <v>0</v>
      </c>
      <c r="GU39" t="s">
        <v>6</v>
      </c>
      <c r="GV39">
        <f t="shared" si="51"/>
        <v>0</v>
      </c>
      <c r="GW39">
        <v>1</v>
      </c>
      <c r="GX39">
        <f t="shared" si="52"/>
        <v>0</v>
      </c>
      <c r="HA39">
        <v>0</v>
      </c>
      <c r="HB39">
        <v>0</v>
      </c>
      <c r="IK39">
        <v>0</v>
      </c>
    </row>
    <row r="40" spans="1:245" x14ac:dyDescent="0.2">
      <c r="A40">
        <v>18</v>
      </c>
      <c r="B40">
        <v>1</v>
      </c>
      <c r="C40">
        <v>42</v>
      </c>
      <c r="E40" t="s">
        <v>90</v>
      </c>
      <c r="F40" t="s">
        <v>91</v>
      </c>
      <c r="G40" t="s">
        <v>92</v>
      </c>
      <c r="H40" t="s">
        <v>93</v>
      </c>
      <c r="I40">
        <f>I38*J40</f>
        <v>29.632000000000001</v>
      </c>
      <c r="J40">
        <v>10</v>
      </c>
      <c r="O40">
        <f t="shared" si="14"/>
        <v>4983.87</v>
      </c>
      <c r="P40">
        <f t="shared" si="15"/>
        <v>4983.87</v>
      </c>
      <c r="Q40">
        <f t="shared" si="16"/>
        <v>0</v>
      </c>
      <c r="R40">
        <f t="shared" si="17"/>
        <v>0</v>
      </c>
      <c r="S40">
        <f t="shared" si="18"/>
        <v>0</v>
      </c>
      <c r="T40">
        <f t="shared" si="19"/>
        <v>0</v>
      </c>
      <c r="U40">
        <f t="shared" si="20"/>
        <v>0</v>
      </c>
      <c r="V40">
        <f t="shared" si="21"/>
        <v>0</v>
      </c>
      <c r="W40">
        <f t="shared" si="22"/>
        <v>0</v>
      </c>
      <c r="X40">
        <f t="shared" si="23"/>
        <v>0</v>
      </c>
      <c r="Y40">
        <f t="shared" si="24"/>
        <v>0</v>
      </c>
      <c r="AA40">
        <v>16496534</v>
      </c>
      <c r="AB40">
        <f t="shared" si="25"/>
        <v>25.6</v>
      </c>
      <c r="AC40">
        <f t="shared" si="26"/>
        <v>25.6</v>
      </c>
      <c r="AD40">
        <f t="shared" si="27"/>
        <v>0</v>
      </c>
      <c r="AE40">
        <f t="shared" si="28"/>
        <v>0</v>
      </c>
      <c r="AF40">
        <f t="shared" si="29"/>
        <v>0</v>
      </c>
      <c r="AG40">
        <f t="shared" si="30"/>
        <v>0</v>
      </c>
      <c r="AH40">
        <f t="shared" si="31"/>
        <v>0</v>
      </c>
      <c r="AI40">
        <f t="shared" si="32"/>
        <v>0</v>
      </c>
      <c r="AJ40">
        <f t="shared" si="33"/>
        <v>0</v>
      </c>
      <c r="AK40">
        <v>25.6</v>
      </c>
      <c r="AL40">
        <v>25.6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106</v>
      </c>
      <c r="AU40">
        <v>54</v>
      </c>
      <c r="AV40">
        <v>1</v>
      </c>
      <c r="AW40">
        <v>1</v>
      </c>
      <c r="AZ40">
        <v>6.57</v>
      </c>
      <c r="BA40">
        <v>1</v>
      </c>
      <c r="BB40">
        <v>1</v>
      </c>
      <c r="BC40">
        <v>6.57</v>
      </c>
      <c r="BD40" t="s">
        <v>6</v>
      </c>
      <c r="BE40" t="s">
        <v>6</v>
      </c>
      <c r="BF40" t="s">
        <v>6</v>
      </c>
      <c r="BG40" t="s">
        <v>6</v>
      </c>
      <c r="BH40">
        <v>3</v>
      </c>
      <c r="BI40">
        <v>1</v>
      </c>
      <c r="BJ40" t="s">
        <v>94</v>
      </c>
      <c r="BM40">
        <v>10001</v>
      </c>
      <c r="BN40">
        <v>0</v>
      </c>
      <c r="BO40" t="s">
        <v>6</v>
      </c>
      <c r="BP40">
        <v>0</v>
      </c>
      <c r="BQ40">
        <v>2</v>
      </c>
      <c r="BR40">
        <v>0</v>
      </c>
      <c r="BS40">
        <v>1</v>
      </c>
      <c r="BT40">
        <v>1</v>
      </c>
      <c r="BU40">
        <v>1</v>
      </c>
      <c r="BV40">
        <v>1</v>
      </c>
      <c r="BW40">
        <v>1</v>
      </c>
      <c r="BX40">
        <v>1</v>
      </c>
      <c r="BY40" t="s">
        <v>6</v>
      </c>
      <c r="BZ40">
        <v>118</v>
      </c>
      <c r="CA40">
        <v>63</v>
      </c>
      <c r="CF40">
        <v>0</v>
      </c>
      <c r="CG40">
        <v>0</v>
      </c>
      <c r="CM40">
        <v>0</v>
      </c>
      <c r="CN40" t="s">
        <v>6</v>
      </c>
      <c r="CO40">
        <v>0</v>
      </c>
      <c r="CP40">
        <f t="shared" si="34"/>
        <v>4983.87</v>
      </c>
      <c r="CQ40">
        <f t="shared" si="35"/>
        <v>168.19200000000001</v>
      </c>
      <c r="CR40">
        <f t="shared" si="36"/>
        <v>0</v>
      </c>
      <c r="CS40">
        <f t="shared" si="37"/>
        <v>0</v>
      </c>
      <c r="CT40">
        <f t="shared" si="38"/>
        <v>0</v>
      </c>
      <c r="CU40">
        <f t="shared" si="39"/>
        <v>0</v>
      </c>
      <c r="CV40">
        <f t="shared" si="40"/>
        <v>0</v>
      </c>
      <c r="CW40">
        <f t="shared" si="41"/>
        <v>0</v>
      </c>
      <c r="CX40">
        <f t="shared" si="42"/>
        <v>0</v>
      </c>
      <c r="CY40">
        <f t="shared" si="43"/>
        <v>0</v>
      </c>
      <c r="CZ40">
        <f t="shared" si="44"/>
        <v>0</v>
      </c>
      <c r="DC40" t="s">
        <v>6</v>
      </c>
      <c r="DD40" t="s">
        <v>6</v>
      </c>
      <c r="DE40" t="s">
        <v>6</v>
      </c>
      <c r="DF40" t="s">
        <v>6</v>
      </c>
      <c r="DG40" t="s">
        <v>6</v>
      </c>
      <c r="DH40" t="s">
        <v>6</v>
      </c>
      <c r="DI40" t="s">
        <v>6</v>
      </c>
      <c r="DJ40" t="s">
        <v>6</v>
      </c>
      <c r="DK40" t="s">
        <v>6</v>
      </c>
      <c r="DL40" t="s">
        <v>6</v>
      </c>
      <c r="DM40" t="s">
        <v>6</v>
      </c>
      <c r="DN40">
        <v>0</v>
      </c>
      <c r="DO40">
        <v>0</v>
      </c>
      <c r="DP40">
        <v>1</v>
      </c>
      <c r="DQ40">
        <v>1</v>
      </c>
      <c r="DU40">
        <v>1003</v>
      </c>
      <c r="DV40" t="s">
        <v>93</v>
      </c>
      <c r="DW40" t="s">
        <v>93</v>
      </c>
      <c r="DX40">
        <v>10</v>
      </c>
      <c r="EE40">
        <v>15139100</v>
      </c>
      <c r="EF40">
        <v>2</v>
      </c>
      <c r="EG40" t="s">
        <v>18</v>
      </c>
      <c r="EH40">
        <v>0</v>
      </c>
      <c r="EI40" t="s">
        <v>6</v>
      </c>
      <c r="EJ40">
        <v>1</v>
      </c>
      <c r="EK40">
        <v>10001</v>
      </c>
      <c r="EL40" t="s">
        <v>27</v>
      </c>
      <c r="EM40" t="s">
        <v>28</v>
      </c>
      <c r="EO40" t="s">
        <v>6</v>
      </c>
      <c r="EQ40">
        <v>0</v>
      </c>
      <c r="ER40">
        <v>25.6</v>
      </c>
      <c r="ES40">
        <v>25.6</v>
      </c>
      <c r="ET40">
        <v>0</v>
      </c>
      <c r="EU40">
        <v>0</v>
      </c>
      <c r="EV40">
        <v>0</v>
      </c>
      <c r="EW40">
        <v>0</v>
      </c>
      <c r="EX40">
        <v>0</v>
      </c>
      <c r="FQ40">
        <v>0</v>
      </c>
      <c r="FR40">
        <f t="shared" si="45"/>
        <v>0</v>
      </c>
      <c r="FS40">
        <v>0</v>
      </c>
      <c r="FT40" t="s">
        <v>21</v>
      </c>
      <c r="FU40" t="s">
        <v>22</v>
      </c>
      <c r="FX40">
        <v>106.2</v>
      </c>
      <c r="FY40">
        <v>53.55</v>
      </c>
      <c r="GA40" t="s">
        <v>6</v>
      </c>
      <c r="GD40">
        <v>0</v>
      </c>
      <c r="GF40">
        <v>189188006</v>
      </c>
      <c r="GG40">
        <v>1</v>
      </c>
      <c r="GH40">
        <v>1</v>
      </c>
      <c r="GI40">
        <v>4</v>
      </c>
      <c r="GJ40">
        <v>0</v>
      </c>
      <c r="GK40">
        <f>ROUND(R40*(R12)/100,2)</f>
        <v>0</v>
      </c>
      <c r="GL40">
        <f t="shared" si="46"/>
        <v>0</v>
      </c>
      <c r="GM40">
        <f t="shared" si="47"/>
        <v>4983.87</v>
      </c>
      <c r="GN40">
        <f t="shared" si="48"/>
        <v>4983.87</v>
      </c>
      <c r="GO40">
        <f t="shared" si="49"/>
        <v>0</v>
      </c>
      <c r="GP40">
        <f t="shared" si="50"/>
        <v>0</v>
      </c>
      <c r="GR40">
        <v>0</v>
      </c>
      <c r="GS40">
        <v>3</v>
      </c>
      <c r="GT40">
        <v>0</v>
      </c>
      <c r="GU40" t="s">
        <v>6</v>
      </c>
      <c r="GV40">
        <f t="shared" si="51"/>
        <v>0</v>
      </c>
      <c r="GW40">
        <v>1</v>
      </c>
      <c r="GX40">
        <f t="shared" si="52"/>
        <v>0</v>
      </c>
      <c r="HA40">
        <v>0</v>
      </c>
      <c r="HB40">
        <v>0</v>
      </c>
      <c r="IK40">
        <v>0</v>
      </c>
    </row>
    <row r="41" spans="1:245" x14ac:dyDescent="0.2">
      <c r="A41">
        <v>17</v>
      </c>
      <c r="B41">
        <v>1</v>
      </c>
      <c r="E41" t="s">
        <v>95</v>
      </c>
      <c r="F41" t="s">
        <v>96</v>
      </c>
      <c r="G41" t="s">
        <v>97</v>
      </c>
      <c r="H41" t="s">
        <v>98</v>
      </c>
      <c r="I41">
        <v>4.3</v>
      </c>
      <c r="J41">
        <v>0</v>
      </c>
      <c r="O41">
        <f>0</f>
        <v>0</v>
      </c>
      <c r="P41">
        <f>0</f>
        <v>0</v>
      </c>
      <c r="Q41">
        <f>0</f>
        <v>0</v>
      </c>
      <c r="R41">
        <f>0</f>
        <v>0</v>
      </c>
      <c r="S41">
        <f>0</f>
        <v>0</v>
      </c>
      <c r="T41">
        <f>0</f>
        <v>0</v>
      </c>
      <c r="U41">
        <f>0</f>
        <v>0</v>
      </c>
      <c r="V41">
        <f>0</f>
        <v>0</v>
      </c>
      <c r="W41">
        <f>0</f>
        <v>0</v>
      </c>
      <c r="X41">
        <f>0</f>
        <v>0</v>
      </c>
      <c r="Y41">
        <f>0</f>
        <v>0</v>
      </c>
      <c r="AA41">
        <v>16496534</v>
      </c>
      <c r="AB41">
        <f>ROUND((AK41),6)</f>
        <v>42.98</v>
      </c>
      <c r="AC41">
        <f>0</f>
        <v>0</v>
      </c>
      <c r="AD41">
        <f>0</f>
        <v>0</v>
      </c>
      <c r="AE41">
        <f>0</f>
        <v>0</v>
      </c>
      <c r="AF41">
        <f>0</f>
        <v>0</v>
      </c>
      <c r="AG41">
        <f>0</f>
        <v>0</v>
      </c>
      <c r="AH41">
        <f>0</f>
        <v>0</v>
      </c>
      <c r="AI41">
        <f>0</f>
        <v>0</v>
      </c>
      <c r="AJ41">
        <f>0</f>
        <v>0</v>
      </c>
      <c r="AK41">
        <v>42.98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1</v>
      </c>
      <c r="AW41">
        <v>1</v>
      </c>
      <c r="AZ41">
        <v>6.57</v>
      </c>
      <c r="BA41">
        <v>1</v>
      </c>
      <c r="BB41">
        <v>1</v>
      </c>
      <c r="BC41">
        <v>1</v>
      </c>
      <c r="BD41" t="s">
        <v>6</v>
      </c>
      <c r="BE41" t="s">
        <v>6</v>
      </c>
      <c r="BF41" t="s">
        <v>6</v>
      </c>
      <c r="BG41" t="s">
        <v>6</v>
      </c>
      <c r="BH41">
        <v>0</v>
      </c>
      <c r="BI41">
        <v>1</v>
      </c>
      <c r="BJ41" t="s">
        <v>99</v>
      </c>
      <c r="BM41">
        <v>700004</v>
      </c>
      <c r="BN41">
        <v>0</v>
      </c>
      <c r="BO41" t="s">
        <v>6</v>
      </c>
      <c r="BP41">
        <v>0</v>
      </c>
      <c r="BQ41">
        <v>19</v>
      </c>
      <c r="BR41">
        <v>0</v>
      </c>
      <c r="BS41">
        <v>1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6</v>
      </c>
      <c r="BZ41">
        <v>0</v>
      </c>
      <c r="CA41">
        <v>0</v>
      </c>
      <c r="CF41">
        <v>0</v>
      </c>
      <c r="CG41">
        <v>0</v>
      </c>
      <c r="CM41">
        <v>0</v>
      </c>
      <c r="CN41" t="s">
        <v>6</v>
      </c>
      <c r="CO41">
        <v>0</v>
      </c>
      <c r="CP41">
        <f>AB41*AZ41</f>
        <v>282.37860000000001</v>
      </c>
      <c r="CQ41">
        <v>0</v>
      </c>
      <c r="CR41">
        <v>0</v>
      </c>
      <c r="CS41">
        <v>0</v>
      </c>
      <c r="CT41">
        <v>0</v>
      </c>
      <c r="CU41">
        <v>0</v>
      </c>
      <c r="CV41">
        <v>0</v>
      </c>
      <c r="CW41">
        <v>0</v>
      </c>
      <c r="CX41">
        <v>0</v>
      </c>
      <c r="CY41">
        <v>0</v>
      </c>
      <c r="CZ41">
        <v>0</v>
      </c>
      <c r="DC41" t="s">
        <v>6</v>
      </c>
      <c r="DD41" t="s">
        <v>6</v>
      </c>
      <c r="DE41" t="s">
        <v>6</v>
      </c>
      <c r="DF41" t="s">
        <v>6</v>
      </c>
      <c r="DG41" t="s">
        <v>6</v>
      </c>
      <c r="DH41" t="s">
        <v>6</v>
      </c>
      <c r="DI41" t="s">
        <v>6</v>
      </c>
      <c r="DJ41" t="s">
        <v>6</v>
      </c>
      <c r="DK41" t="s">
        <v>6</v>
      </c>
      <c r="DL41" t="s">
        <v>6</v>
      </c>
      <c r="DM41" t="s">
        <v>6</v>
      </c>
      <c r="DN41">
        <v>0</v>
      </c>
      <c r="DO41">
        <v>0</v>
      </c>
      <c r="DP41">
        <v>1</v>
      </c>
      <c r="DQ41">
        <v>1</v>
      </c>
      <c r="DU41">
        <v>1013</v>
      </c>
      <c r="DV41" t="s">
        <v>98</v>
      </c>
      <c r="DW41" t="s">
        <v>98</v>
      </c>
      <c r="DX41">
        <v>1</v>
      </c>
      <c r="EE41">
        <v>15139288</v>
      </c>
      <c r="EF41">
        <v>19</v>
      </c>
      <c r="EG41" t="s">
        <v>100</v>
      </c>
      <c r="EH41">
        <v>0</v>
      </c>
      <c r="EI41" t="s">
        <v>6</v>
      </c>
      <c r="EJ41">
        <v>1</v>
      </c>
      <c r="EK41">
        <v>700004</v>
      </c>
      <c r="EL41" t="s">
        <v>101</v>
      </c>
      <c r="EM41" t="s">
        <v>102</v>
      </c>
      <c r="EO41" t="s">
        <v>6</v>
      </c>
      <c r="EQ41">
        <v>0</v>
      </c>
      <c r="ER41">
        <v>0</v>
      </c>
      <c r="ES41">
        <v>0</v>
      </c>
      <c r="ET41">
        <v>0</v>
      </c>
      <c r="EU41">
        <v>0</v>
      </c>
      <c r="EV41">
        <v>0</v>
      </c>
      <c r="EW41">
        <v>0</v>
      </c>
      <c r="EX41">
        <v>0</v>
      </c>
      <c r="EY41">
        <v>0</v>
      </c>
      <c r="FQ41">
        <v>0</v>
      </c>
      <c r="FR41">
        <f t="shared" si="45"/>
        <v>0</v>
      </c>
      <c r="FS41">
        <v>0</v>
      </c>
      <c r="FX41">
        <v>0</v>
      </c>
      <c r="FY41">
        <v>0</v>
      </c>
      <c r="GA41" t="s">
        <v>6</v>
      </c>
      <c r="GD41">
        <v>0</v>
      </c>
      <c r="GF41">
        <v>811861299</v>
      </c>
      <c r="GG41">
        <v>1</v>
      </c>
      <c r="GH41">
        <v>1</v>
      </c>
      <c r="GI41">
        <v>4</v>
      </c>
      <c r="GJ41">
        <v>2</v>
      </c>
      <c r="GK41">
        <f>ROUND(R41*(R12)/100,2)</f>
        <v>0</v>
      </c>
      <c r="GL41">
        <f t="shared" si="46"/>
        <v>0</v>
      </c>
      <c r="GM41">
        <f>ROUND(CP41*I41,2)</f>
        <v>1214.23</v>
      </c>
      <c r="GN41">
        <f>IF(OR(BI41=0,BI41=1),ROUND(CP41*I41,2),0)</f>
        <v>1214.23</v>
      </c>
      <c r="GO41">
        <f>IF(BI41=2,ROUND(CP41*I41,2),0)</f>
        <v>0</v>
      </c>
      <c r="GP41">
        <f>IF(BI41=4,ROUND(CP41*I41,2)+GX41,0)</f>
        <v>0</v>
      </c>
      <c r="GR41">
        <v>0</v>
      </c>
      <c r="GS41">
        <v>3</v>
      </c>
      <c r="GU41" t="s">
        <v>6</v>
      </c>
      <c r="GV41">
        <f>0</f>
        <v>0</v>
      </c>
      <c r="GW41">
        <v>1</v>
      </c>
      <c r="GX41">
        <f t="shared" si="52"/>
        <v>0</v>
      </c>
      <c r="GY41">
        <v>0</v>
      </c>
      <c r="GZ41">
        <v>0</v>
      </c>
      <c r="HA41">
        <v>0</v>
      </c>
      <c r="HB41">
        <v>0</v>
      </c>
      <c r="IK41">
        <v>0</v>
      </c>
    </row>
    <row r="42" spans="1:245" x14ac:dyDescent="0.2">
      <c r="A42">
        <v>17</v>
      </c>
      <c r="B42">
        <v>1</v>
      </c>
      <c r="E42" t="s">
        <v>103</v>
      </c>
      <c r="F42" t="s">
        <v>104</v>
      </c>
      <c r="G42" t="s">
        <v>105</v>
      </c>
      <c r="H42" t="s">
        <v>98</v>
      </c>
      <c r="I42">
        <v>4.3</v>
      </c>
      <c r="J42">
        <v>0</v>
      </c>
      <c r="O42">
        <f>0</f>
        <v>0</v>
      </c>
      <c r="P42">
        <f>0</f>
        <v>0</v>
      </c>
      <c r="Q42">
        <f>0</f>
        <v>0</v>
      </c>
      <c r="R42">
        <f>0</f>
        <v>0</v>
      </c>
      <c r="S42">
        <f>0</f>
        <v>0</v>
      </c>
      <c r="T42">
        <f>0</f>
        <v>0</v>
      </c>
      <c r="U42">
        <f>0</f>
        <v>0</v>
      </c>
      <c r="V42">
        <f>0</f>
        <v>0</v>
      </c>
      <c r="W42">
        <f>0</f>
        <v>0</v>
      </c>
      <c r="X42">
        <f>0</f>
        <v>0</v>
      </c>
      <c r="Y42">
        <f>0</f>
        <v>0</v>
      </c>
      <c r="AA42">
        <v>16496534</v>
      </c>
      <c r="AB42">
        <f>ROUND((AK42),6)</f>
        <v>13.38</v>
      </c>
      <c r="AC42">
        <f>0</f>
        <v>0</v>
      </c>
      <c r="AD42">
        <f>0</f>
        <v>0</v>
      </c>
      <c r="AE42">
        <f>0</f>
        <v>0</v>
      </c>
      <c r="AF42">
        <f>0</f>
        <v>0</v>
      </c>
      <c r="AG42">
        <f>0</f>
        <v>0</v>
      </c>
      <c r="AH42">
        <f>0</f>
        <v>0</v>
      </c>
      <c r="AI42">
        <f>0</f>
        <v>0</v>
      </c>
      <c r="AJ42">
        <f>0</f>
        <v>0</v>
      </c>
      <c r="AK42">
        <v>13.38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1</v>
      </c>
      <c r="AW42">
        <v>1</v>
      </c>
      <c r="AZ42">
        <v>6.57</v>
      </c>
      <c r="BA42">
        <v>1</v>
      </c>
      <c r="BB42">
        <v>1</v>
      </c>
      <c r="BC42">
        <v>1</v>
      </c>
      <c r="BD42" t="s">
        <v>6</v>
      </c>
      <c r="BE42" t="s">
        <v>6</v>
      </c>
      <c r="BF42" t="s">
        <v>6</v>
      </c>
      <c r="BG42" t="s">
        <v>6</v>
      </c>
      <c r="BH42">
        <v>0</v>
      </c>
      <c r="BI42">
        <v>1</v>
      </c>
      <c r="BJ42" t="s">
        <v>106</v>
      </c>
      <c r="BM42">
        <v>700005</v>
      </c>
      <c r="BN42">
        <v>0</v>
      </c>
      <c r="BO42" t="s">
        <v>6</v>
      </c>
      <c r="BP42">
        <v>0</v>
      </c>
      <c r="BQ42">
        <v>10</v>
      </c>
      <c r="BR42">
        <v>0</v>
      </c>
      <c r="BS42">
        <v>1</v>
      </c>
      <c r="BT42">
        <v>1</v>
      </c>
      <c r="BU42">
        <v>1</v>
      </c>
      <c r="BV42">
        <v>1</v>
      </c>
      <c r="BW42">
        <v>1</v>
      </c>
      <c r="BX42">
        <v>1</v>
      </c>
      <c r="BY42" t="s">
        <v>6</v>
      </c>
      <c r="BZ42">
        <v>0</v>
      </c>
      <c r="CA42">
        <v>0</v>
      </c>
      <c r="CF42">
        <v>0</v>
      </c>
      <c r="CG42">
        <v>0</v>
      </c>
      <c r="CM42">
        <v>0</v>
      </c>
      <c r="CN42" t="s">
        <v>6</v>
      </c>
      <c r="CO42">
        <v>0</v>
      </c>
      <c r="CP42">
        <f>AB42*AZ42</f>
        <v>87.906600000000012</v>
      </c>
      <c r="CQ42">
        <v>0</v>
      </c>
      <c r="CR42">
        <v>0</v>
      </c>
      <c r="CS42">
        <v>0</v>
      </c>
      <c r="CT42">
        <v>0</v>
      </c>
      <c r="CU42">
        <v>0</v>
      </c>
      <c r="CV42">
        <v>0</v>
      </c>
      <c r="CW42">
        <v>0</v>
      </c>
      <c r="CX42">
        <v>0</v>
      </c>
      <c r="CY42">
        <v>0</v>
      </c>
      <c r="CZ42">
        <v>0</v>
      </c>
      <c r="DC42" t="s">
        <v>6</v>
      </c>
      <c r="DD42" t="s">
        <v>6</v>
      </c>
      <c r="DE42" t="s">
        <v>6</v>
      </c>
      <c r="DF42" t="s">
        <v>6</v>
      </c>
      <c r="DG42" t="s">
        <v>6</v>
      </c>
      <c r="DH42" t="s">
        <v>6</v>
      </c>
      <c r="DI42" t="s">
        <v>6</v>
      </c>
      <c r="DJ42" t="s">
        <v>6</v>
      </c>
      <c r="DK42" t="s">
        <v>6</v>
      </c>
      <c r="DL42" t="s">
        <v>6</v>
      </c>
      <c r="DM42" t="s">
        <v>6</v>
      </c>
      <c r="DN42">
        <v>0</v>
      </c>
      <c r="DO42">
        <v>0</v>
      </c>
      <c r="DP42">
        <v>1</v>
      </c>
      <c r="DQ42">
        <v>1</v>
      </c>
      <c r="DU42">
        <v>1013</v>
      </c>
      <c r="DV42" t="s">
        <v>98</v>
      </c>
      <c r="DW42" t="s">
        <v>98</v>
      </c>
      <c r="DX42">
        <v>1</v>
      </c>
      <c r="EE42">
        <v>15139292</v>
      </c>
      <c r="EF42">
        <v>10</v>
      </c>
      <c r="EG42" t="s">
        <v>107</v>
      </c>
      <c r="EH42">
        <v>0</v>
      </c>
      <c r="EI42" t="s">
        <v>6</v>
      </c>
      <c r="EJ42">
        <v>1</v>
      </c>
      <c r="EK42">
        <v>700005</v>
      </c>
      <c r="EL42" t="s">
        <v>108</v>
      </c>
      <c r="EM42" t="s">
        <v>109</v>
      </c>
      <c r="EO42" t="s">
        <v>6</v>
      </c>
      <c r="EQ42">
        <v>0</v>
      </c>
      <c r="ER42">
        <v>0</v>
      </c>
      <c r="ES42">
        <v>0</v>
      </c>
      <c r="ET42">
        <v>0</v>
      </c>
      <c r="EU42">
        <v>0</v>
      </c>
      <c r="EV42">
        <v>0</v>
      </c>
      <c r="EW42">
        <v>0</v>
      </c>
      <c r="EX42">
        <v>0</v>
      </c>
      <c r="EY42">
        <v>0</v>
      </c>
      <c r="FQ42">
        <v>0</v>
      </c>
      <c r="FR42">
        <f t="shared" si="45"/>
        <v>0</v>
      </c>
      <c r="FS42">
        <v>0</v>
      </c>
      <c r="FX42">
        <v>0</v>
      </c>
      <c r="FY42">
        <v>0</v>
      </c>
      <c r="GA42" t="s">
        <v>6</v>
      </c>
      <c r="GD42">
        <v>0</v>
      </c>
      <c r="GF42">
        <v>57370386</v>
      </c>
      <c r="GG42">
        <v>1</v>
      </c>
      <c r="GH42">
        <v>1</v>
      </c>
      <c r="GI42">
        <v>4</v>
      </c>
      <c r="GJ42">
        <v>2</v>
      </c>
      <c r="GK42">
        <f>ROUND(R42*(R12)/100,2)</f>
        <v>0</v>
      </c>
      <c r="GL42">
        <f t="shared" si="46"/>
        <v>0</v>
      </c>
      <c r="GM42">
        <f>ROUND(CP42*I42,2)</f>
        <v>378</v>
      </c>
      <c r="GN42">
        <f>IF(OR(BI42=0,BI42=1),ROUND(CP42*I42,2),0)</f>
        <v>378</v>
      </c>
      <c r="GO42">
        <f>IF(BI42=2,ROUND(CP42*I42,2),0)</f>
        <v>0</v>
      </c>
      <c r="GP42">
        <f>IF(BI42=4,ROUND(CP42*I42,2)+GX42,0)</f>
        <v>0</v>
      </c>
      <c r="GR42">
        <v>0</v>
      </c>
      <c r="GS42">
        <v>3</v>
      </c>
      <c r="GU42" t="s">
        <v>6</v>
      </c>
      <c r="GV42">
        <f>0</f>
        <v>0</v>
      </c>
      <c r="GW42">
        <v>1</v>
      </c>
      <c r="GX42">
        <f t="shared" si="52"/>
        <v>0</v>
      </c>
      <c r="GY42">
        <v>0</v>
      </c>
      <c r="GZ42">
        <v>0</v>
      </c>
      <c r="HA42">
        <v>0</v>
      </c>
      <c r="HB42">
        <v>0</v>
      </c>
      <c r="IK42">
        <v>0</v>
      </c>
    </row>
    <row r="44" spans="1:245" x14ac:dyDescent="0.2">
      <c r="A44" s="2">
        <v>51</v>
      </c>
      <c r="B44" s="2">
        <f>B20</f>
        <v>1</v>
      </c>
      <c r="C44" s="2">
        <f>A20</f>
        <v>3</v>
      </c>
      <c r="D44" s="2">
        <f>ROW(A20)</f>
        <v>20</v>
      </c>
      <c r="E44" s="2"/>
      <c r="F44" s="2" t="str">
        <f>IF(F20&lt;&gt;"",F20,"")</f>
        <v>Новая локальная смета</v>
      </c>
      <c r="G44" s="2" t="str">
        <f>IF(G20&lt;&gt;"",G20,"")</f>
        <v>Новая локальная смета</v>
      </c>
      <c r="H44" s="2">
        <v>0</v>
      </c>
      <c r="I44" s="2"/>
      <c r="J44" s="2"/>
      <c r="K44" s="2"/>
      <c r="L44" s="2"/>
      <c r="M44" s="2"/>
      <c r="N44" s="2"/>
      <c r="O44" s="2">
        <f t="shared" ref="O44:T44" si="53">ROUND(AB44,2)</f>
        <v>904431.83</v>
      </c>
      <c r="P44" s="2">
        <f t="shared" si="53"/>
        <v>848715.6</v>
      </c>
      <c r="Q44" s="2">
        <f t="shared" si="53"/>
        <v>5811.06</v>
      </c>
      <c r="R44" s="2">
        <f t="shared" si="53"/>
        <v>1751.29</v>
      </c>
      <c r="S44" s="2">
        <f t="shared" si="53"/>
        <v>49905.17</v>
      </c>
      <c r="T44" s="2">
        <f t="shared" si="53"/>
        <v>0</v>
      </c>
      <c r="U44" s="2">
        <f>AH44</f>
        <v>881.46275200000002</v>
      </c>
      <c r="V44" s="2">
        <f>AI44</f>
        <v>20.713344000000003</v>
      </c>
      <c r="W44" s="2">
        <f>ROUND(AJ44,2)</f>
        <v>0</v>
      </c>
      <c r="X44" s="2">
        <f>ROUND(AK44,2)</f>
        <v>51302.89</v>
      </c>
      <c r="Y44" s="2">
        <f>ROUND(AL44,2)</f>
        <v>28171.83</v>
      </c>
      <c r="Z44" s="2"/>
      <c r="AA44" s="2"/>
      <c r="AB44" s="2">
        <f>ROUND(SUMIF(AA24:AA42,"=16496534",O24:O42),2)</f>
        <v>904431.83</v>
      </c>
      <c r="AC44" s="2">
        <f>ROUND(SUMIF(AA24:AA42,"=16496534",P24:P42),2)</f>
        <v>848715.6</v>
      </c>
      <c r="AD44" s="2">
        <f>ROUND(SUMIF(AA24:AA42,"=16496534",Q24:Q42),2)</f>
        <v>5811.06</v>
      </c>
      <c r="AE44" s="2">
        <f>ROUND(SUMIF(AA24:AA42,"=16496534",R24:R42),2)</f>
        <v>1751.29</v>
      </c>
      <c r="AF44" s="2">
        <f>ROUND(SUMIF(AA24:AA42,"=16496534",S24:S42),2)</f>
        <v>49905.17</v>
      </c>
      <c r="AG44" s="2">
        <f>ROUND(SUMIF(AA24:AA42,"=16496534",T24:T42),2)</f>
        <v>0</v>
      </c>
      <c r="AH44" s="2">
        <f>SUMIF(AA24:AA42,"=16496534",U24:U42)</f>
        <v>881.46275200000002</v>
      </c>
      <c r="AI44" s="2">
        <f>SUMIF(AA24:AA42,"=16496534",V24:V42)</f>
        <v>20.713344000000003</v>
      </c>
      <c r="AJ44" s="2">
        <f>ROUND(SUMIF(AA24:AA42,"=16496534",W24:W42),2)</f>
        <v>0</v>
      </c>
      <c r="AK44" s="2">
        <f>ROUND(SUMIF(AA24:AA42,"=16496534",X24:X42),2)</f>
        <v>51302.89</v>
      </c>
      <c r="AL44" s="2">
        <f>ROUND(SUMIF(AA24:AA42,"=16496534",Y24:Y42),2)</f>
        <v>28171.83</v>
      </c>
      <c r="AM44" s="2"/>
      <c r="AN44" s="2"/>
      <c r="AO44" s="2">
        <f t="shared" ref="AO44:BC44" si="54">ROUND(BX44,2)</f>
        <v>0</v>
      </c>
      <c r="AP44" s="2">
        <f t="shared" si="54"/>
        <v>0</v>
      </c>
      <c r="AQ44" s="2">
        <f t="shared" si="54"/>
        <v>0</v>
      </c>
      <c r="AR44" s="2">
        <f t="shared" si="54"/>
        <v>985498.78</v>
      </c>
      <c r="AS44" s="2">
        <f t="shared" si="54"/>
        <v>985498.78</v>
      </c>
      <c r="AT44" s="2">
        <f t="shared" si="54"/>
        <v>0</v>
      </c>
      <c r="AU44" s="2">
        <f t="shared" si="54"/>
        <v>0</v>
      </c>
      <c r="AV44" s="2">
        <f t="shared" si="54"/>
        <v>848715.6</v>
      </c>
      <c r="AW44" s="2">
        <f t="shared" si="54"/>
        <v>848715.6</v>
      </c>
      <c r="AX44" s="2">
        <f t="shared" si="54"/>
        <v>0</v>
      </c>
      <c r="AY44" s="2">
        <f t="shared" si="54"/>
        <v>848715.6</v>
      </c>
      <c r="AZ44" s="2">
        <f t="shared" si="54"/>
        <v>0</v>
      </c>
      <c r="BA44" s="2">
        <f t="shared" si="54"/>
        <v>0</v>
      </c>
      <c r="BB44" s="2">
        <f t="shared" si="54"/>
        <v>0</v>
      </c>
      <c r="BC44" s="2">
        <f t="shared" si="54"/>
        <v>0</v>
      </c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>
        <f>ROUND(SUMIF(AA24:AA42,"=16496534",FQ24:FQ42),2)</f>
        <v>0</v>
      </c>
      <c r="BY44" s="2">
        <f>ROUND(SUMIF(AA24:AA42,"=16496534",FR24:FR42),2)</f>
        <v>0</v>
      </c>
      <c r="BZ44" s="2">
        <f>ROUND(SUMIF(AA24:AA42,"=16496534",GL24:GL42),2)</f>
        <v>0</v>
      </c>
      <c r="CA44" s="2">
        <f>ROUND(SUMIF(AA24:AA42,"=16496534",GM24:GM42),2)</f>
        <v>985498.78</v>
      </c>
      <c r="CB44" s="2">
        <f>ROUND(SUMIF(AA24:AA42,"=16496534",GN24:GN42),2)</f>
        <v>985498.78</v>
      </c>
      <c r="CC44" s="2">
        <f>ROUND(SUMIF(AA24:AA42,"=16496534",GO24:GO42),2)</f>
        <v>0</v>
      </c>
      <c r="CD44" s="2">
        <f>ROUND(SUMIF(AA24:AA42,"=16496534",GP24:GP42),2)</f>
        <v>0</v>
      </c>
      <c r="CE44" s="2">
        <f>AC44-BX44</f>
        <v>848715.6</v>
      </c>
      <c r="CF44" s="2">
        <f>AC44-BY44</f>
        <v>848715.6</v>
      </c>
      <c r="CG44" s="2">
        <f>BX44-BZ44</f>
        <v>0</v>
      </c>
      <c r="CH44" s="2">
        <f>AC44-BX44-BY44+BZ44</f>
        <v>848715.6</v>
      </c>
      <c r="CI44" s="2">
        <f>BY44-BZ44</f>
        <v>0</v>
      </c>
      <c r="CJ44" s="2">
        <f>ROUND(SUMIF(AA24:AA42,"=16496534",GX24:GX42),2)</f>
        <v>0</v>
      </c>
      <c r="CK44" s="2">
        <f>ROUND(SUMIF(AA24:AA42,"=16496534",GY24:GY42),2)</f>
        <v>0</v>
      </c>
      <c r="CL44" s="2">
        <f>ROUND(SUMIF(AA24:AA42,"=16496534",GZ24:GZ42),2)</f>
        <v>0</v>
      </c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3"/>
      <c r="DR44" s="3"/>
      <c r="DS44" s="3"/>
      <c r="DT44" s="3"/>
      <c r="DU44" s="3"/>
      <c r="DV44" s="3"/>
      <c r="DW44" s="3"/>
      <c r="DX44" s="3"/>
      <c r="DY44" s="3"/>
      <c r="DZ44" s="3"/>
      <c r="EA44" s="3"/>
      <c r="EB44" s="3"/>
      <c r="EC44" s="3"/>
      <c r="ED44" s="3"/>
      <c r="EE44" s="3"/>
      <c r="EF44" s="3"/>
      <c r="EG44" s="3"/>
      <c r="EH44" s="3"/>
      <c r="EI44" s="3"/>
      <c r="EJ44" s="3"/>
      <c r="EK44" s="3"/>
      <c r="EL44" s="3"/>
      <c r="EM44" s="3"/>
      <c r="EN44" s="3"/>
      <c r="EO44" s="3"/>
      <c r="EP44" s="3"/>
      <c r="EQ44" s="3"/>
      <c r="ER44" s="3"/>
      <c r="ES44" s="3"/>
      <c r="ET44" s="3"/>
      <c r="EU44" s="3"/>
      <c r="EV44" s="3"/>
      <c r="EW44" s="3"/>
      <c r="EX44" s="3"/>
      <c r="EY44" s="3"/>
      <c r="EZ44" s="3"/>
      <c r="FA44" s="3"/>
      <c r="FB44" s="3"/>
      <c r="FC44" s="3"/>
      <c r="FD44" s="3"/>
      <c r="FE44" s="3"/>
      <c r="FF44" s="3"/>
      <c r="FG44" s="3"/>
      <c r="FH44" s="3"/>
      <c r="FI44" s="3"/>
      <c r="FJ44" s="3"/>
      <c r="FK44" s="3"/>
      <c r="FL44" s="3"/>
      <c r="FM44" s="3"/>
      <c r="FN44" s="3"/>
      <c r="FO44" s="3"/>
      <c r="FP44" s="3"/>
      <c r="FQ44" s="3"/>
      <c r="FR44" s="3"/>
      <c r="FS44" s="3"/>
      <c r="FT44" s="3"/>
      <c r="FU44" s="3"/>
      <c r="FV44" s="3"/>
      <c r="FW44" s="3"/>
      <c r="FX44" s="3"/>
      <c r="FY44" s="3"/>
      <c r="FZ44" s="3"/>
      <c r="GA44" s="3"/>
      <c r="GB44" s="3"/>
      <c r="GC44" s="3"/>
      <c r="GD44" s="3"/>
      <c r="GE44" s="3"/>
      <c r="GF44" s="3"/>
      <c r="GG44" s="3"/>
      <c r="GH44" s="3"/>
      <c r="GI44" s="3"/>
      <c r="GJ44" s="3"/>
      <c r="GK44" s="3"/>
      <c r="GL44" s="3"/>
      <c r="GM44" s="3"/>
      <c r="GN44" s="3"/>
      <c r="GO44" s="3"/>
      <c r="GP44" s="3"/>
      <c r="GQ44" s="3"/>
      <c r="GR44" s="3"/>
      <c r="GS44" s="3"/>
      <c r="GT44" s="3"/>
      <c r="GU44" s="3"/>
      <c r="GV44" s="3"/>
      <c r="GW44" s="3"/>
      <c r="GX44" s="3">
        <v>0</v>
      </c>
    </row>
    <row r="46" spans="1:245" x14ac:dyDescent="0.2">
      <c r="A46" s="4">
        <v>50</v>
      </c>
      <c r="B46" s="4">
        <v>0</v>
      </c>
      <c r="C46" s="4">
        <v>0</v>
      </c>
      <c r="D46" s="4">
        <v>1</v>
      </c>
      <c r="E46" s="4">
        <v>201</v>
      </c>
      <c r="F46" s="4">
        <f>ROUND(Source!O44,O46)</f>
        <v>904431.83</v>
      </c>
      <c r="G46" s="4" t="s">
        <v>110</v>
      </c>
      <c r="H46" s="4" t="s">
        <v>111</v>
      </c>
      <c r="I46" s="4"/>
      <c r="J46" s="4"/>
      <c r="K46" s="4">
        <v>201</v>
      </c>
      <c r="L46" s="4">
        <v>1</v>
      </c>
      <c r="M46" s="4">
        <v>3</v>
      </c>
      <c r="N46" s="4" t="s">
        <v>6</v>
      </c>
      <c r="O46" s="4">
        <v>2</v>
      </c>
      <c r="P46" s="4"/>
      <c r="Q46" s="4"/>
      <c r="R46" s="4"/>
      <c r="S46" s="4"/>
      <c r="T46" s="4"/>
      <c r="U46" s="4"/>
      <c r="V46" s="4"/>
      <c r="W46" s="4"/>
    </row>
    <row r="47" spans="1:245" x14ac:dyDescent="0.2">
      <c r="A47" s="4">
        <v>50</v>
      </c>
      <c r="B47" s="4">
        <v>0</v>
      </c>
      <c r="C47" s="4">
        <v>0</v>
      </c>
      <c r="D47" s="4">
        <v>1</v>
      </c>
      <c r="E47" s="4">
        <v>202</v>
      </c>
      <c r="F47" s="4">
        <f>ROUND(Source!P44,O47)</f>
        <v>848715.6</v>
      </c>
      <c r="G47" s="4" t="s">
        <v>112</v>
      </c>
      <c r="H47" s="4" t="s">
        <v>113</v>
      </c>
      <c r="I47" s="4"/>
      <c r="J47" s="4"/>
      <c r="K47" s="4">
        <v>202</v>
      </c>
      <c r="L47" s="4">
        <v>2</v>
      </c>
      <c r="M47" s="4">
        <v>3</v>
      </c>
      <c r="N47" s="4" t="s">
        <v>6</v>
      </c>
      <c r="O47" s="4">
        <v>2</v>
      </c>
      <c r="P47" s="4"/>
      <c r="Q47" s="4"/>
      <c r="R47" s="4"/>
      <c r="S47" s="4"/>
      <c r="T47" s="4"/>
      <c r="U47" s="4"/>
      <c r="V47" s="4"/>
      <c r="W47" s="4"/>
    </row>
    <row r="48" spans="1:245" x14ac:dyDescent="0.2">
      <c r="A48" s="4">
        <v>50</v>
      </c>
      <c r="B48" s="4">
        <v>0</v>
      </c>
      <c r="C48" s="4">
        <v>0</v>
      </c>
      <c r="D48" s="4">
        <v>1</v>
      </c>
      <c r="E48" s="4">
        <v>222</v>
      </c>
      <c r="F48" s="4">
        <f>ROUND(Source!AO44,O48)</f>
        <v>0</v>
      </c>
      <c r="G48" s="4" t="s">
        <v>114</v>
      </c>
      <c r="H48" s="4" t="s">
        <v>115</v>
      </c>
      <c r="I48" s="4"/>
      <c r="J48" s="4"/>
      <c r="K48" s="4">
        <v>222</v>
      </c>
      <c r="L48" s="4">
        <v>3</v>
      </c>
      <c r="M48" s="4">
        <v>3</v>
      </c>
      <c r="N48" s="4" t="s">
        <v>6</v>
      </c>
      <c r="O48" s="4">
        <v>2</v>
      </c>
      <c r="P48" s="4"/>
      <c r="Q48" s="4"/>
      <c r="R48" s="4"/>
      <c r="S48" s="4"/>
      <c r="T48" s="4"/>
      <c r="U48" s="4"/>
      <c r="V48" s="4"/>
      <c r="W48" s="4"/>
    </row>
    <row r="49" spans="1:23" x14ac:dyDescent="0.2">
      <c r="A49" s="4">
        <v>50</v>
      </c>
      <c r="B49" s="4">
        <v>0</v>
      </c>
      <c r="C49" s="4">
        <v>0</v>
      </c>
      <c r="D49" s="4">
        <v>1</v>
      </c>
      <c r="E49" s="4">
        <v>225</v>
      </c>
      <c r="F49" s="4">
        <f>ROUND(Source!AV44,O49)</f>
        <v>848715.6</v>
      </c>
      <c r="G49" s="4" t="s">
        <v>116</v>
      </c>
      <c r="H49" s="4" t="s">
        <v>117</v>
      </c>
      <c r="I49" s="4"/>
      <c r="J49" s="4"/>
      <c r="K49" s="4">
        <v>225</v>
      </c>
      <c r="L49" s="4">
        <v>4</v>
      </c>
      <c r="M49" s="4">
        <v>3</v>
      </c>
      <c r="N49" s="4" t="s">
        <v>6</v>
      </c>
      <c r="O49" s="4">
        <v>2</v>
      </c>
      <c r="P49" s="4"/>
      <c r="Q49" s="4"/>
      <c r="R49" s="4"/>
      <c r="S49" s="4"/>
      <c r="T49" s="4"/>
      <c r="U49" s="4"/>
      <c r="V49" s="4"/>
      <c r="W49" s="4"/>
    </row>
    <row r="50" spans="1:23" x14ac:dyDescent="0.2">
      <c r="A50" s="4">
        <v>50</v>
      </c>
      <c r="B50" s="4">
        <v>0</v>
      </c>
      <c r="C50" s="4">
        <v>0</v>
      </c>
      <c r="D50" s="4">
        <v>1</v>
      </c>
      <c r="E50" s="4">
        <v>226</v>
      </c>
      <c r="F50" s="4">
        <f>ROUND(Source!AW44,O50)</f>
        <v>848715.6</v>
      </c>
      <c r="G50" s="4" t="s">
        <v>118</v>
      </c>
      <c r="H50" s="4" t="s">
        <v>119</v>
      </c>
      <c r="I50" s="4"/>
      <c r="J50" s="4"/>
      <c r="K50" s="4">
        <v>226</v>
      </c>
      <c r="L50" s="4">
        <v>5</v>
      </c>
      <c r="M50" s="4">
        <v>3</v>
      </c>
      <c r="N50" s="4" t="s">
        <v>6</v>
      </c>
      <c r="O50" s="4">
        <v>2</v>
      </c>
      <c r="P50" s="4"/>
      <c r="Q50" s="4"/>
      <c r="R50" s="4"/>
      <c r="S50" s="4"/>
      <c r="T50" s="4"/>
      <c r="U50" s="4"/>
      <c r="V50" s="4"/>
      <c r="W50" s="4"/>
    </row>
    <row r="51" spans="1:23" x14ac:dyDescent="0.2">
      <c r="A51" s="4">
        <v>50</v>
      </c>
      <c r="B51" s="4">
        <v>0</v>
      </c>
      <c r="C51" s="4">
        <v>0</v>
      </c>
      <c r="D51" s="4">
        <v>1</v>
      </c>
      <c r="E51" s="4">
        <v>227</v>
      </c>
      <c r="F51" s="4">
        <f>ROUND(Source!AX44,O51)</f>
        <v>0</v>
      </c>
      <c r="G51" s="4" t="s">
        <v>120</v>
      </c>
      <c r="H51" s="4" t="s">
        <v>121</v>
      </c>
      <c r="I51" s="4"/>
      <c r="J51" s="4"/>
      <c r="K51" s="4">
        <v>227</v>
      </c>
      <c r="L51" s="4">
        <v>6</v>
      </c>
      <c r="M51" s="4">
        <v>3</v>
      </c>
      <c r="N51" s="4" t="s">
        <v>6</v>
      </c>
      <c r="O51" s="4">
        <v>2</v>
      </c>
      <c r="P51" s="4"/>
      <c r="Q51" s="4"/>
      <c r="R51" s="4"/>
      <c r="S51" s="4"/>
      <c r="T51" s="4"/>
      <c r="U51" s="4"/>
      <c r="V51" s="4"/>
      <c r="W51" s="4"/>
    </row>
    <row r="52" spans="1:23" x14ac:dyDescent="0.2">
      <c r="A52" s="4">
        <v>50</v>
      </c>
      <c r="B52" s="4">
        <v>0</v>
      </c>
      <c r="C52" s="4">
        <v>0</v>
      </c>
      <c r="D52" s="4">
        <v>1</v>
      </c>
      <c r="E52" s="4">
        <v>228</v>
      </c>
      <c r="F52" s="4">
        <f>ROUND(Source!AY44,O52)</f>
        <v>848715.6</v>
      </c>
      <c r="G52" s="4" t="s">
        <v>122</v>
      </c>
      <c r="H52" s="4" t="s">
        <v>123</v>
      </c>
      <c r="I52" s="4"/>
      <c r="J52" s="4"/>
      <c r="K52" s="4">
        <v>228</v>
      </c>
      <c r="L52" s="4">
        <v>7</v>
      </c>
      <c r="M52" s="4">
        <v>3</v>
      </c>
      <c r="N52" s="4" t="s">
        <v>6</v>
      </c>
      <c r="O52" s="4">
        <v>2</v>
      </c>
      <c r="P52" s="4"/>
      <c r="Q52" s="4"/>
      <c r="R52" s="4"/>
      <c r="S52" s="4"/>
      <c r="T52" s="4"/>
      <c r="U52" s="4"/>
      <c r="V52" s="4"/>
      <c r="W52" s="4"/>
    </row>
    <row r="53" spans="1:23" x14ac:dyDescent="0.2">
      <c r="A53" s="4">
        <v>50</v>
      </c>
      <c r="B53" s="4">
        <v>0</v>
      </c>
      <c r="C53" s="4">
        <v>0</v>
      </c>
      <c r="D53" s="4">
        <v>1</v>
      </c>
      <c r="E53" s="4">
        <v>216</v>
      </c>
      <c r="F53" s="4">
        <f>ROUND(Source!AP44,O53)</f>
        <v>0</v>
      </c>
      <c r="G53" s="4" t="s">
        <v>124</v>
      </c>
      <c r="H53" s="4" t="s">
        <v>125</v>
      </c>
      <c r="I53" s="4"/>
      <c r="J53" s="4"/>
      <c r="K53" s="4">
        <v>216</v>
      </c>
      <c r="L53" s="4">
        <v>8</v>
      </c>
      <c r="M53" s="4">
        <v>3</v>
      </c>
      <c r="N53" s="4" t="s">
        <v>6</v>
      </c>
      <c r="O53" s="4">
        <v>2</v>
      </c>
      <c r="P53" s="4"/>
      <c r="Q53" s="4"/>
      <c r="R53" s="4"/>
      <c r="S53" s="4"/>
      <c r="T53" s="4"/>
      <c r="U53" s="4"/>
      <c r="V53" s="4"/>
      <c r="W53" s="4"/>
    </row>
    <row r="54" spans="1:23" x14ac:dyDescent="0.2">
      <c r="A54" s="4">
        <v>50</v>
      </c>
      <c r="B54" s="4">
        <v>0</v>
      </c>
      <c r="C54" s="4">
        <v>0</v>
      </c>
      <c r="D54" s="4">
        <v>1</v>
      </c>
      <c r="E54" s="4">
        <v>223</v>
      </c>
      <c r="F54" s="4">
        <f>ROUND(Source!AQ44,O54)</f>
        <v>0</v>
      </c>
      <c r="G54" s="4" t="s">
        <v>126</v>
      </c>
      <c r="H54" s="4" t="s">
        <v>127</v>
      </c>
      <c r="I54" s="4"/>
      <c r="J54" s="4"/>
      <c r="K54" s="4">
        <v>223</v>
      </c>
      <c r="L54" s="4">
        <v>9</v>
      </c>
      <c r="M54" s="4">
        <v>3</v>
      </c>
      <c r="N54" s="4" t="s">
        <v>6</v>
      </c>
      <c r="O54" s="4">
        <v>2</v>
      </c>
      <c r="P54" s="4"/>
      <c r="Q54" s="4"/>
      <c r="R54" s="4"/>
      <c r="S54" s="4"/>
      <c r="T54" s="4"/>
      <c r="U54" s="4"/>
      <c r="V54" s="4"/>
      <c r="W54" s="4"/>
    </row>
    <row r="55" spans="1:23" x14ac:dyDescent="0.2">
      <c r="A55" s="4">
        <v>50</v>
      </c>
      <c r="B55" s="4">
        <v>0</v>
      </c>
      <c r="C55" s="4">
        <v>0</v>
      </c>
      <c r="D55" s="4">
        <v>1</v>
      </c>
      <c r="E55" s="4">
        <v>229</v>
      </c>
      <c r="F55" s="4">
        <f>ROUND(Source!AZ44,O55)</f>
        <v>0</v>
      </c>
      <c r="G55" s="4" t="s">
        <v>128</v>
      </c>
      <c r="H55" s="4" t="s">
        <v>129</v>
      </c>
      <c r="I55" s="4"/>
      <c r="J55" s="4"/>
      <c r="K55" s="4">
        <v>229</v>
      </c>
      <c r="L55" s="4">
        <v>10</v>
      </c>
      <c r="M55" s="4">
        <v>3</v>
      </c>
      <c r="N55" s="4" t="s">
        <v>6</v>
      </c>
      <c r="O55" s="4">
        <v>2</v>
      </c>
      <c r="P55" s="4"/>
      <c r="Q55" s="4"/>
      <c r="R55" s="4"/>
      <c r="S55" s="4"/>
      <c r="T55" s="4"/>
      <c r="U55" s="4"/>
      <c r="V55" s="4"/>
      <c r="W55" s="4"/>
    </row>
    <row r="56" spans="1:23" x14ac:dyDescent="0.2">
      <c r="A56" s="4">
        <v>50</v>
      </c>
      <c r="B56" s="4">
        <v>0</v>
      </c>
      <c r="C56" s="4">
        <v>0</v>
      </c>
      <c r="D56" s="4">
        <v>1</v>
      </c>
      <c r="E56" s="4">
        <v>203</v>
      </c>
      <c r="F56" s="4">
        <f>ROUND(Source!Q44,O56)</f>
        <v>5811.06</v>
      </c>
      <c r="G56" s="4" t="s">
        <v>130</v>
      </c>
      <c r="H56" s="4" t="s">
        <v>131</v>
      </c>
      <c r="I56" s="4"/>
      <c r="J56" s="4"/>
      <c r="K56" s="4">
        <v>203</v>
      </c>
      <c r="L56" s="4">
        <v>11</v>
      </c>
      <c r="M56" s="4">
        <v>3</v>
      </c>
      <c r="N56" s="4" t="s">
        <v>6</v>
      </c>
      <c r="O56" s="4">
        <v>2</v>
      </c>
      <c r="P56" s="4"/>
      <c r="Q56" s="4"/>
      <c r="R56" s="4"/>
      <c r="S56" s="4"/>
      <c r="T56" s="4"/>
      <c r="U56" s="4"/>
      <c r="V56" s="4"/>
      <c r="W56" s="4"/>
    </row>
    <row r="57" spans="1:23" x14ac:dyDescent="0.2">
      <c r="A57" s="4">
        <v>50</v>
      </c>
      <c r="B57" s="4">
        <v>0</v>
      </c>
      <c r="C57" s="4">
        <v>0</v>
      </c>
      <c r="D57" s="4">
        <v>1</v>
      </c>
      <c r="E57" s="4">
        <v>231</v>
      </c>
      <c r="F57" s="4">
        <f>ROUND(Source!BB44,O57)</f>
        <v>0</v>
      </c>
      <c r="G57" s="4" t="s">
        <v>132</v>
      </c>
      <c r="H57" s="4" t="s">
        <v>133</v>
      </c>
      <c r="I57" s="4"/>
      <c r="J57" s="4"/>
      <c r="K57" s="4">
        <v>231</v>
      </c>
      <c r="L57" s="4">
        <v>12</v>
      </c>
      <c r="M57" s="4">
        <v>3</v>
      </c>
      <c r="N57" s="4" t="s">
        <v>6</v>
      </c>
      <c r="O57" s="4">
        <v>2</v>
      </c>
      <c r="P57" s="4"/>
      <c r="Q57" s="4"/>
      <c r="R57" s="4"/>
      <c r="S57" s="4"/>
      <c r="T57" s="4"/>
      <c r="U57" s="4"/>
      <c r="V57" s="4"/>
      <c r="W57" s="4"/>
    </row>
    <row r="58" spans="1:23" x14ac:dyDescent="0.2">
      <c r="A58" s="4">
        <v>50</v>
      </c>
      <c r="B58" s="4">
        <v>0</v>
      </c>
      <c r="C58" s="4">
        <v>0</v>
      </c>
      <c r="D58" s="4">
        <v>1</v>
      </c>
      <c r="E58" s="4">
        <v>204</v>
      </c>
      <c r="F58" s="4">
        <f>ROUND(Source!R44,O58)</f>
        <v>1751.29</v>
      </c>
      <c r="G58" s="4" t="s">
        <v>134</v>
      </c>
      <c r="H58" s="4" t="s">
        <v>135</v>
      </c>
      <c r="I58" s="4"/>
      <c r="J58" s="4"/>
      <c r="K58" s="4">
        <v>204</v>
      </c>
      <c r="L58" s="4">
        <v>13</v>
      </c>
      <c r="M58" s="4">
        <v>3</v>
      </c>
      <c r="N58" s="4" t="s">
        <v>6</v>
      </c>
      <c r="O58" s="4">
        <v>2</v>
      </c>
      <c r="P58" s="4"/>
      <c r="Q58" s="4"/>
      <c r="R58" s="4"/>
      <c r="S58" s="4"/>
      <c r="T58" s="4"/>
      <c r="U58" s="4"/>
      <c r="V58" s="4"/>
      <c r="W58" s="4"/>
    </row>
    <row r="59" spans="1:23" x14ac:dyDescent="0.2">
      <c r="A59" s="4">
        <v>50</v>
      </c>
      <c r="B59" s="4">
        <v>0</v>
      </c>
      <c r="C59" s="4">
        <v>0</v>
      </c>
      <c r="D59" s="4">
        <v>1</v>
      </c>
      <c r="E59" s="4">
        <v>205</v>
      </c>
      <c r="F59" s="4">
        <f>ROUND(Source!S44,O59)</f>
        <v>49905.17</v>
      </c>
      <c r="G59" s="4" t="s">
        <v>136</v>
      </c>
      <c r="H59" s="4" t="s">
        <v>137</v>
      </c>
      <c r="I59" s="4"/>
      <c r="J59" s="4"/>
      <c r="K59" s="4">
        <v>205</v>
      </c>
      <c r="L59" s="4">
        <v>14</v>
      </c>
      <c r="M59" s="4">
        <v>3</v>
      </c>
      <c r="N59" s="4" t="s">
        <v>6</v>
      </c>
      <c r="O59" s="4">
        <v>2</v>
      </c>
      <c r="P59" s="4"/>
      <c r="Q59" s="4"/>
      <c r="R59" s="4"/>
      <c r="S59" s="4"/>
      <c r="T59" s="4"/>
      <c r="U59" s="4"/>
      <c r="V59" s="4"/>
      <c r="W59" s="4"/>
    </row>
    <row r="60" spans="1:23" x14ac:dyDescent="0.2">
      <c r="A60" s="4">
        <v>50</v>
      </c>
      <c r="B60" s="4">
        <v>0</v>
      </c>
      <c r="C60" s="4">
        <v>0</v>
      </c>
      <c r="D60" s="4">
        <v>1</v>
      </c>
      <c r="E60" s="4">
        <v>232</v>
      </c>
      <c r="F60" s="4">
        <f>ROUND(Source!BC44,O60)</f>
        <v>0</v>
      </c>
      <c r="G60" s="4" t="s">
        <v>138</v>
      </c>
      <c r="H60" s="4" t="s">
        <v>139</v>
      </c>
      <c r="I60" s="4"/>
      <c r="J60" s="4"/>
      <c r="K60" s="4">
        <v>232</v>
      </c>
      <c r="L60" s="4">
        <v>15</v>
      </c>
      <c r="M60" s="4">
        <v>3</v>
      </c>
      <c r="N60" s="4" t="s">
        <v>6</v>
      </c>
      <c r="O60" s="4">
        <v>2</v>
      </c>
      <c r="P60" s="4"/>
      <c r="Q60" s="4"/>
      <c r="R60" s="4"/>
      <c r="S60" s="4"/>
      <c r="T60" s="4"/>
      <c r="U60" s="4"/>
      <c r="V60" s="4"/>
      <c r="W60" s="4"/>
    </row>
    <row r="61" spans="1:23" x14ac:dyDescent="0.2">
      <c r="A61" s="4">
        <v>50</v>
      </c>
      <c r="B61" s="4">
        <v>0</v>
      </c>
      <c r="C61" s="4">
        <v>0</v>
      </c>
      <c r="D61" s="4">
        <v>1</v>
      </c>
      <c r="E61" s="4">
        <v>214</v>
      </c>
      <c r="F61" s="4">
        <f>ROUND(Source!AS44,O61)</f>
        <v>985498.78</v>
      </c>
      <c r="G61" s="4" t="s">
        <v>140</v>
      </c>
      <c r="H61" s="4" t="s">
        <v>141</v>
      </c>
      <c r="I61" s="4"/>
      <c r="J61" s="4"/>
      <c r="K61" s="4">
        <v>214</v>
      </c>
      <c r="L61" s="4">
        <v>16</v>
      </c>
      <c r="M61" s="4">
        <v>3</v>
      </c>
      <c r="N61" s="4" t="s">
        <v>6</v>
      </c>
      <c r="O61" s="4">
        <v>2</v>
      </c>
      <c r="P61" s="4"/>
      <c r="Q61" s="4"/>
      <c r="R61" s="4"/>
      <c r="S61" s="4"/>
      <c r="T61" s="4"/>
      <c r="U61" s="4"/>
      <c r="V61" s="4"/>
      <c r="W61" s="4"/>
    </row>
    <row r="62" spans="1:23" x14ac:dyDescent="0.2">
      <c r="A62" s="4">
        <v>50</v>
      </c>
      <c r="B62" s="4">
        <v>0</v>
      </c>
      <c r="C62" s="4">
        <v>0</v>
      </c>
      <c r="D62" s="4">
        <v>1</v>
      </c>
      <c r="E62" s="4">
        <v>215</v>
      </c>
      <c r="F62" s="4">
        <f>ROUND(Source!AT44,O62)</f>
        <v>0</v>
      </c>
      <c r="G62" s="4" t="s">
        <v>142</v>
      </c>
      <c r="H62" s="4" t="s">
        <v>143</v>
      </c>
      <c r="I62" s="4"/>
      <c r="J62" s="4"/>
      <c r="K62" s="4">
        <v>215</v>
      </c>
      <c r="L62" s="4">
        <v>17</v>
      </c>
      <c r="M62" s="4">
        <v>3</v>
      </c>
      <c r="N62" s="4" t="s">
        <v>6</v>
      </c>
      <c r="O62" s="4">
        <v>2</v>
      </c>
      <c r="P62" s="4"/>
      <c r="Q62" s="4"/>
      <c r="R62" s="4"/>
      <c r="S62" s="4"/>
      <c r="T62" s="4"/>
      <c r="U62" s="4"/>
      <c r="V62" s="4"/>
      <c r="W62" s="4"/>
    </row>
    <row r="63" spans="1:23" x14ac:dyDescent="0.2">
      <c r="A63" s="4">
        <v>50</v>
      </c>
      <c r="B63" s="4">
        <v>0</v>
      </c>
      <c r="C63" s="4">
        <v>0</v>
      </c>
      <c r="D63" s="4">
        <v>1</v>
      </c>
      <c r="E63" s="4">
        <v>217</v>
      </c>
      <c r="F63" s="4">
        <f>ROUND(Source!AU44,O63)</f>
        <v>0</v>
      </c>
      <c r="G63" s="4" t="s">
        <v>144</v>
      </c>
      <c r="H63" s="4" t="s">
        <v>145</v>
      </c>
      <c r="I63" s="4"/>
      <c r="J63" s="4"/>
      <c r="K63" s="4">
        <v>217</v>
      </c>
      <c r="L63" s="4">
        <v>18</v>
      </c>
      <c r="M63" s="4">
        <v>3</v>
      </c>
      <c r="N63" s="4" t="s">
        <v>6</v>
      </c>
      <c r="O63" s="4">
        <v>2</v>
      </c>
      <c r="P63" s="4"/>
      <c r="Q63" s="4"/>
      <c r="R63" s="4"/>
      <c r="S63" s="4"/>
      <c r="T63" s="4"/>
      <c r="U63" s="4"/>
      <c r="V63" s="4"/>
      <c r="W63" s="4"/>
    </row>
    <row r="64" spans="1:23" x14ac:dyDescent="0.2">
      <c r="A64" s="4">
        <v>50</v>
      </c>
      <c r="B64" s="4">
        <v>0</v>
      </c>
      <c r="C64" s="4">
        <v>0</v>
      </c>
      <c r="D64" s="4">
        <v>1</v>
      </c>
      <c r="E64" s="4">
        <v>230</v>
      </c>
      <c r="F64" s="4">
        <f>ROUND(Source!BA44,O64)</f>
        <v>0</v>
      </c>
      <c r="G64" s="4" t="s">
        <v>146</v>
      </c>
      <c r="H64" s="4" t="s">
        <v>147</v>
      </c>
      <c r="I64" s="4"/>
      <c r="J64" s="4"/>
      <c r="K64" s="4">
        <v>230</v>
      </c>
      <c r="L64" s="4">
        <v>19</v>
      </c>
      <c r="M64" s="4">
        <v>3</v>
      </c>
      <c r="N64" s="4" t="s">
        <v>6</v>
      </c>
      <c r="O64" s="4">
        <v>2</v>
      </c>
      <c r="P64" s="4"/>
      <c r="Q64" s="4"/>
      <c r="R64" s="4"/>
      <c r="S64" s="4"/>
      <c r="T64" s="4"/>
      <c r="U64" s="4"/>
      <c r="V64" s="4"/>
      <c r="W64" s="4"/>
    </row>
    <row r="65" spans="1:206" x14ac:dyDescent="0.2">
      <c r="A65" s="4">
        <v>50</v>
      </c>
      <c r="B65" s="4">
        <v>0</v>
      </c>
      <c r="C65" s="4">
        <v>0</v>
      </c>
      <c r="D65" s="4">
        <v>1</v>
      </c>
      <c r="E65" s="4">
        <v>206</v>
      </c>
      <c r="F65" s="4">
        <f>ROUND(Source!T44,O65)</f>
        <v>0</v>
      </c>
      <c r="G65" s="4" t="s">
        <v>148</v>
      </c>
      <c r="H65" s="4" t="s">
        <v>149</v>
      </c>
      <c r="I65" s="4"/>
      <c r="J65" s="4"/>
      <c r="K65" s="4">
        <v>206</v>
      </c>
      <c r="L65" s="4">
        <v>20</v>
      </c>
      <c r="M65" s="4">
        <v>3</v>
      </c>
      <c r="N65" s="4" t="s">
        <v>6</v>
      </c>
      <c r="O65" s="4">
        <v>2</v>
      </c>
      <c r="P65" s="4"/>
      <c r="Q65" s="4"/>
      <c r="R65" s="4"/>
      <c r="S65" s="4"/>
      <c r="T65" s="4"/>
      <c r="U65" s="4"/>
      <c r="V65" s="4"/>
      <c r="W65" s="4"/>
    </row>
    <row r="66" spans="1:206" x14ac:dyDescent="0.2">
      <c r="A66" s="4">
        <v>50</v>
      </c>
      <c r="B66" s="4">
        <v>0</v>
      </c>
      <c r="C66" s="4">
        <v>0</v>
      </c>
      <c r="D66" s="4">
        <v>1</v>
      </c>
      <c r="E66" s="4">
        <v>207</v>
      </c>
      <c r="F66" s="4">
        <f>Source!U44</f>
        <v>881.46275200000002</v>
      </c>
      <c r="G66" s="4" t="s">
        <v>150</v>
      </c>
      <c r="H66" s="4" t="s">
        <v>151</v>
      </c>
      <c r="I66" s="4"/>
      <c r="J66" s="4"/>
      <c r="K66" s="4">
        <v>207</v>
      </c>
      <c r="L66" s="4">
        <v>21</v>
      </c>
      <c r="M66" s="4">
        <v>3</v>
      </c>
      <c r="N66" s="4" t="s">
        <v>6</v>
      </c>
      <c r="O66" s="4">
        <v>-1</v>
      </c>
      <c r="P66" s="4"/>
      <c r="Q66" s="4"/>
      <c r="R66" s="4"/>
      <c r="S66" s="4"/>
      <c r="T66" s="4"/>
      <c r="U66" s="4"/>
      <c r="V66" s="4"/>
      <c r="W66" s="4"/>
    </row>
    <row r="67" spans="1:206" x14ac:dyDescent="0.2">
      <c r="A67" s="4">
        <v>50</v>
      </c>
      <c r="B67" s="4">
        <v>0</v>
      </c>
      <c r="C67" s="4">
        <v>0</v>
      </c>
      <c r="D67" s="4">
        <v>1</v>
      </c>
      <c r="E67" s="4">
        <v>208</v>
      </c>
      <c r="F67" s="4">
        <f>Source!V44</f>
        <v>20.713344000000003</v>
      </c>
      <c r="G67" s="4" t="s">
        <v>152</v>
      </c>
      <c r="H67" s="4" t="s">
        <v>153</v>
      </c>
      <c r="I67" s="4"/>
      <c r="J67" s="4"/>
      <c r="K67" s="4">
        <v>208</v>
      </c>
      <c r="L67" s="4">
        <v>22</v>
      </c>
      <c r="M67" s="4">
        <v>3</v>
      </c>
      <c r="N67" s="4" t="s">
        <v>6</v>
      </c>
      <c r="O67" s="4">
        <v>-1</v>
      </c>
      <c r="P67" s="4"/>
      <c r="Q67" s="4"/>
      <c r="R67" s="4"/>
      <c r="S67" s="4"/>
      <c r="T67" s="4"/>
      <c r="U67" s="4"/>
      <c r="V67" s="4"/>
      <c r="W67" s="4"/>
    </row>
    <row r="68" spans="1:206" x14ac:dyDescent="0.2">
      <c r="A68" s="4">
        <v>50</v>
      </c>
      <c r="B68" s="4">
        <v>0</v>
      </c>
      <c r="C68" s="4">
        <v>0</v>
      </c>
      <c r="D68" s="4">
        <v>1</v>
      </c>
      <c r="E68" s="4">
        <v>209</v>
      </c>
      <c r="F68" s="4">
        <f>ROUND(Source!W44,O68)</f>
        <v>0</v>
      </c>
      <c r="G68" s="4" t="s">
        <v>154</v>
      </c>
      <c r="H68" s="4" t="s">
        <v>155</v>
      </c>
      <c r="I68" s="4"/>
      <c r="J68" s="4"/>
      <c r="K68" s="4">
        <v>209</v>
      </c>
      <c r="L68" s="4">
        <v>23</v>
      </c>
      <c r="M68" s="4">
        <v>3</v>
      </c>
      <c r="N68" s="4" t="s">
        <v>6</v>
      </c>
      <c r="O68" s="4">
        <v>2</v>
      </c>
      <c r="P68" s="4"/>
      <c r="Q68" s="4"/>
      <c r="R68" s="4"/>
      <c r="S68" s="4"/>
      <c r="T68" s="4"/>
      <c r="U68" s="4"/>
      <c r="V68" s="4"/>
      <c r="W68" s="4"/>
    </row>
    <row r="69" spans="1:206" x14ac:dyDescent="0.2">
      <c r="A69" s="4">
        <v>50</v>
      </c>
      <c r="B69" s="4">
        <v>0</v>
      </c>
      <c r="C69" s="4">
        <v>0</v>
      </c>
      <c r="D69" s="4">
        <v>1</v>
      </c>
      <c r="E69" s="4">
        <v>210</v>
      </c>
      <c r="F69" s="4">
        <f>ROUND(Source!X44,O69)</f>
        <v>51302.89</v>
      </c>
      <c r="G69" s="4" t="s">
        <v>156</v>
      </c>
      <c r="H69" s="4" t="s">
        <v>157</v>
      </c>
      <c r="I69" s="4"/>
      <c r="J69" s="4"/>
      <c r="K69" s="4">
        <v>210</v>
      </c>
      <c r="L69" s="4">
        <v>24</v>
      </c>
      <c r="M69" s="4">
        <v>3</v>
      </c>
      <c r="N69" s="4" t="s">
        <v>6</v>
      </c>
      <c r="O69" s="4">
        <v>2</v>
      </c>
      <c r="P69" s="4"/>
      <c r="Q69" s="4"/>
      <c r="R69" s="4"/>
      <c r="S69" s="4"/>
      <c r="T69" s="4"/>
      <c r="U69" s="4"/>
      <c r="V69" s="4"/>
      <c r="W69" s="4"/>
    </row>
    <row r="70" spans="1:206" x14ac:dyDescent="0.2">
      <c r="A70" s="4">
        <v>50</v>
      </c>
      <c r="B70" s="4">
        <v>0</v>
      </c>
      <c r="C70" s="4">
        <v>0</v>
      </c>
      <c r="D70" s="4">
        <v>1</v>
      </c>
      <c r="E70" s="4">
        <v>211</v>
      </c>
      <c r="F70" s="4">
        <f>ROUND(Source!Y44,O70)</f>
        <v>28171.83</v>
      </c>
      <c r="G70" s="4" t="s">
        <v>158</v>
      </c>
      <c r="H70" s="4" t="s">
        <v>159</v>
      </c>
      <c r="I70" s="4"/>
      <c r="J70" s="4"/>
      <c r="K70" s="4">
        <v>211</v>
      </c>
      <c r="L70" s="4">
        <v>25</v>
      </c>
      <c r="M70" s="4">
        <v>3</v>
      </c>
      <c r="N70" s="4" t="s">
        <v>6</v>
      </c>
      <c r="O70" s="4">
        <v>2</v>
      </c>
      <c r="P70" s="4"/>
      <c r="Q70" s="4"/>
      <c r="R70" s="4"/>
      <c r="S70" s="4"/>
      <c r="T70" s="4"/>
      <c r="U70" s="4"/>
      <c r="V70" s="4"/>
      <c r="W70" s="4"/>
    </row>
    <row r="71" spans="1:206" x14ac:dyDescent="0.2">
      <c r="A71" s="4">
        <v>50</v>
      </c>
      <c r="B71" s="4">
        <v>0</v>
      </c>
      <c r="C71" s="4">
        <v>0</v>
      </c>
      <c r="D71" s="4">
        <v>1</v>
      </c>
      <c r="E71" s="4">
        <v>0</v>
      </c>
      <c r="F71" s="4">
        <f>ROUND(Source!AR44,O71)</f>
        <v>985498.78</v>
      </c>
      <c r="G71" s="4" t="s">
        <v>160</v>
      </c>
      <c r="H71" s="4" t="s">
        <v>161</v>
      </c>
      <c r="I71" s="4"/>
      <c r="J71" s="4"/>
      <c r="K71" s="4">
        <v>224</v>
      </c>
      <c r="L71" s="4">
        <v>26</v>
      </c>
      <c r="M71" s="4">
        <v>3</v>
      </c>
      <c r="N71" s="4" t="s">
        <v>6</v>
      </c>
      <c r="O71" s="4">
        <v>2</v>
      </c>
      <c r="P71" s="4"/>
      <c r="Q71" s="4"/>
      <c r="R71" s="4"/>
      <c r="S71" s="4"/>
      <c r="T71" s="4"/>
      <c r="U71" s="4"/>
      <c r="V71" s="4"/>
      <c r="W71" s="4"/>
    </row>
    <row r="72" spans="1:206" x14ac:dyDescent="0.2">
      <c r="A72" s="4">
        <v>50</v>
      </c>
      <c r="B72" s="4">
        <v>1</v>
      </c>
      <c r="C72" s="4">
        <v>0</v>
      </c>
      <c r="D72" s="4">
        <v>2</v>
      </c>
      <c r="E72" s="4">
        <v>0</v>
      </c>
      <c r="F72" s="4">
        <f>ROUND(F71,O72)</f>
        <v>985498.78</v>
      </c>
      <c r="G72" s="4" t="s">
        <v>162</v>
      </c>
      <c r="H72" s="4" t="s">
        <v>160</v>
      </c>
      <c r="I72" s="4"/>
      <c r="J72" s="4"/>
      <c r="K72" s="4">
        <v>212</v>
      </c>
      <c r="L72" s="4">
        <v>27</v>
      </c>
      <c r="M72" s="4">
        <v>0</v>
      </c>
      <c r="N72" s="4" t="s">
        <v>6</v>
      </c>
      <c r="O72" s="4">
        <v>2</v>
      </c>
      <c r="P72" s="4"/>
      <c r="Q72" s="4"/>
      <c r="R72" s="4"/>
      <c r="S72" s="4"/>
      <c r="T72" s="4"/>
      <c r="U72" s="4"/>
      <c r="V72" s="4"/>
      <c r="W72" s="4"/>
    </row>
    <row r="73" spans="1:206" x14ac:dyDescent="0.2">
      <c r="A73" s="4">
        <v>50</v>
      </c>
      <c r="B73" s="4">
        <v>1</v>
      </c>
      <c r="C73" s="4">
        <v>0</v>
      </c>
      <c r="D73" s="4">
        <v>2</v>
      </c>
      <c r="E73" s="4">
        <v>0</v>
      </c>
      <c r="F73" s="4">
        <f>ROUND(F72*0.18,O73)</f>
        <v>177389.78</v>
      </c>
      <c r="G73" s="4" t="s">
        <v>163</v>
      </c>
      <c r="H73" s="4" t="s">
        <v>164</v>
      </c>
      <c r="I73" s="4"/>
      <c r="J73" s="4"/>
      <c r="K73" s="4">
        <v>212</v>
      </c>
      <c r="L73" s="4">
        <v>28</v>
      </c>
      <c r="M73" s="4">
        <v>0</v>
      </c>
      <c r="N73" s="4" t="s">
        <v>6</v>
      </c>
      <c r="O73" s="4">
        <v>2</v>
      </c>
      <c r="P73" s="4"/>
      <c r="Q73" s="4"/>
      <c r="R73" s="4"/>
      <c r="S73" s="4"/>
      <c r="T73" s="4"/>
      <c r="U73" s="4"/>
      <c r="V73" s="4"/>
      <c r="W73" s="4"/>
    </row>
    <row r="74" spans="1:206" x14ac:dyDescent="0.2">
      <c r="A74" s="4">
        <v>50</v>
      </c>
      <c r="B74" s="4">
        <v>1</v>
      </c>
      <c r="C74" s="4">
        <v>0</v>
      </c>
      <c r="D74" s="4">
        <v>2</v>
      </c>
      <c r="E74" s="4">
        <v>224</v>
      </c>
      <c r="F74" s="4">
        <f>ROUND(F72+F73,O74)</f>
        <v>1162888.56</v>
      </c>
      <c r="G74" s="4" t="s">
        <v>165</v>
      </c>
      <c r="H74" s="4" t="s">
        <v>166</v>
      </c>
      <c r="I74" s="4"/>
      <c r="J74" s="4"/>
      <c r="K74" s="4">
        <v>212</v>
      </c>
      <c r="L74" s="4">
        <v>29</v>
      </c>
      <c r="M74" s="4">
        <v>0</v>
      </c>
      <c r="N74" s="4" t="s">
        <v>6</v>
      </c>
      <c r="O74" s="4">
        <v>2</v>
      </c>
      <c r="P74" s="4"/>
      <c r="Q74" s="4"/>
      <c r="R74" s="4"/>
      <c r="S74" s="4"/>
      <c r="T74" s="4"/>
      <c r="U74" s="4"/>
      <c r="V74" s="4"/>
      <c r="W74" s="4"/>
    </row>
    <row r="76" spans="1:206" x14ac:dyDescent="0.2">
      <c r="A76" s="2">
        <v>51</v>
      </c>
      <c r="B76" s="2">
        <f>B12</f>
        <v>137</v>
      </c>
      <c r="C76" s="2">
        <f>A12</f>
        <v>1</v>
      </c>
      <c r="D76" s="2">
        <f>ROW(A12)</f>
        <v>12</v>
      </c>
      <c r="E76" s="2"/>
      <c r="F76" s="2" t="str">
        <f>IF(F12&lt;&gt;"",F12,"")</f>
        <v>Новый объект_(Копия)</v>
      </c>
      <c r="G76" s="2" t="str">
        <f>IF(G12&lt;&gt;"",G12,"")</f>
        <v>Капитальный ремонт окооных проемов общежития  301,332ДИТИ НИЯУ МИФИ_цена поставщика</v>
      </c>
      <c r="H76" s="2">
        <v>0</v>
      </c>
      <c r="I76" s="2"/>
      <c r="J76" s="2"/>
      <c r="K76" s="2"/>
      <c r="L76" s="2"/>
      <c r="M76" s="2"/>
      <c r="N76" s="2"/>
      <c r="O76" s="2">
        <f t="shared" ref="O76:T76" si="55">ROUND(O44,2)</f>
        <v>904431.83</v>
      </c>
      <c r="P76" s="2">
        <f t="shared" si="55"/>
        <v>848715.6</v>
      </c>
      <c r="Q76" s="2">
        <f t="shared" si="55"/>
        <v>5811.06</v>
      </c>
      <c r="R76" s="2">
        <f t="shared" si="55"/>
        <v>1751.29</v>
      </c>
      <c r="S76" s="2">
        <f t="shared" si="55"/>
        <v>49905.17</v>
      </c>
      <c r="T76" s="2">
        <f t="shared" si="55"/>
        <v>0</v>
      </c>
      <c r="U76" s="2">
        <f>U44</f>
        <v>881.46275200000002</v>
      </c>
      <c r="V76" s="2">
        <f>V44</f>
        <v>20.713344000000003</v>
      </c>
      <c r="W76" s="2">
        <f>ROUND(W44,2)</f>
        <v>0</v>
      </c>
      <c r="X76" s="2">
        <f>ROUND(X44,2)</f>
        <v>51302.89</v>
      </c>
      <c r="Y76" s="2">
        <f>ROUND(Y44,2)</f>
        <v>28171.83</v>
      </c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>
        <f t="shared" ref="AO76:BC76" si="56">ROUND(AO44,2)</f>
        <v>0</v>
      </c>
      <c r="AP76" s="2">
        <f t="shared" si="56"/>
        <v>0</v>
      </c>
      <c r="AQ76" s="2">
        <f t="shared" si="56"/>
        <v>0</v>
      </c>
      <c r="AR76" s="2">
        <f t="shared" si="56"/>
        <v>985498.78</v>
      </c>
      <c r="AS76" s="2">
        <f t="shared" si="56"/>
        <v>985498.78</v>
      </c>
      <c r="AT76" s="2">
        <f t="shared" si="56"/>
        <v>0</v>
      </c>
      <c r="AU76" s="2">
        <f t="shared" si="56"/>
        <v>0</v>
      </c>
      <c r="AV76" s="2">
        <f t="shared" si="56"/>
        <v>848715.6</v>
      </c>
      <c r="AW76" s="2">
        <f t="shared" si="56"/>
        <v>848715.6</v>
      </c>
      <c r="AX76" s="2">
        <f t="shared" si="56"/>
        <v>0</v>
      </c>
      <c r="AY76" s="2">
        <f t="shared" si="56"/>
        <v>848715.6</v>
      </c>
      <c r="AZ76" s="2">
        <f t="shared" si="56"/>
        <v>0</v>
      </c>
      <c r="BA76" s="2">
        <f t="shared" si="56"/>
        <v>0</v>
      </c>
      <c r="BB76" s="2">
        <f t="shared" si="56"/>
        <v>0</v>
      </c>
      <c r="BC76" s="2">
        <f t="shared" si="56"/>
        <v>0</v>
      </c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3"/>
      <c r="DH76" s="3"/>
      <c r="DI76" s="3"/>
      <c r="DJ76" s="3"/>
      <c r="DK76" s="3"/>
      <c r="DL76" s="3"/>
      <c r="DM76" s="3"/>
      <c r="DN76" s="3"/>
      <c r="DO76" s="3"/>
      <c r="DP76" s="3"/>
      <c r="DQ76" s="3"/>
      <c r="DR76" s="3"/>
      <c r="DS76" s="3"/>
      <c r="DT76" s="3"/>
      <c r="DU76" s="3"/>
      <c r="DV76" s="3"/>
      <c r="DW76" s="3"/>
      <c r="DX76" s="3"/>
      <c r="DY76" s="3"/>
      <c r="DZ76" s="3"/>
      <c r="EA76" s="3"/>
      <c r="EB76" s="3"/>
      <c r="EC76" s="3"/>
      <c r="ED76" s="3"/>
      <c r="EE76" s="3"/>
      <c r="EF76" s="3"/>
      <c r="EG76" s="3"/>
      <c r="EH76" s="3"/>
      <c r="EI76" s="3"/>
      <c r="EJ76" s="3"/>
      <c r="EK76" s="3"/>
      <c r="EL76" s="3"/>
      <c r="EM76" s="3"/>
      <c r="EN76" s="3"/>
      <c r="EO76" s="3"/>
      <c r="EP76" s="3"/>
      <c r="EQ76" s="3"/>
      <c r="ER76" s="3"/>
      <c r="ES76" s="3"/>
      <c r="ET76" s="3"/>
      <c r="EU76" s="3"/>
      <c r="EV76" s="3"/>
      <c r="EW76" s="3"/>
      <c r="EX76" s="3"/>
      <c r="EY76" s="3"/>
      <c r="EZ76" s="3"/>
      <c r="FA76" s="3"/>
      <c r="FB76" s="3"/>
      <c r="FC76" s="3"/>
      <c r="FD76" s="3"/>
      <c r="FE76" s="3"/>
      <c r="FF76" s="3"/>
      <c r="FG76" s="3"/>
      <c r="FH76" s="3"/>
      <c r="FI76" s="3"/>
      <c r="FJ76" s="3"/>
      <c r="FK76" s="3"/>
      <c r="FL76" s="3"/>
      <c r="FM76" s="3"/>
      <c r="FN76" s="3"/>
      <c r="FO76" s="3"/>
      <c r="FP76" s="3"/>
      <c r="FQ76" s="3"/>
      <c r="FR76" s="3"/>
      <c r="FS76" s="3"/>
      <c r="FT76" s="3"/>
      <c r="FU76" s="3"/>
      <c r="FV76" s="3"/>
      <c r="FW76" s="3"/>
      <c r="FX76" s="3"/>
      <c r="FY76" s="3"/>
      <c r="FZ76" s="3"/>
      <c r="GA76" s="3"/>
      <c r="GB76" s="3"/>
      <c r="GC76" s="3"/>
      <c r="GD76" s="3"/>
      <c r="GE76" s="3"/>
      <c r="GF76" s="3"/>
      <c r="GG76" s="3"/>
      <c r="GH76" s="3"/>
      <c r="GI76" s="3"/>
      <c r="GJ76" s="3"/>
      <c r="GK76" s="3"/>
      <c r="GL76" s="3"/>
      <c r="GM76" s="3"/>
      <c r="GN76" s="3"/>
      <c r="GO76" s="3"/>
      <c r="GP76" s="3"/>
      <c r="GQ76" s="3"/>
      <c r="GR76" s="3"/>
      <c r="GS76" s="3"/>
      <c r="GT76" s="3"/>
      <c r="GU76" s="3"/>
      <c r="GV76" s="3"/>
      <c r="GW76" s="3"/>
      <c r="GX76" s="3">
        <v>0</v>
      </c>
    </row>
    <row r="78" spans="1:206" x14ac:dyDescent="0.2">
      <c r="A78" s="4">
        <v>50</v>
      </c>
      <c r="B78" s="4">
        <v>0</v>
      </c>
      <c r="C78" s="4">
        <v>0</v>
      </c>
      <c r="D78" s="4">
        <v>1</v>
      </c>
      <c r="E78" s="4">
        <v>201</v>
      </c>
      <c r="F78" s="4">
        <f>ROUND(Source!O76,O78)</f>
        <v>904431.83</v>
      </c>
      <c r="G78" s="4" t="s">
        <v>110</v>
      </c>
      <c r="H78" s="4" t="s">
        <v>111</v>
      </c>
      <c r="I78" s="4"/>
      <c r="J78" s="4"/>
      <c r="K78" s="4">
        <v>201</v>
      </c>
      <c r="L78" s="4">
        <v>1</v>
      </c>
      <c r="M78" s="4">
        <v>3</v>
      </c>
      <c r="N78" s="4" t="s">
        <v>6</v>
      </c>
      <c r="O78" s="4">
        <v>2</v>
      </c>
      <c r="P78" s="4"/>
      <c r="Q78" s="4"/>
      <c r="R78" s="4"/>
      <c r="S78" s="4"/>
      <c r="T78" s="4"/>
      <c r="U78" s="4"/>
      <c r="V78" s="4"/>
      <c r="W78" s="4"/>
    </row>
    <row r="79" spans="1:206" x14ac:dyDescent="0.2">
      <c r="A79" s="4">
        <v>50</v>
      </c>
      <c r="B79" s="4">
        <v>0</v>
      </c>
      <c r="C79" s="4">
        <v>0</v>
      </c>
      <c r="D79" s="4">
        <v>1</v>
      </c>
      <c r="E79" s="4">
        <v>202</v>
      </c>
      <c r="F79" s="4">
        <f>ROUND(Source!P76,O79)</f>
        <v>848715.6</v>
      </c>
      <c r="G79" s="4" t="s">
        <v>112</v>
      </c>
      <c r="H79" s="4" t="s">
        <v>113</v>
      </c>
      <c r="I79" s="4"/>
      <c r="J79" s="4"/>
      <c r="K79" s="4">
        <v>202</v>
      </c>
      <c r="L79" s="4">
        <v>2</v>
      </c>
      <c r="M79" s="4">
        <v>3</v>
      </c>
      <c r="N79" s="4" t="s">
        <v>6</v>
      </c>
      <c r="O79" s="4">
        <v>2</v>
      </c>
      <c r="P79" s="4"/>
      <c r="Q79" s="4"/>
      <c r="R79" s="4"/>
      <c r="S79" s="4"/>
      <c r="T79" s="4"/>
      <c r="U79" s="4"/>
      <c r="V79" s="4"/>
      <c r="W79" s="4"/>
    </row>
    <row r="80" spans="1:206" x14ac:dyDescent="0.2">
      <c r="A80" s="4">
        <v>50</v>
      </c>
      <c r="B80" s="4">
        <v>0</v>
      </c>
      <c r="C80" s="4">
        <v>0</v>
      </c>
      <c r="D80" s="4">
        <v>1</v>
      </c>
      <c r="E80" s="4">
        <v>222</v>
      </c>
      <c r="F80" s="4">
        <f>ROUND(Source!AO76,O80)</f>
        <v>0</v>
      </c>
      <c r="G80" s="4" t="s">
        <v>114</v>
      </c>
      <c r="H80" s="4" t="s">
        <v>115</v>
      </c>
      <c r="I80" s="4"/>
      <c r="J80" s="4"/>
      <c r="K80" s="4">
        <v>222</v>
      </c>
      <c r="L80" s="4">
        <v>3</v>
      </c>
      <c r="M80" s="4">
        <v>3</v>
      </c>
      <c r="N80" s="4" t="s">
        <v>6</v>
      </c>
      <c r="O80" s="4">
        <v>2</v>
      </c>
      <c r="P80" s="4"/>
      <c r="Q80" s="4"/>
      <c r="R80" s="4"/>
      <c r="S80" s="4"/>
      <c r="T80" s="4"/>
      <c r="U80" s="4"/>
      <c r="V80" s="4"/>
      <c r="W80" s="4"/>
    </row>
    <row r="81" spans="1:23" x14ac:dyDescent="0.2">
      <c r="A81" s="4">
        <v>50</v>
      </c>
      <c r="B81" s="4">
        <v>0</v>
      </c>
      <c r="C81" s="4">
        <v>0</v>
      </c>
      <c r="D81" s="4">
        <v>1</v>
      </c>
      <c r="E81" s="4">
        <v>225</v>
      </c>
      <c r="F81" s="4">
        <f>ROUND(Source!AV76,O81)</f>
        <v>848715.6</v>
      </c>
      <c r="G81" s="4" t="s">
        <v>116</v>
      </c>
      <c r="H81" s="4" t="s">
        <v>117</v>
      </c>
      <c r="I81" s="4"/>
      <c r="J81" s="4"/>
      <c r="K81" s="4">
        <v>225</v>
      </c>
      <c r="L81" s="4">
        <v>4</v>
      </c>
      <c r="M81" s="4">
        <v>3</v>
      </c>
      <c r="N81" s="4" t="s">
        <v>6</v>
      </c>
      <c r="O81" s="4">
        <v>2</v>
      </c>
      <c r="P81" s="4"/>
      <c r="Q81" s="4"/>
      <c r="R81" s="4"/>
      <c r="S81" s="4"/>
      <c r="T81" s="4"/>
      <c r="U81" s="4"/>
      <c r="V81" s="4"/>
      <c r="W81" s="4"/>
    </row>
    <row r="82" spans="1:23" x14ac:dyDescent="0.2">
      <c r="A82" s="4">
        <v>50</v>
      </c>
      <c r="B82" s="4">
        <v>0</v>
      </c>
      <c r="C82" s="4">
        <v>0</v>
      </c>
      <c r="D82" s="4">
        <v>1</v>
      </c>
      <c r="E82" s="4">
        <v>226</v>
      </c>
      <c r="F82" s="4">
        <f>ROUND(Source!AW76,O82)</f>
        <v>848715.6</v>
      </c>
      <c r="G82" s="4" t="s">
        <v>118</v>
      </c>
      <c r="H82" s="4" t="s">
        <v>119</v>
      </c>
      <c r="I82" s="4"/>
      <c r="J82" s="4"/>
      <c r="K82" s="4">
        <v>226</v>
      </c>
      <c r="L82" s="4">
        <v>5</v>
      </c>
      <c r="M82" s="4">
        <v>3</v>
      </c>
      <c r="N82" s="4" t="s">
        <v>6</v>
      </c>
      <c r="O82" s="4">
        <v>2</v>
      </c>
      <c r="P82" s="4"/>
      <c r="Q82" s="4"/>
      <c r="R82" s="4"/>
      <c r="S82" s="4"/>
      <c r="T82" s="4"/>
      <c r="U82" s="4"/>
      <c r="V82" s="4"/>
      <c r="W82" s="4"/>
    </row>
    <row r="83" spans="1:23" x14ac:dyDescent="0.2">
      <c r="A83" s="4">
        <v>50</v>
      </c>
      <c r="B83" s="4">
        <v>0</v>
      </c>
      <c r="C83" s="4">
        <v>0</v>
      </c>
      <c r="D83" s="4">
        <v>1</v>
      </c>
      <c r="E83" s="4">
        <v>227</v>
      </c>
      <c r="F83" s="4">
        <f>ROUND(Source!AX76,O83)</f>
        <v>0</v>
      </c>
      <c r="G83" s="4" t="s">
        <v>120</v>
      </c>
      <c r="H83" s="4" t="s">
        <v>121</v>
      </c>
      <c r="I83" s="4"/>
      <c r="J83" s="4"/>
      <c r="K83" s="4">
        <v>227</v>
      </c>
      <c r="L83" s="4">
        <v>6</v>
      </c>
      <c r="M83" s="4">
        <v>3</v>
      </c>
      <c r="N83" s="4" t="s">
        <v>6</v>
      </c>
      <c r="O83" s="4">
        <v>2</v>
      </c>
      <c r="P83" s="4"/>
      <c r="Q83" s="4"/>
      <c r="R83" s="4"/>
      <c r="S83" s="4"/>
      <c r="T83" s="4"/>
      <c r="U83" s="4"/>
      <c r="V83" s="4"/>
      <c r="W83" s="4"/>
    </row>
    <row r="84" spans="1:23" x14ac:dyDescent="0.2">
      <c r="A84" s="4">
        <v>50</v>
      </c>
      <c r="B84" s="4">
        <v>0</v>
      </c>
      <c r="C84" s="4">
        <v>0</v>
      </c>
      <c r="D84" s="4">
        <v>1</v>
      </c>
      <c r="E84" s="4">
        <v>228</v>
      </c>
      <c r="F84" s="4">
        <f>ROUND(Source!AY76,O84)</f>
        <v>848715.6</v>
      </c>
      <c r="G84" s="4" t="s">
        <v>122</v>
      </c>
      <c r="H84" s="4" t="s">
        <v>123</v>
      </c>
      <c r="I84" s="4"/>
      <c r="J84" s="4"/>
      <c r="K84" s="4">
        <v>228</v>
      </c>
      <c r="L84" s="4">
        <v>7</v>
      </c>
      <c r="M84" s="4">
        <v>3</v>
      </c>
      <c r="N84" s="4" t="s">
        <v>6</v>
      </c>
      <c r="O84" s="4">
        <v>2</v>
      </c>
      <c r="P84" s="4"/>
      <c r="Q84" s="4"/>
      <c r="R84" s="4"/>
      <c r="S84" s="4"/>
      <c r="T84" s="4"/>
      <c r="U84" s="4"/>
      <c r="V84" s="4"/>
      <c r="W84" s="4"/>
    </row>
    <row r="85" spans="1:23" x14ac:dyDescent="0.2">
      <c r="A85" s="4">
        <v>50</v>
      </c>
      <c r="B85" s="4">
        <v>0</v>
      </c>
      <c r="C85" s="4">
        <v>0</v>
      </c>
      <c r="D85" s="4">
        <v>1</v>
      </c>
      <c r="E85" s="4">
        <v>216</v>
      </c>
      <c r="F85" s="4">
        <f>ROUND(Source!AP76,O85)</f>
        <v>0</v>
      </c>
      <c r="G85" s="4" t="s">
        <v>124</v>
      </c>
      <c r="H85" s="4" t="s">
        <v>125</v>
      </c>
      <c r="I85" s="4"/>
      <c r="J85" s="4"/>
      <c r="K85" s="4">
        <v>216</v>
      </c>
      <c r="L85" s="4">
        <v>8</v>
      </c>
      <c r="M85" s="4">
        <v>3</v>
      </c>
      <c r="N85" s="4" t="s">
        <v>6</v>
      </c>
      <c r="O85" s="4">
        <v>2</v>
      </c>
      <c r="P85" s="4"/>
      <c r="Q85" s="4"/>
      <c r="R85" s="4"/>
      <c r="S85" s="4"/>
      <c r="T85" s="4"/>
      <c r="U85" s="4"/>
      <c r="V85" s="4"/>
      <c r="W85" s="4"/>
    </row>
    <row r="86" spans="1:23" x14ac:dyDescent="0.2">
      <c r="A86" s="4">
        <v>50</v>
      </c>
      <c r="B86" s="4">
        <v>0</v>
      </c>
      <c r="C86" s="4">
        <v>0</v>
      </c>
      <c r="D86" s="4">
        <v>1</v>
      </c>
      <c r="E86" s="4">
        <v>223</v>
      </c>
      <c r="F86" s="4">
        <f>ROUND(Source!AQ76,O86)</f>
        <v>0</v>
      </c>
      <c r="G86" s="4" t="s">
        <v>126</v>
      </c>
      <c r="H86" s="4" t="s">
        <v>127</v>
      </c>
      <c r="I86" s="4"/>
      <c r="J86" s="4"/>
      <c r="K86" s="4">
        <v>223</v>
      </c>
      <c r="L86" s="4">
        <v>9</v>
      </c>
      <c r="M86" s="4">
        <v>3</v>
      </c>
      <c r="N86" s="4" t="s">
        <v>6</v>
      </c>
      <c r="O86" s="4">
        <v>2</v>
      </c>
      <c r="P86" s="4"/>
      <c r="Q86" s="4"/>
      <c r="R86" s="4"/>
      <c r="S86" s="4"/>
      <c r="T86" s="4"/>
      <c r="U86" s="4"/>
      <c r="V86" s="4"/>
      <c r="W86" s="4"/>
    </row>
    <row r="87" spans="1:23" x14ac:dyDescent="0.2">
      <c r="A87" s="4">
        <v>50</v>
      </c>
      <c r="B87" s="4">
        <v>0</v>
      </c>
      <c r="C87" s="4">
        <v>0</v>
      </c>
      <c r="D87" s="4">
        <v>1</v>
      </c>
      <c r="E87" s="4">
        <v>229</v>
      </c>
      <c r="F87" s="4">
        <f>ROUND(Source!AZ76,O87)</f>
        <v>0</v>
      </c>
      <c r="G87" s="4" t="s">
        <v>128</v>
      </c>
      <c r="H87" s="4" t="s">
        <v>129</v>
      </c>
      <c r="I87" s="4"/>
      <c r="J87" s="4"/>
      <c r="K87" s="4">
        <v>229</v>
      </c>
      <c r="L87" s="4">
        <v>10</v>
      </c>
      <c r="M87" s="4">
        <v>3</v>
      </c>
      <c r="N87" s="4" t="s">
        <v>6</v>
      </c>
      <c r="O87" s="4">
        <v>2</v>
      </c>
      <c r="P87" s="4"/>
      <c r="Q87" s="4"/>
      <c r="R87" s="4"/>
      <c r="S87" s="4"/>
      <c r="T87" s="4"/>
      <c r="U87" s="4"/>
      <c r="V87" s="4"/>
      <c r="W87" s="4"/>
    </row>
    <row r="88" spans="1:23" x14ac:dyDescent="0.2">
      <c r="A88" s="4">
        <v>50</v>
      </c>
      <c r="B88" s="4">
        <v>0</v>
      </c>
      <c r="C88" s="4">
        <v>0</v>
      </c>
      <c r="D88" s="4">
        <v>1</v>
      </c>
      <c r="E88" s="4">
        <v>203</v>
      </c>
      <c r="F88" s="4">
        <f>ROUND(Source!Q76,O88)</f>
        <v>5811.06</v>
      </c>
      <c r="G88" s="4" t="s">
        <v>130</v>
      </c>
      <c r="H88" s="4" t="s">
        <v>131</v>
      </c>
      <c r="I88" s="4"/>
      <c r="J88" s="4"/>
      <c r="K88" s="4">
        <v>203</v>
      </c>
      <c r="L88" s="4">
        <v>11</v>
      </c>
      <c r="M88" s="4">
        <v>3</v>
      </c>
      <c r="N88" s="4" t="s">
        <v>6</v>
      </c>
      <c r="O88" s="4">
        <v>2</v>
      </c>
      <c r="P88" s="4"/>
      <c r="Q88" s="4"/>
      <c r="R88" s="4"/>
      <c r="S88" s="4"/>
      <c r="T88" s="4"/>
      <c r="U88" s="4"/>
      <c r="V88" s="4"/>
      <c r="W88" s="4"/>
    </row>
    <row r="89" spans="1:23" x14ac:dyDescent="0.2">
      <c r="A89" s="4">
        <v>50</v>
      </c>
      <c r="B89" s="4">
        <v>0</v>
      </c>
      <c r="C89" s="4">
        <v>0</v>
      </c>
      <c r="D89" s="4">
        <v>1</v>
      </c>
      <c r="E89" s="4">
        <v>231</v>
      </c>
      <c r="F89" s="4">
        <f>ROUND(Source!BB76,O89)</f>
        <v>0</v>
      </c>
      <c r="G89" s="4" t="s">
        <v>132</v>
      </c>
      <c r="H89" s="4" t="s">
        <v>133</v>
      </c>
      <c r="I89" s="4"/>
      <c r="J89" s="4"/>
      <c r="K89" s="4">
        <v>231</v>
      </c>
      <c r="L89" s="4">
        <v>12</v>
      </c>
      <c r="M89" s="4">
        <v>3</v>
      </c>
      <c r="N89" s="4" t="s">
        <v>6</v>
      </c>
      <c r="O89" s="4">
        <v>2</v>
      </c>
      <c r="P89" s="4"/>
      <c r="Q89" s="4"/>
      <c r="R89" s="4"/>
      <c r="S89" s="4"/>
      <c r="T89" s="4"/>
      <c r="U89" s="4"/>
      <c r="V89" s="4"/>
      <c r="W89" s="4"/>
    </row>
    <row r="90" spans="1:23" x14ac:dyDescent="0.2">
      <c r="A90" s="4">
        <v>50</v>
      </c>
      <c r="B90" s="4">
        <v>0</v>
      </c>
      <c r="C90" s="4">
        <v>0</v>
      </c>
      <c r="D90" s="4">
        <v>1</v>
      </c>
      <c r="E90" s="4">
        <v>204</v>
      </c>
      <c r="F90" s="4">
        <f>ROUND(Source!R76,O90)</f>
        <v>1751.29</v>
      </c>
      <c r="G90" s="4" t="s">
        <v>134</v>
      </c>
      <c r="H90" s="4" t="s">
        <v>135</v>
      </c>
      <c r="I90" s="4"/>
      <c r="J90" s="4"/>
      <c r="K90" s="4">
        <v>204</v>
      </c>
      <c r="L90" s="4">
        <v>13</v>
      </c>
      <c r="M90" s="4">
        <v>3</v>
      </c>
      <c r="N90" s="4" t="s">
        <v>6</v>
      </c>
      <c r="O90" s="4">
        <v>2</v>
      </c>
      <c r="P90" s="4"/>
      <c r="Q90" s="4"/>
      <c r="R90" s="4"/>
      <c r="S90" s="4"/>
      <c r="T90" s="4"/>
      <c r="U90" s="4"/>
      <c r="V90" s="4"/>
      <c r="W90" s="4"/>
    </row>
    <row r="91" spans="1:23" x14ac:dyDescent="0.2">
      <c r="A91" s="4">
        <v>50</v>
      </c>
      <c r="B91" s="4">
        <v>0</v>
      </c>
      <c r="C91" s="4">
        <v>0</v>
      </c>
      <c r="D91" s="4">
        <v>1</v>
      </c>
      <c r="E91" s="4">
        <v>205</v>
      </c>
      <c r="F91" s="4">
        <f>ROUND(Source!S76,O91)</f>
        <v>49905.17</v>
      </c>
      <c r="G91" s="4" t="s">
        <v>136</v>
      </c>
      <c r="H91" s="4" t="s">
        <v>137</v>
      </c>
      <c r="I91" s="4"/>
      <c r="J91" s="4"/>
      <c r="K91" s="4">
        <v>205</v>
      </c>
      <c r="L91" s="4">
        <v>14</v>
      </c>
      <c r="M91" s="4">
        <v>3</v>
      </c>
      <c r="N91" s="4" t="s">
        <v>6</v>
      </c>
      <c r="O91" s="4">
        <v>2</v>
      </c>
      <c r="P91" s="4"/>
      <c r="Q91" s="4"/>
      <c r="R91" s="4"/>
      <c r="S91" s="4"/>
      <c r="T91" s="4"/>
      <c r="U91" s="4"/>
      <c r="V91" s="4"/>
      <c r="W91" s="4"/>
    </row>
    <row r="92" spans="1:23" x14ac:dyDescent="0.2">
      <c r="A92" s="4">
        <v>50</v>
      </c>
      <c r="B92" s="4">
        <v>0</v>
      </c>
      <c r="C92" s="4">
        <v>0</v>
      </c>
      <c r="D92" s="4">
        <v>1</v>
      </c>
      <c r="E92" s="4">
        <v>232</v>
      </c>
      <c r="F92" s="4">
        <f>ROUND(Source!BC76,O92)</f>
        <v>0</v>
      </c>
      <c r="G92" s="4" t="s">
        <v>138</v>
      </c>
      <c r="H92" s="4" t="s">
        <v>139</v>
      </c>
      <c r="I92" s="4"/>
      <c r="J92" s="4"/>
      <c r="K92" s="4">
        <v>232</v>
      </c>
      <c r="L92" s="4">
        <v>15</v>
      </c>
      <c r="M92" s="4">
        <v>3</v>
      </c>
      <c r="N92" s="4" t="s">
        <v>6</v>
      </c>
      <c r="O92" s="4">
        <v>2</v>
      </c>
      <c r="P92" s="4"/>
      <c r="Q92" s="4"/>
      <c r="R92" s="4"/>
      <c r="S92" s="4"/>
      <c r="T92" s="4"/>
      <c r="U92" s="4"/>
      <c r="V92" s="4"/>
      <c r="W92" s="4"/>
    </row>
    <row r="93" spans="1:23" x14ac:dyDescent="0.2">
      <c r="A93" s="4">
        <v>50</v>
      </c>
      <c r="B93" s="4">
        <v>0</v>
      </c>
      <c r="C93" s="4">
        <v>0</v>
      </c>
      <c r="D93" s="4">
        <v>1</v>
      </c>
      <c r="E93" s="4">
        <v>214</v>
      </c>
      <c r="F93" s="4">
        <f>ROUND(Source!AS76,O93)</f>
        <v>985498.78</v>
      </c>
      <c r="G93" s="4" t="s">
        <v>140</v>
      </c>
      <c r="H93" s="4" t="s">
        <v>141</v>
      </c>
      <c r="I93" s="4"/>
      <c r="J93" s="4"/>
      <c r="K93" s="4">
        <v>214</v>
      </c>
      <c r="L93" s="4">
        <v>16</v>
      </c>
      <c r="M93" s="4">
        <v>3</v>
      </c>
      <c r="N93" s="4" t="s">
        <v>6</v>
      </c>
      <c r="O93" s="4">
        <v>2</v>
      </c>
      <c r="P93" s="4"/>
      <c r="Q93" s="4"/>
      <c r="R93" s="4"/>
      <c r="S93" s="4"/>
      <c r="T93" s="4"/>
      <c r="U93" s="4"/>
      <c r="V93" s="4"/>
      <c r="W93" s="4"/>
    </row>
    <row r="94" spans="1:23" x14ac:dyDescent="0.2">
      <c r="A94" s="4">
        <v>50</v>
      </c>
      <c r="B94" s="4">
        <v>0</v>
      </c>
      <c r="C94" s="4">
        <v>0</v>
      </c>
      <c r="D94" s="4">
        <v>1</v>
      </c>
      <c r="E94" s="4">
        <v>215</v>
      </c>
      <c r="F94" s="4">
        <f>ROUND(Source!AT76,O94)</f>
        <v>0</v>
      </c>
      <c r="G94" s="4" t="s">
        <v>142</v>
      </c>
      <c r="H94" s="4" t="s">
        <v>143</v>
      </c>
      <c r="I94" s="4"/>
      <c r="J94" s="4"/>
      <c r="K94" s="4">
        <v>215</v>
      </c>
      <c r="L94" s="4">
        <v>17</v>
      </c>
      <c r="M94" s="4">
        <v>3</v>
      </c>
      <c r="N94" s="4" t="s">
        <v>6</v>
      </c>
      <c r="O94" s="4">
        <v>2</v>
      </c>
      <c r="P94" s="4"/>
      <c r="Q94" s="4"/>
      <c r="R94" s="4"/>
      <c r="S94" s="4"/>
      <c r="T94" s="4"/>
      <c r="U94" s="4"/>
      <c r="V94" s="4"/>
      <c r="W94" s="4"/>
    </row>
    <row r="95" spans="1:23" x14ac:dyDescent="0.2">
      <c r="A95" s="4">
        <v>50</v>
      </c>
      <c r="B95" s="4">
        <v>0</v>
      </c>
      <c r="C95" s="4">
        <v>0</v>
      </c>
      <c r="D95" s="4">
        <v>1</v>
      </c>
      <c r="E95" s="4">
        <v>217</v>
      </c>
      <c r="F95" s="4">
        <f>ROUND(Source!AU76,O95)</f>
        <v>0</v>
      </c>
      <c r="G95" s="4" t="s">
        <v>144</v>
      </c>
      <c r="H95" s="4" t="s">
        <v>145</v>
      </c>
      <c r="I95" s="4"/>
      <c r="J95" s="4"/>
      <c r="K95" s="4">
        <v>217</v>
      </c>
      <c r="L95" s="4">
        <v>18</v>
      </c>
      <c r="M95" s="4">
        <v>3</v>
      </c>
      <c r="N95" s="4" t="s">
        <v>6</v>
      </c>
      <c r="O95" s="4">
        <v>2</v>
      </c>
      <c r="P95" s="4"/>
      <c r="Q95" s="4"/>
      <c r="R95" s="4"/>
      <c r="S95" s="4"/>
      <c r="T95" s="4"/>
      <c r="U95" s="4"/>
      <c r="V95" s="4"/>
      <c r="W95" s="4"/>
    </row>
    <row r="96" spans="1:23" x14ac:dyDescent="0.2">
      <c r="A96" s="4">
        <v>50</v>
      </c>
      <c r="B96" s="4">
        <v>0</v>
      </c>
      <c r="C96" s="4">
        <v>0</v>
      </c>
      <c r="D96" s="4">
        <v>1</v>
      </c>
      <c r="E96" s="4">
        <v>230</v>
      </c>
      <c r="F96" s="4">
        <f>ROUND(Source!BA76,O96)</f>
        <v>0</v>
      </c>
      <c r="G96" s="4" t="s">
        <v>146</v>
      </c>
      <c r="H96" s="4" t="s">
        <v>147</v>
      </c>
      <c r="I96" s="4"/>
      <c r="J96" s="4"/>
      <c r="K96" s="4">
        <v>230</v>
      </c>
      <c r="L96" s="4">
        <v>19</v>
      </c>
      <c r="M96" s="4">
        <v>3</v>
      </c>
      <c r="N96" s="4" t="s">
        <v>6</v>
      </c>
      <c r="O96" s="4">
        <v>2</v>
      </c>
      <c r="P96" s="4"/>
      <c r="Q96" s="4"/>
      <c r="R96" s="4"/>
      <c r="S96" s="4"/>
      <c r="T96" s="4"/>
      <c r="U96" s="4"/>
      <c r="V96" s="4"/>
      <c r="W96" s="4"/>
    </row>
    <row r="97" spans="1:23" x14ac:dyDescent="0.2">
      <c r="A97" s="4">
        <v>50</v>
      </c>
      <c r="B97" s="4">
        <v>0</v>
      </c>
      <c r="C97" s="4">
        <v>0</v>
      </c>
      <c r="D97" s="4">
        <v>1</v>
      </c>
      <c r="E97" s="4">
        <v>206</v>
      </c>
      <c r="F97" s="4">
        <f>ROUND(Source!T76,O97)</f>
        <v>0</v>
      </c>
      <c r="G97" s="4" t="s">
        <v>148</v>
      </c>
      <c r="H97" s="4" t="s">
        <v>149</v>
      </c>
      <c r="I97" s="4"/>
      <c r="J97" s="4"/>
      <c r="K97" s="4">
        <v>206</v>
      </c>
      <c r="L97" s="4">
        <v>20</v>
      </c>
      <c r="M97" s="4">
        <v>3</v>
      </c>
      <c r="N97" s="4" t="s">
        <v>6</v>
      </c>
      <c r="O97" s="4">
        <v>2</v>
      </c>
      <c r="P97" s="4"/>
      <c r="Q97" s="4"/>
      <c r="R97" s="4"/>
      <c r="S97" s="4"/>
      <c r="T97" s="4"/>
      <c r="U97" s="4"/>
      <c r="V97" s="4"/>
      <c r="W97" s="4"/>
    </row>
    <row r="98" spans="1:23" x14ac:dyDescent="0.2">
      <c r="A98" s="4">
        <v>50</v>
      </c>
      <c r="B98" s="4">
        <v>0</v>
      </c>
      <c r="C98" s="4">
        <v>0</v>
      </c>
      <c r="D98" s="4">
        <v>1</v>
      </c>
      <c r="E98" s="4">
        <v>207</v>
      </c>
      <c r="F98" s="4">
        <f>Source!U76</f>
        <v>881.46275200000002</v>
      </c>
      <c r="G98" s="4" t="s">
        <v>150</v>
      </c>
      <c r="H98" s="4" t="s">
        <v>151</v>
      </c>
      <c r="I98" s="4"/>
      <c r="J98" s="4"/>
      <c r="K98" s="4">
        <v>207</v>
      </c>
      <c r="L98" s="4">
        <v>21</v>
      </c>
      <c r="M98" s="4">
        <v>3</v>
      </c>
      <c r="N98" s="4" t="s">
        <v>6</v>
      </c>
      <c r="O98" s="4">
        <v>-1</v>
      </c>
      <c r="P98" s="4"/>
      <c r="Q98" s="4"/>
      <c r="R98" s="4"/>
      <c r="S98" s="4"/>
      <c r="T98" s="4"/>
      <c r="U98" s="4"/>
      <c r="V98" s="4"/>
      <c r="W98" s="4"/>
    </row>
    <row r="99" spans="1:23" x14ac:dyDescent="0.2">
      <c r="A99" s="4">
        <v>50</v>
      </c>
      <c r="B99" s="4">
        <v>0</v>
      </c>
      <c r="C99" s="4">
        <v>0</v>
      </c>
      <c r="D99" s="4">
        <v>1</v>
      </c>
      <c r="E99" s="4">
        <v>208</v>
      </c>
      <c r="F99" s="4">
        <f>Source!V76</f>
        <v>20.713344000000003</v>
      </c>
      <c r="G99" s="4" t="s">
        <v>152</v>
      </c>
      <c r="H99" s="4" t="s">
        <v>153</v>
      </c>
      <c r="I99" s="4"/>
      <c r="J99" s="4"/>
      <c r="K99" s="4">
        <v>208</v>
      </c>
      <c r="L99" s="4">
        <v>22</v>
      </c>
      <c r="M99" s="4">
        <v>3</v>
      </c>
      <c r="N99" s="4" t="s">
        <v>6</v>
      </c>
      <c r="O99" s="4">
        <v>-1</v>
      </c>
      <c r="P99" s="4"/>
      <c r="Q99" s="4"/>
      <c r="R99" s="4"/>
      <c r="S99" s="4"/>
      <c r="T99" s="4"/>
      <c r="U99" s="4"/>
      <c r="V99" s="4"/>
      <c r="W99" s="4"/>
    </row>
    <row r="100" spans="1:23" x14ac:dyDescent="0.2">
      <c r="A100" s="4">
        <v>50</v>
      </c>
      <c r="B100" s="4">
        <v>0</v>
      </c>
      <c r="C100" s="4">
        <v>0</v>
      </c>
      <c r="D100" s="4">
        <v>1</v>
      </c>
      <c r="E100" s="4">
        <v>209</v>
      </c>
      <c r="F100" s="4">
        <f>ROUND(Source!W76,O100)</f>
        <v>0</v>
      </c>
      <c r="G100" s="4" t="s">
        <v>154</v>
      </c>
      <c r="H100" s="4" t="s">
        <v>155</v>
      </c>
      <c r="I100" s="4"/>
      <c r="J100" s="4"/>
      <c r="K100" s="4">
        <v>209</v>
      </c>
      <c r="L100" s="4">
        <v>23</v>
      </c>
      <c r="M100" s="4">
        <v>3</v>
      </c>
      <c r="N100" s="4" t="s">
        <v>6</v>
      </c>
      <c r="O100" s="4">
        <v>2</v>
      </c>
      <c r="P100" s="4"/>
      <c r="Q100" s="4"/>
      <c r="R100" s="4"/>
      <c r="S100" s="4"/>
      <c r="T100" s="4"/>
      <c r="U100" s="4"/>
      <c r="V100" s="4"/>
      <c r="W100" s="4"/>
    </row>
    <row r="101" spans="1:23" x14ac:dyDescent="0.2">
      <c r="A101" s="4">
        <v>50</v>
      </c>
      <c r="B101" s="4">
        <v>0</v>
      </c>
      <c r="C101" s="4">
        <v>0</v>
      </c>
      <c r="D101" s="4">
        <v>1</v>
      </c>
      <c r="E101" s="4">
        <v>210</v>
      </c>
      <c r="F101" s="4">
        <f>ROUND(Source!X76,O101)</f>
        <v>51302.89</v>
      </c>
      <c r="G101" s="4" t="s">
        <v>156</v>
      </c>
      <c r="H101" s="4" t="s">
        <v>157</v>
      </c>
      <c r="I101" s="4"/>
      <c r="J101" s="4"/>
      <c r="K101" s="4">
        <v>210</v>
      </c>
      <c r="L101" s="4">
        <v>24</v>
      </c>
      <c r="M101" s="4">
        <v>3</v>
      </c>
      <c r="N101" s="4" t="s">
        <v>6</v>
      </c>
      <c r="O101" s="4">
        <v>2</v>
      </c>
      <c r="P101" s="4"/>
      <c r="Q101" s="4"/>
      <c r="R101" s="4"/>
      <c r="S101" s="4"/>
      <c r="T101" s="4"/>
      <c r="U101" s="4"/>
      <c r="V101" s="4"/>
      <c r="W101" s="4"/>
    </row>
    <row r="102" spans="1:23" x14ac:dyDescent="0.2">
      <c r="A102" s="4">
        <v>50</v>
      </c>
      <c r="B102" s="4">
        <v>0</v>
      </c>
      <c r="C102" s="4">
        <v>0</v>
      </c>
      <c r="D102" s="4">
        <v>1</v>
      </c>
      <c r="E102" s="4">
        <v>211</v>
      </c>
      <c r="F102" s="4">
        <f>ROUND(Source!Y76,O102)</f>
        <v>28171.83</v>
      </c>
      <c r="G102" s="4" t="s">
        <v>158</v>
      </c>
      <c r="H102" s="4" t="s">
        <v>159</v>
      </c>
      <c r="I102" s="4"/>
      <c r="J102" s="4"/>
      <c r="K102" s="4">
        <v>211</v>
      </c>
      <c r="L102" s="4">
        <v>25</v>
      </c>
      <c r="M102" s="4">
        <v>3</v>
      </c>
      <c r="N102" s="4" t="s">
        <v>6</v>
      </c>
      <c r="O102" s="4">
        <v>2</v>
      </c>
      <c r="P102" s="4"/>
      <c r="Q102" s="4"/>
      <c r="R102" s="4"/>
      <c r="S102" s="4"/>
      <c r="T102" s="4"/>
      <c r="U102" s="4"/>
      <c r="V102" s="4"/>
      <c r="W102" s="4"/>
    </row>
    <row r="103" spans="1:23" x14ac:dyDescent="0.2">
      <c r="A103" s="4">
        <v>50</v>
      </c>
      <c r="B103" s="4">
        <v>0</v>
      </c>
      <c r="C103" s="4">
        <v>0</v>
      </c>
      <c r="D103" s="4">
        <v>1</v>
      </c>
      <c r="E103" s="4">
        <v>0</v>
      </c>
      <c r="F103" s="4">
        <f>ROUND(Source!AR76,O103)</f>
        <v>985498.78</v>
      </c>
      <c r="G103" s="4" t="s">
        <v>160</v>
      </c>
      <c r="H103" s="4" t="s">
        <v>161</v>
      </c>
      <c r="I103" s="4"/>
      <c r="J103" s="4"/>
      <c r="K103" s="4">
        <v>224</v>
      </c>
      <c r="L103" s="4">
        <v>26</v>
      </c>
      <c r="M103" s="4">
        <v>3</v>
      </c>
      <c r="N103" s="4" t="s">
        <v>6</v>
      </c>
      <c r="O103" s="4">
        <v>2</v>
      </c>
      <c r="P103" s="4"/>
      <c r="Q103" s="4"/>
      <c r="R103" s="4"/>
      <c r="S103" s="4"/>
      <c r="T103" s="4"/>
      <c r="U103" s="4"/>
      <c r="V103" s="4"/>
      <c r="W103" s="4"/>
    </row>
    <row r="104" spans="1:23" x14ac:dyDescent="0.2">
      <c r="A104" s="4">
        <v>50</v>
      </c>
      <c r="B104" s="4">
        <v>1</v>
      </c>
      <c r="C104" s="4">
        <v>0</v>
      </c>
      <c r="D104" s="4">
        <v>2</v>
      </c>
      <c r="E104" s="4">
        <v>0</v>
      </c>
      <c r="F104" s="4">
        <f>ROUND(F103,O104)</f>
        <v>985498.78</v>
      </c>
      <c r="G104" s="4" t="s">
        <v>162</v>
      </c>
      <c r="H104" s="4" t="s">
        <v>160</v>
      </c>
      <c r="I104" s="4"/>
      <c r="J104" s="4"/>
      <c r="K104" s="4">
        <v>212</v>
      </c>
      <c r="L104" s="4">
        <v>27</v>
      </c>
      <c r="M104" s="4">
        <v>0</v>
      </c>
      <c r="N104" s="4" t="s">
        <v>6</v>
      </c>
      <c r="O104" s="4">
        <v>2</v>
      </c>
      <c r="P104" s="4"/>
      <c r="Q104" s="4"/>
      <c r="R104" s="4"/>
      <c r="S104" s="4"/>
      <c r="T104" s="4"/>
      <c r="U104" s="4"/>
      <c r="V104" s="4"/>
      <c r="W104" s="4"/>
    </row>
    <row r="105" spans="1:23" x14ac:dyDescent="0.2">
      <c r="A105" s="4">
        <v>50</v>
      </c>
      <c r="B105" s="4">
        <v>1</v>
      </c>
      <c r="C105" s="4">
        <v>0</v>
      </c>
      <c r="D105" s="4">
        <v>2</v>
      </c>
      <c r="E105" s="4">
        <v>0</v>
      </c>
      <c r="F105" s="4">
        <f>ROUND(F104*0.18,O105)</f>
        <v>177389.78</v>
      </c>
      <c r="G105" s="4" t="s">
        <v>163</v>
      </c>
      <c r="H105" s="4" t="s">
        <v>164</v>
      </c>
      <c r="I105" s="4"/>
      <c r="J105" s="4"/>
      <c r="K105" s="4">
        <v>212</v>
      </c>
      <c r="L105" s="4">
        <v>28</v>
      </c>
      <c r="M105" s="4">
        <v>0</v>
      </c>
      <c r="N105" s="4" t="s">
        <v>6</v>
      </c>
      <c r="O105" s="4">
        <v>2</v>
      </c>
      <c r="P105" s="4"/>
      <c r="Q105" s="4"/>
      <c r="R105" s="4"/>
      <c r="S105" s="4"/>
      <c r="T105" s="4"/>
      <c r="U105" s="4"/>
      <c r="V105" s="4"/>
      <c r="W105" s="4"/>
    </row>
    <row r="106" spans="1:23" x14ac:dyDescent="0.2">
      <c r="A106" s="4">
        <v>50</v>
      </c>
      <c r="B106" s="4">
        <v>1</v>
      </c>
      <c r="C106" s="4">
        <v>0</v>
      </c>
      <c r="D106" s="4">
        <v>2</v>
      </c>
      <c r="E106" s="4">
        <v>224</v>
      </c>
      <c r="F106" s="4">
        <f>ROUND(F104+F105,O106)</f>
        <v>1162888.56</v>
      </c>
      <c r="G106" s="4" t="s">
        <v>165</v>
      </c>
      <c r="H106" s="4" t="s">
        <v>166</v>
      </c>
      <c r="I106" s="4"/>
      <c r="J106" s="4"/>
      <c r="K106" s="4">
        <v>212</v>
      </c>
      <c r="L106" s="4">
        <v>29</v>
      </c>
      <c r="M106" s="4">
        <v>0</v>
      </c>
      <c r="N106" s="4" t="s">
        <v>6</v>
      </c>
      <c r="O106" s="4">
        <v>2</v>
      </c>
      <c r="P106" s="4"/>
      <c r="Q106" s="4"/>
      <c r="R106" s="4"/>
      <c r="S106" s="4"/>
      <c r="T106" s="4"/>
      <c r="U106" s="4"/>
      <c r="V106" s="4"/>
      <c r="W106" s="4"/>
    </row>
    <row r="109" spans="1:23" x14ac:dyDescent="0.2">
      <c r="A109">
        <v>70</v>
      </c>
      <c r="B109">
        <v>1</v>
      </c>
      <c r="D109">
        <v>1</v>
      </c>
      <c r="E109" t="s">
        <v>167</v>
      </c>
      <c r="F109" t="s">
        <v>168</v>
      </c>
      <c r="G109">
        <v>0</v>
      </c>
      <c r="H109">
        <v>0</v>
      </c>
      <c r="I109" t="s">
        <v>6</v>
      </c>
      <c r="J109">
        <v>1</v>
      </c>
      <c r="K109">
        <v>0</v>
      </c>
      <c r="L109" t="s">
        <v>6</v>
      </c>
      <c r="M109" t="s">
        <v>6</v>
      </c>
      <c r="N109">
        <v>0</v>
      </c>
    </row>
    <row r="110" spans="1:23" x14ac:dyDescent="0.2">
      <c r="A110">
        <v>70</v>
      </c>
      <c r="B110">
        <v>1</v>
      </c>
      <c r="D110">
        <v>2</v>
      </c>
      <c r="E110" t="s">
        <v>169</v>
      </c>
      <c r="F110" t="s">
        <v>170</v>
      </c>
      <c r="G110">
        <v>1</v>
      </c>
      <c r="H110">
        <v>0</v>
      </c>
      <c r="I110" t="s">
        <v>6</v>
      </c>
      <c r="J110">
        <v>1</v>
      </c>
      <c r="K110">
        <v>0</v>
      </c>
      <c r="L110" t="s">
        <v>6</v>
      </c>
      <c r="M110" t="s">
        <v>6</v>
      </c>
      <c r="N110">
        <v>0</v>
      </c>
    </row>
    <row r="111" spans="1:23" x14ac:dyDescent="0.2">
      <c r="A111">
        <v>70</v>
      </c>
      <c r="B111">
        <v>1</v>
      </c>
      <c r="D111">
        <v>3</v>
      </c>
      <c r="E111" t="s">
        <v>171</v>
      </c>
      <c r="F111" t="s">
        <v>172</v>
      </c>
      <c r="G111">
        <v>0</v>
      </c>
      <c r="H111">
        <v>0</v>
      </c>
      <c r="I111" t="s">
        <v>6</v>
      </c>
      <c r="J111">
        <v>1</v>
      </c>
      <c r="K111">
        <v>0</v>
      </c>
      <c r="L111" t="s">
        <v>6</v>
      </c>
      <c r="M111" t="s">
        <v>6</v>
      </c>
      <c r="N111">
        <v>0</v>
      </c>
    </row>
    <row r="112" spans="1:23" x14ac:dyDescent="0.2">
      <c r="A112">
        <v>70</v>
      </c>
      <c r="B112">
        <v>1</v>
      </c>
      <c r="D112">
        <v>4</v>
      </c>
      <c r="E112" t="s">
        <v>173</v>
      </c>
      <c r="F112" t="s">
        <v>174</v>
      </c>
      <c r="G112">
        <v>0</v>
      </c>
      <c r="H112">
        <v>0</v>
      </c>
      <c r="I112" t="s">
        <v>175</v>
      </c>
      <c r="J112">
        <v>0</v>
      </c>
      <c r="K112">
        <v>0</v>
      </c>
      <c r="L112" t="s">
        <v>6</v>
      </c>
      <c r="M112" t="s">
        <v>6</v>
      </c>
      <c r="N112">
        <v>0</v>
      </c>
    </row>
    <row r="113" spans="1:14" x14ac:dyDescent="0.2">
      <c r="A113">
        <v>70</v>
      </c>
      <c r="B113">
        <v>1</v>
      </c>
      <c r="D113">
        <v>5</v>
      </c>
      <c r="E113" t="s">
        <v>176</v>
      </c>
      <c r="F113" t="s">
        <v>177</v>
      </c>
      <c r="G113">
        <v>0</v>
      </c>
      <c r="H113">
        <v>0</v>
      </c>
      <c r="I113" t="s">
        <v>178</v>
      </c>
      <c r="J113">
        <v>0</v>
      </c>
      <c r="K113">
        <v>0</v>
      </c>
      <c r="L113" t="s">
        <v>6</v>
      </c>
      <c r="M113" t="s">
        <v>6</v>
      </c>
      <c r="N113">
        <v>0</v>
      </c>
    </row>
    <row r="114" spans="1:14" x14ac:dyDescent="0.2">
      <c r="A114">
        <v>70</v>
      </c>
      <c r="B114">
        <v>1</v>
      </c>
      <c r="D114">
        <v>6</v>
      </c>
      <c r="E114" t="s">
        <v>179</v>
      </c>
      <c r="F114" t="s">
        <v>180</v>
      </c>
      <c r="G114">
        <v>0</v>
      </c>
      <c r="H114">
        <v>0</v>
      </c>
      <c r="I114" t="s">
        <v>181</v>
      </c>
      <c r="J114">
        <v>0</v>
      </c>
      <c r="K114">
        <v>0</v>
      </c>
      <c r="L114" t="s">
        <v>6</v>
      </c>
      <c r="M114" t="s">
        <v>6</v>
      </c>
      <c r="N114">
        <v>0</v>
      </c>
    </row>
    <row r="115" spans="1:14" x14ac:dyDescent="0.2">
      <c r="A115">
        <v>70</v>
      </c>
      <c r="B115">
        <v>1</v>
      </c>
      <c r="D115">
        <v>7</v>
      </c>
      <c r="E115" t="s">
        <v>182</v>
      </c>
      <c r="F115" t="s">
        <v>183</v>
      </c>
      <c r="G115">
        <v>0</v>
      </c>
      <c r="H115">
        <v>0</v>
      </c>
      <c r="I115" t="s">
        <v>6</v>
      </c>
      <c r="J115">
        <v>0</v>
      </c>
      <c r="K115">
        <v>0</v>
      </c>
      <c r="L115" t="s">
        <v>6</v>
      </c>
      <c r="M115" t="s">
        <v>6</v>
      </c>
      <c r="N115">
        <v>0</v>
      </c>
    </row>
    <row r="116" spans="1:14" x14ac:dyDescent="0.2">
      <c r="A116">
        <v>70</v>
      </c>
      <c r="B116">
        <v>1</v>
      </c>
      <c r="D116">
        <v>8</v>
      </c>
      <c r="E116" t="s">
        <v>184</v>
      </c>
      <c r="F116" t="s">
        <v>185</v>
      </c>
      <c r="G116">
        <v>0</v>
      </c>
      <c r="H116">
        <v>0</v>
      </c>
      <c r="I116" t="s">
        <v>186</v>
      </c>
      <c r="J116">
        <v>0</v>
      </c>
      <c r="K116">
        <v>0</v>
      </c>
      <c r="L116" t="s">
        <v>6</v>
      </c>
      <c r="M116" t="s">
        <v>6</v>
      </c>
      <c r="N116">
        <v>0</v>
      </c>
    </row>
    <row r="117" spans="1:14" x14ac:dyDescent="0.2">
      <c r="A117">
        <v>70</v>
      </c>
      <c r="B117">
        <v>1</v>
      </c>
      <c r="D117">
        <v>9</v>
      </c>
      <c r="E117" t="s">
        <v>187</v>
      </c>
      <c r="F117" t="s">
        <v>188</v>
      </c>
      <c r="G117">
        <v>0</v>
      </c>
      <c r="H117">
        <v>0</v>
      </c>
      <c r="I117" t="s">
        <v>189</v>
      </c>
      <c r="J117">
        <v>0</v>
      </c>
      <c r="K117">
        <v>0</v>
      </c>
      <c r="L117" t="s">
        <v>6</v>
      </c>
      <c r="M117" t="s">
        <v>6</v>
      </c>
      <c r="N117">
        <v>0</v>
      </c>
    </row>
    <row r="118" spans="1:14" x14ac:dyDescent="0.2">
      <c r="A118">
        <v>70</v>
      </c>
      <c r="B118">
        <v>1</v>
      </c>
      <c r="D118">
        <v>10</v>
      </c>
      <c r="E118" t="s">
        <v>190</v>
      </c>
      <c r="F118" t="s">
        <v>191</v>
      </c>
      <c r="G118">
        <v>0</v>
      </c>
      <c r="H118">
        <v>0</v>
      </c>
      <c r="I118" t="s">
        <v>192</v>
      </c>
      <c r="J118">
        <v>0</v>
      </c>
      <c r="K118">
        <v>0</v>
      </c>
      <c r="L118" t="s">
        <v>6</v>
      </c>
      <c r="M118" t="s">
        <v>6</v>
      </c>
      <c r="N118">
        <v>0</v>
      </c>
    </row>
    <row r="119" spans="1:14" x14ac:dyDescent="0.2">
      <c r="A119">
        <v>70</v>
      </c>
      <c r="B119">
        <v>1</v>
      </c>
      <c r="D119">
        <v>11</v>
      </c>
      <c r="E119" t="s">
        <v>193</v>
      </c>
      <c r="F119" t="s">
        <v>194</v>
      </c>
      <c r="G119">
        <v>0</v>
      </c>
      <c r="H119">
        <v>0</v>
      </c>
      <c r="I119" t="s">
        <v>195</v>
      </c>
      <c r="J119">
        <v>0</v>
      </c>
      <c r="K119">
        <v>0</v>
      </c>
      <c r="L119" t="s">
        <v>6</v>
      </c>
      <c r="M119" t="s">
        <v>6</v>
      </c>
      <c r="N119">
        <v>0</v>
      </c>
    </row>
    <row r="120" spans="1:14" x14ac:dyDescent="0.2">
      <c r="A120">
        <v>70</v>
      </c>
      <c r="B120">
        <v>1</v>
      </c>
      <c r="D120">
        <v>12</v>
      </c>
      <c r="E120" t="s">
        <v>196</v>
      </c>
      <c r="F120" t="s">
        <v>197</v>
      </c>
      <c r="G120">
        <v>0</v>
      </c>
      <c r="H120">
        <v>0</v>
      </c>
      <c r="I120" t="s">
        <v>6</v>
      </c>
      <c r="J120">
        <v>0</v>
      </c>
      <c r="K120">
        <v>0</v>
      </c>
      <c r="L120" t="s">
        <v>6</v>
      </c>
      <c r="M120" t="s">
        <v>6</v>
      </c>
      <c r="N120">
        <v>0</v>
      </c>
    </row>
    <row r="121" spans="1:14" x14ac:dyDescent="0.2">
      <c r="A121">
        <v>70</v>
      </c>
      <c r="B121">
        <v>1</v>
      </c>
      <c r="D121">
        <v>1</v>
      </c>
      <c r="E121" t="s">
        <v>198</v>
      </c>
      <c r="F121" t="s">
        <v>199</v>
      </c>
      <c r="G121">
        <v>0.9</v>
      </c>
      <c r="H121">
        <v>1</v>
      </c>
      <c r="I121" t="s">
        <v>200</v>
      </c>
      <c r="J121">
        <v>0</v>
      </c>
      <c r="K121">
        <v>0</v>
      </c>
      <c r="L121" t="s">
        <v>6</v>
      </c>
      <c r="M121" t="s">
        <v>6</v>
      </c>
      <c r="N121">
        <v>0</v>
      </c>
    </row>
    <row r="122" spans="1:14" x14ac:dyDescent="0.2">
      <c r="A122">
        <v>70</v>
      </c>
      <c r="B122">
        <v>1</v>
      </c>
      <c r="D122">
        <v>2</v>
      </c>
      <c r="E122" t="s">
        <v>201</v>
      </c>
      <c r="F122" t="s">
        <v>202</v>
      </c>
      <c r="G122">
        <v>0.85</v>
      </c>
      <c r="H122">
        <v>1</v>
      </c>
      <c r="I122" t="s">
        <v>203</v>
      </c>
      <c r="J122">
        <v>0</v>
      </c>
      <c r="K122">
        <v>0</v>
      </c>
      <c r="L122" t="s">
        <v>6</v>
      </c>
      <c r="M122" t="s">
        <v>6</v>
      </c>
      <c r="N122">
        <v>0</v>
      </c>
    </row>
    <row r="123" spans="1:14" x14ac:dyDescent="0.2">
      <c r="A123">
        <v>70</v>
      </c>
      <c r="B123">
        <v>1</v>
      </c>
      <c r="D123">
        <v>3</v>
      </c>
      <c r="E123" t="s">
        <v>204</v>
      </c>
      <c r="F123" t="s">
        <v>205</v>
      </c>
      <c r="G123">
        <v>1</v>
      </c>
      <c r="H123">
        <v>0.85</v>
      </c>
      <c r="I123" t="s">
        <v>206</v>
      </c>
      <c r="J123">
        <v>0</v>
      </c>
      <c r="K123">
        <v>0</v>
      </c>
      <c r="L123" t="s">
        <v>6</v>
      </c>
      <c r="M123" t="s">
        <v>6</v>
      </c>
      <c r="N123">
        <v>0</v>
      </c>
    </row>
    <row r="124" spans="1:14" x14ac:dyDescent="0.2">
      <c r="A124">
        <v>70</v>
      </c>
      <c r="B124">
        <v>1</v>
      </c>
      <c r="D124">
        <v>4</v>
      </c>
      <c r="E124" t="s">
        <v>207</v>
      </c>
      <c r="F124" t="s">
        <v>208</v>
      </c>
      <c r="G124">
        <v>1</v>
      </c>
      <c r="H124">
        <v>0</v>
      </c>
      <c r="I124" t="s">
        <v>6</v>
      </c>
      <c r="J124">
        <v>0</v>
      </c>
      <c r="K124">
        <v>0</v>
      </c>
      <c r="L124" t="s">
        <v>6</v>
      </c>
      <c r="M124" t="s">
        <v>6</v>
      </c>
      <c r="N124">
        <v>0</v>
      </c>
    </row>
    <row r="125" spans="1:14" x14ac:dyDescent="0.2">
      <c r="A125">
        <v>70</v>
      </c>
      <c r="B125">
        <v>1</v>
      </c>
      <c r="D125">
        <v>5</v>
      </c>
      <c r="E125" t="s">
        <v>209</v>
      </c>
      <c r="F125" t="s">
        <v>210</v>
      </c>
      <c r="G125">
        <v>1</v>
      </c>
      <c r="H125">
        <v>0.8</v>
      </c>
      <c r="I125" t="s">
        <v>211</v>
      </c>
      <c r="J125">
        <v>0</v>
      </c>
      <c r="K125">
        <v>0</v>
      </c>
      <c r="L125" t="s">
        <v>6</v>
      </c>
      <c r="M125" t="s">
        <v>6</v>
      </c>
      <c r="N125">
        <v>0</v>
      </c>
    </row>
    <row r="126" spans="1:14" x14ac:dyDescent="0.2">
      <c r="A126">
        <v>70</v>
      </c>
      <c r="B126">
        <v>1</v>
      </c>
      <c r="D126">
        <v>6</v>
      </c>
      <c r="E126" t="s">
        <v>212</v>
      </c>
      <c r="F126" t="s">
        <v>213</v>
      </c>
      <c r="G126">
        <v>1</v>
      </c>
      <c r="H126">
        <v>0</v>
      </c>
      <c r="I126" t="s">
        <v>6</v>
      </c>
      <c r="J126">
        <v>0</v>
      </c>
      <c r="K126">
        <v>0</v>
      </c>
      <c r="L126" t="s">
        <v>6</v>
      </c>
      <c r="M126" t="s">
        <v>6</v>
      </c>
      <c r="N126">
        <v>0</v>
      </c>
    </row>
    <row r="127" spans="1:14" x14ac:dyDescent="0.2">
      <c r="A127">
        <v>70</v>
      </c>
      <c r="B127">
        <v>1</v>
      </c>
      <c r="D127">
        <v>7</v>
      </c>
      <c r="E127" t="s">
        <v>214</v>
      </c>
      <c r="F127" t="s">
        <v>215</v>
      </c>
      <c r="G127">
        <v>1</v>
      </c>
      <c r="H127">
        <v>0</v>
      </c>
      <c r="I127" t="s">
        <v>6</v>
      </c>
      <c r="J127">
        <v>0</v>
      </c>
      <c r="K127">
        <v>0</v>
      </c>
      <c r="L127" t="s">
        <v>6</v>
      </c>
      <c r="M127" t="s">
        <v>6</v>
      </c>
      <c r="N127">
        <v>0</v>
      </c>
    </row>
    <row r="128" spans="1:14" x14ac:dyDescent="0.2">
      <c r="A128">
        <v>70</v>
      </c>
      <c r="B128">
        <v>1</v>
      </c>
      <c r="D128">
        <v>8</v>
      </c>
      <c r="E128" t="s">
        <v>216</v>
      </c>
      <c r="F128" t="s">
        <v>217</v>
      </c>
      <c r="G128">
        <v>0.7</v>
      </c>
      <c r="H128">
        <v>0</v>
      </c>
      <c r="I128" t="s">
        <v>6</v>
      </c>
      <c r="J128">
        <v>0</v>
      </c>
      <c r="K128">
        <v>0</v>
      </c>
      <c r="L128" t="s">
        <v>6</v>
      </c>
      <c r="M128" t="s">
        <v>6</v>
      </c>
      <c r="N128">
        <v>0</v>
      </c>
    </row>
    <row r="129" spans="1:34" x14ac:dyDescent="0.2">
      <c r="A129">
        <v>70</v>
      </c>
      <c r="B129">
        <v>1</v>
      </c>
      <c r="D129">
        <v>9</v>
      </c>
      <c r="E129" t="s">
        <v>218</v>
      </c>
      <c r="F129" t="s">
        <v>219</v>
      </c>
      <c r="G129">
        <v>0.9</v>
      </c>
      <c r="H129">
        <v>0</v>
      </c>
      <c r="I129" t="s">
        <v>6</v>
      </c>
      <c r="J129">
        <v>0</v>
      </c>
      <c r="K129">
        <v>0</v>
      </c>
      <c r="L129" t="s">
        <v>6</v>
      </c>
      <c r="M129" t="s">
        <v>6</v>
      </c>
      <c r="N129">
        <v>0</v>
      </c>
    </row>
    <row r="130" spans="1:34" x14ac:dyDescent="0.2">
      <c r="A130">
        <v>70</v>
      </c>
      <c r="B130">
        <v>1</v>
      </c>
      <c r="D130">
        <v>10</v>
      </c>
      <c r="E130" t="s">
        <v>220</v>
      </c>
      <c r="F130" t="s">
        <v>221</v>
      </c>
      <c r="G130">
        <v>0.6</v>
      </c>
      <c r="H130">
        <v>0</v>
      </c>
      <c r="I130" t="s">
        <v>6</v>
      </c>
      <c r="J130">
        <v>0</v>
      </c>
      <c r="K130">
        <v>0</v>
      </c>
      <c r="L130" t="s">
        <v>6</v>
      </c>
      <c r="M130" t="s">
        <v>6</v>
      </c>
      <c r="N130">
        <v>0</v>
      </c>
    </row>
    <row r="131" spans="1:34" x14ac:dyDescent="0.2">
      <c r="A131">
        <v>70</v>
      </c>
      <c r="B131">
        <v>1</v>
      </c>
      <c r="D131">
        <v>11</v>
      </c>
      <c r="E131" t="s">
        <v>222</v>
      </c>
      <c r="F131" t="s">
        <v>223</v>
      </c>
      <c r="G131">
        <v>1.2</v>
      </c>
      <c r="H131">
        <v>0</v>
      </c>
      <c r="I131" t="s">
        <v>6</v>
      </c>
      <c r="J131">
        <v>0</v>
      </c>
      <c r="K131">
        <v>0</v>
      </c>
      <c r="L131" t="s">
        <v>6</v>
      </c>
      <c r="M131" t="s">
        <v>6</v>
      </c>
      <c r="N131">
        <v>0</v>
      </c>
    </row>
    <row r="132" spans="1:34" x14ac:dyDescent="0.2">
      <c r="A132">
        <v>70</v>
      </c>
      <c r="B132">
        <v>1</v>
      </c>
      <c r="D132">
        <v>12</v>
      </c>
      <c r="E132" t="s">
        <v>224</v>
      </c>
      <c r="F132" t="s">
        <v>225</v>
      </c>
      <c r="G132">
        <v>0</v>
      </c>
      <c r="H132">
        <v>0</v>
      </c>
      <c r="I132" t="s">
        <v>6</v>
      </c>
      <c r="J132">
        <v>0</v>
      </c>
      <c r="K132">
        <v>0</v>
      </c>
      <c r="L132" t="s">
        <v>6</v>
      </c>
      <c r="M132" t="s">
        <v>6</v>
      </c>
      <c r="N132">
        <v>0</v>
      </c>
    </row>
    <row r="133" spans="1:34" x14ac:dyDescent="0.2">
      <c r="A133">
        <v>70</v>
      </c>
      <c r="B133">
        <v>1</v>
      </c>
      <c r="D133">
        <v>13</v>
      </c>
      <c r="E133" t="s">
        <v>226</v>
      </c>
      <c r="F133" t="s">
        <v>227</v>
      </c>
      <c r="G133">
        <v>1</v>
      </c>
      <c r="H133">
        <v>0</v>
      </c>
      <c r="I133" t="s">
        <v>6</v>
      </c>
      <c r="J133">
        <v>0</v>
      </c>
      <c r="K133">
        <v>0</v>
      </c>
      <c r="L133" t="s">
        <v>6</v>
      </c>
      <c r="M133" t="s">
        <v>6</v>
      </c>
      <c r="N133">
        <v>0</v>
      </c>
    </row>
    <row r="135" spans="1:34" x14ac:dyDescent="0.2">
      <c r="A135">
        <v>-1</v>
      </c>
    </row>
    <row r="137" spans="1:34" x14ac:dyDescent="0.2">
      <c r="A137" s="3">
        <v>75</v>
      </c>
      <c r="B137" s="3" t="s">
        <v>228</v>
      </c>
      <c r="C137" s="3">
        <v>2000</v>
      </c>
      <c r="D137" s="3">
        <v>0</v>
      </c>
      <c r="E137" s="3">
        <v>1</v>
      </c>
      <c r="F137" s="3">
        <v>0</v>
      </c>
      <c r="G137" s="3">
        <v>0</v>
      </c>
      <c r="H137" s="3">
        <v>1</v>
      </c>
      <c r="I137" s="3">
        <v>0</v>
      </c>
      <c r="J137" s="3">
        <v>1</v>
      </c>
      <c r="K137" s="3">
        <v>0</v>
      </c>
      <c r="L137" s="3">
        <v>0</v>
      </c>
      <c r="M137" s="3">
        <v>0</v>
      </c>
      <c r="N137" s="3">
        <v>16496534</v>
      </c>
      <c r="O137" s="3">
        <v>1</v>
      </c>
    </row>
    <row r="138" spans="1:34" x14ac:dyDescent="0.2">
      <c r="A138" s="5">
        <v>3</v>
      </c>
      <c r="B138" s="5" t="s">
        <v>229</v>
      </c>
      <c r="C138" s="5">
        <v>6.57</v>
      </c>
      <c r="D138" s="5">
        <v>1</v>
      </c>
      <c r="E138" s="5">
        <v>1</v>
      </c>
      <c r="F138" s="5">
        <v>1</v>
      </c>
      <c r="G138" s="5">
        <v>1</v>
      </c>
      <c r="H138" s="5">
        <v>1</v>
      </c>
      <c r="I138" s="5">
        <v>1</v>
      </c>
      <c r="J138" s="5">
        <v>1</v>
      </c>
      <c r="K138" s="5">
        <v>1</v>
      </c>
      <c r="L138" s="5">
        <v>1</v>
      </c>
      <c r="M138" s="5">
        <v>6.57</v>
      </c>
      <c r="N138" s="5">
        <v>1</v>
      </c>
      <c r="O138" s="5">
        <v>1</v>
      </c>
      <c r="P138" s="5">
        <v>1</v>
      </c>
      <c r="Q138" s="5">
        <v>1</v>
      </c>
      <c r="R138" s="5">
        <v>1</v>
      </c>
      <c r="S138" s="5" t="s">
        <v>6</v>
      </c>
      <c r="T138" s="5" t="s">
        <v>6</v>
      </c>
      <c r="U138" s="5" t="s">
        <v>6</v>
      </c>
      <c r="V138" s="5" t="s">
        <v>6</v>
      </c>
      <c r="W138" s="5" t="s">
        <v>6</v>
      </c>
      <c r="X138" s="5" t="s">
        <v>6</v>
      </c>
      <c r="Y138" s="5" t="s">
        <v>6</v>
      </c>
      <c r="Z138" s="5" t="s">
        <v>6</v>
      </c>
      <c r="AA138" s="5" t="s">
        <v>6</v>
      </c>
      <c r="AB138" s="5" t="s">
        <v>6</v>
      </c>
      <c r="AC138" s="5" t="s">
        <v>6</v>
      </c>
      <c r="AD138" s="5" t="s">
        <v>6</v>
      </c>
      <c r="AE138" s="5" t="s">
        <v>6</v>
      </c>
      <c r="AF138" s="5" t="s">
        <v>6</v>
      </c>
      <c r="AG138" s="5" t="s">
        <v>6</v>
      </c>
      <c r="AH138" s="5" t="s">
        <v>6</v>
      </c>
    </row>
    <row r="142" spans="1:34" x14ac:dyDescent="0.2">
      <c r="A142">
        <v>65</v>
      </c>
      <c r="C142">
        <v>1</v>
      </c>
      <c r="D142">
        <v>0</v>
      </c>
      <c r="E142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4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230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27251</v>
      </c>
      <c r="M1">
        <v>10</v>
      </c>
    </row>
    <row r="12" spans="1:133" x14ac:dyDescent="0.2">
      <c r="A12" s="1">
        <v>1</v>
      </c>
      <c r="B12" s="1">
        <v>53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524296</v>
      </c>
      <c r="CI12" s="1" t="s">
        <v>6</v>
      </c>
      <c r="CJ12" s="1" t="s">
        <v>6</v>
      </c>
      <c r="CK12" s="1">
        <v>0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16496534</v>
      </c>
      <c r="E14" s="1">
        <v>0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6">
        <v>3</v>
      </c>
      <c r="B16" s="6">
        <v>1</v>
      </c>
      <c r="C16" s="6" t="s">
        <v>12</v>
      </c>
      <c r="D16" s="6" t="s">
        <v>12</v>
      </c>
      <c r="E16" s="7">
        <f>(Source!F61)/1000</f>
        <v>985.49878000000001</v>
      </c>
      <c r="F16" s="7">
        <f>(Source!F62)/1000</f>
        <v>0</v>
      </c>
      <c r="G16" s="7">
        <f>(Source!F53)/1000</f>
        <v>0</v>
      </c>
      <c r="H16" s="7">
        <f>(Source!F63)/1000+(Source!F64)/1000</f>
        <v>0</v>
      </c>
      <c r="I16" s="7">
        <f>E16+F16+G16+H16</f>
        <v>985.49878000000001</v>
      </c>
      <c r="J16" s="7">
        <f>(Source!F59)/1000</f>
        <v>49.905169999999998</v>
      </c>
      <c r="AI16" s="6">
        <v>0</v>
      </c>
      <c r="AJ16" s="6">
        <v>0</v>
      </c>
      <c r="AK16" s="6" t="s">
        <v>6</v>
      </c>
      <c r="AL16" s="6" t="s">
        <v>6</v>
      </c>
      <c r="AM16" s="6" t="s">
        <v>6</v>
      </c>
      <c r="AN16" s="6">
        <v>0</v>
      </c>
      <c r="AO16" s="6" t="s">
        <v>6</v>
      </c>
      <c r="AP16" s="6" t="s">
        <v>6</v>
      </c>
      <c r="AT16" s="7">
        <v>904431.83</v>
      </c>
      <c r="AU16" s="7">
        <v>848715.6</v>
      </c>
      <c r="AV16" s="7">
        <v>0</v>
      </c>
      <c r="AW16" s="7">
        <v>0</v>
      </c>
      <c r="AX16" s="7">
        <v>0</v>
      </c>
      <c r="AY16" s="7">
        <v>5811.06</v>
      </c>
      <c r="AZ16" s="7">
        <v>1751.29</v>
      </c>
      <c r="BA16" s="7">
        <v>49905.17</v>
      </c>
      <c r="BB16" s="7">
        <v>985498.78</v>
      </c>
      <c r="BC16" s="7">
        <v>0</v>
      </c>
      <c r="BD16" s="7">
        <v>0</v>
      </c>
      <c r="BE16" s="7">
        <v>0</v>
      </c>
      <c r="BF16" s="7">
        <v>881.46275200000002</v>
      </c>
      <c r="BG16" s="7">
        <v>20.713344000000003</v>
      </c>
      <c r="BH16" s="7">
        <v>0</v>
      </c>
      <c r="BI16" s="7">
        <v>51302.89</v>
      </c>
      <c r="BJ16" s="7">
        <v>28171.83</v>
      </c>
      <c r="BK16" s="7">
        <v>1162888.56</v>
      </c>
    </row>
    <row r="18" spans="1:19" x14ac:dyDescent="0.2">
      <c r="A18">
        <v>51</v>
      </c>
      <c r="E18" s="8">
        <f>SUMIF(A16:A17,3,E16:E17)</f>
        <v>985.49878000000001</v>
      </c>
      <c r="F18" s="8">
        <f>SUMIF(A16:A17,3,F16:F17)</f>
        <v>0</v>
      </c>
      <c r="G18" s="8">
        <f>SUMIF(A16:A17,3,G16:G17)</f>
        <v>0</v>
      </c>
      <c r="H18" s="8">
        <f>SUMIF(A16:A17,3,H16:H17)</f>
        <v>0</v>
      </c>
      <c r="I18" s="8">
        <f>SUMIF(A16:A17,3,I16:I17)</f>
        <v>985.49878000000001</v>
      </c>
      <c r="J18" s="8">
        <f>SUMIF(A16:A17,3,J16:J17)</f>
        <v>49.905169999999998</v>
      </c>
      <c r="K18" s="8"/>
      <c r="L18" s="8"/>
      <c r="M18" s="8"/>
      <c r="N18" s="8"/>
      <c r="O18" s="8"/>
      <c r="P18" s="8"/>
      <c r="Q18" s="8"/>
      <c r="R18" s="8"/>
      <c r="S18" s="8"/>
    </row>
    <row r="20" spans="1:19" x14ac:dyDescent="0.2">
      <c r="A20" s="4">
        <v>50</v>
      </c>
      <c r="B20" s="4">
        <v>0</v>
      </c>
      <c r="C20" s="4">
        <v>0</v>
      </c>
      <c r="D20" s="4">
        <v>1</v>
      </c>
      <c r="E20" s="4">
        <v>201</v>
      </c>
      <c r="F20" s="4">
        <v>904431.83</v>
      </c>
      <c r="G20" s="4" t="s">
        <v>110</v>
      </c>
      <c r="H20" s="4" t="s">
        <v>111</v>
      </c>
      <c r="I20" s="4"/>
      <c r="J20" s="4"/>
      <c r="K20" s="4">
        <v>201</v>
      </c>
      <c r="L20" s="4">
        <v>1</v>
      </c>
      <c r="M20" s="4">
        <v>3</v>
      </c>
      <c r="N20" s="4" t="s">
        <v>6</v>
      </c>
      <c r="O20" s="4">
        <v>2</v>
      </c>
      <c r="P20" s="4"/>
    </row>
    <row r="21" spans="1:19" x14ac:dyDescent="0.2">
      <c r="A21" s="4">
        <v>50</v>
      </c>
      <c r="B21" s="4">
        <v>0</v>
      </c>
      <c r="C21" s="4">
        <v>0</v>
      </c>
      <c r="D21" s="4">
        <v>1</v>
      </c>
      <c r="E21" s="4">
        <v>202</v>
      </c>
      <c r="F21" s="4">
        <v>848715.6</v>
      </c>
      <c r="G21" s="4" t="s">
        <v>112</v>
      </c>
      <c r="H21" s="4" t="s">
        <v>113</v>
      </c>
      <c r="I21" s="4"/>
      <c r="J21" s="4"/>
      <c r="K21" s="4">
        <v>202</v>
      </c>
      <c r="L21" s="4">
        <v>2</v>
      </c>
      <c r="M21" s="4">
        <v>3</v>
      </c>
      <c r="N21" s="4" t="s">
        <v>6</v>
      </c>
      <c r="O21" s="4">
        <v>2</v>
      </c>
      <c r="P21" s="4"/>
    </row>
    <row r="22" spans="1:19" x14ac:dyDescent="0.2">
      <c r="A22" s="4">
        <v>50</v>
      </c>
      <c r="B22" s="4">
        <v>0</v>
      </c>
      <c r="C22" s="4">
        <v>0</v>
      </c>
      <c r="D22" s="4">
        <v>1</v>
      </c>
      <c r="E22" s="4">
        <v>222</v>
      </c>
      <c r="F22" s="4">
        <v>0</v>
      </c>
      <c r="G22" s="4" t="s">
        <v>114</v>
      </c>
      <c r="H22" s="4" t="s">
        <v>115</v>
      </c>
      <c r="I22" s="4"/>
      <c r="J22" s="4"/>
      <c r="K22" s="4">
        <v>222</v>
      </c>
      <c r="L22" s="4">
        <v>3</v>
      </c>
      <c r="M22" s="4">
        <v>3</v>
      </c>
      <c r="N22" s="4" t="s">
        <v>6</v>
      </c>
      <c r="O22" s="4">
        <v>2</v>
      </c>
      <c r="P22" s="4"/>
    </row>
    <row r="23" spans="1:19" x14ac:dyDescent="0.2">
      <c r="A23" s="4">
        <v>50</v>
      </c>
      <c r="B23" s="4">
        <v>0</v>
      </c>
      <c r="C23" s="4">
        <v>0</v>
      </c>
      <c r="D23" s="4">
        <v>1</v>
      </c>
      <c r="E23" s="4">
        <v>225</v>
      </c>
      <c r="F23" s="4">
        <v>848715.6</v>
      </c>
      <c r="G23" s="4" t="s">
        <v>116</v>
      </c>
      <c r="H23" s="4" t="s">
        <v>117</v>
      </c>
      <c r="I23" s="4"/>
      <c r="J23" s="4"/>
      <c r="K23" s="4">
        <v>225</v>
      </c>
      <c r="L23" s="4">
        <v>4</v>
      </c>
      <c r="M23" s="4">
        <v>3</v>
      </c>
      <c r="N23" s="4" t="s">
        <v>6</v>
      </c>
      <c r="O23" s="4">
        <v>2</v>
      </c>
      <c r="P23" s="4"/>
    </row>
    <row r="24" spans="1:19" x14ac:dyDescent="0.2">
      <c r="A24" s="4">
        <v>50</v>
      </c>
      <c r="B24" s="4">
        <v>0</v>
      </c>
      <c r="C24" s="4">
        <v>0</v>
      </c>
      <c r="D24" s="4">
        <v>1</v>
      </c>
      <c r="E24" s="4">
        <v>226</v>
      </c>
      <c r="F24" s="4">
        <v>848715.6</v>
      </c>
      <c r="G24" s="4" t="s">
        <v>118</v>
      </c>
      <c r="H24" s="4" t="s">
        <v>119</v>
      </c>
      <c r="I24" s="4"/>
      <c r="J24" s="4"/>
      <c r="K24" s="4">
        <v>226</v>
      </c>
      <c r="L24" s="4">
        <v>5</v>
      </c>
      <c r="M24" s="4">
        <v>3</v>
      </c>
      <c r="N24" s="4" t="s">
        <v>6</v>
      </c>
      <c r="O24" s="4">
        <v>2</v>
      </c>
      <c r="P24" s="4"/>
    </row>
    <row r="25" spans="1:19" x14ac:dyDescent="0.2">
      <c r="A25" s="4">
        <v>50</v>
      </c>
      <c r="B25" s="4">
        <v>0</v>
      </c>
      <c r="C25" s="4">
        <v>0</v>
      </c>
      <c r="D25" s="4">
        <v>1</v>
      </c>
      <c r="E25" s="4">
        <v>227</v>
      </c>
      <c r="F25" s="4">
        <v>0</v>
      </c>
      <c r="G25" s="4" t="s">
        <v>120</v>
      </c>
      <c r="H25" s="4" t="s">
        <v>121</v>
      </c>
      <c r="I25" s="4"/>
      <c r="J25" s="4"/>
      <c r="K25" s="4">
        <v>227</v>
      </c>
      <c r="L25" s="4">
        <v>6</v>
      </c>
      <c r="M25" s="4">
        <v>3</v>
      </c>
      <c r="N25" s="4" t="s">
        <v>6</v>
      </c>
      <c r="O25" s="4">
        <v>2</v>
      </c>
      <c r="P25" s="4"/>
    </row>
    <row r="26" spans="1:19" x14ac:dyDescent="0.2">
      <c r="A26" s="4">
        <v>50</v>
      </c>
      <c r="B26" s="4">
        <v>0</v>
      </c>
      <c r="C26" s="4">
        <v>0</v>
      </c>
      <c r="D26" s="4">
        <v>1</v>
      </c>
      <c r="E26" s="4">
        <v>228</v>
      </c>
      <c r="F26" s="4">
        <v>848715.6</v>
      </c>
      <c r="G26" s="4" t="s">
        <v>122</v>
      </c>
      <c r="H26" s="4" t="s">
        <v>123</v>
      </c>
      <c r="I26" s="4"/>
      <c r="J26" s="4"/>
      <c r="K26" s="4">
        <v>228</v>
      </c>
      <c r="L26" s="4">
        <v>7</v>
      </c>
      <c r="M26" s="4">
        <v>3</v>
      </c>
      <c r="N26" s="4" t="s">
        <v>6</v>
      </c>
      <c r="O26" s="4">
        <v>2</v>
      </c>
      <c r="P26" s="4"/>
    </row>
    <row r="27" spans="1:19" x14ac:dyDescent="0.2">
      <c r="A27" s="4">
        <v>50</v>
      </c>
      <c r="B27" s="4">
        <v>0</v>
      </c>
      <c r="C27" s="4">
        <v>0</v>
      </c>
      <c r="D27" s="4">
        <v>1</v>
      </c>
      <c r="E27" s="4">
        <v>216</v>
      </c>
      <c r="F27" s="4">
        <v>0</v>
      </c>
      <c r="G27" s="4" t="s">
        <v>124</v>
      </c>
      <c r="H27" s="4" t="s">
        <v>125</v>
      </c>
      <c r="I27" s="4"/>
      <c r="J27" s="4"/>
      <c r="K27" s="4">
        <v>216</v>
      </c>
      <c r="L27" s="4">
        <v>8</v>
      </c>
      <c r="M27" s="4">
        <v>3</v>
      </c>
      <c r="N27" s="4" t="s">
        <v>6</v>
      </c>
      <c r="O27" s="4">
        <v>2</v>
      </c>
      <c r="P27" s="4"/>
    </row>
    <row r="28" spans="1:19" x14ac:dyDescent="0.2">
      <c r="A28" s="4">
        <v>50</v>
      </c>
      <c r="B28" s="4">
        <v>0</v>
      </c>
      <c r="C28" s="4">
        <v>0</v>
      </c>
      <c r="D28" s="4">
        <v>1</v>
      </c>
      <c r="E28" s="4">
        <v>223</v>
      </c>
      <c r="F28" s="4">
        <v>0</v>
      </c>
      <c r="G28" s="4" t="s">
        <v>126</v>
      </c>
      <c r="H28" s="4" t="s">
        <v>127</v>
      </c>
      <c r="I28" s="4"/>
      <c r="J28" s="4"/>
      <c r="K28" s="4">
        <v>223</v>
      </c>
      <c r="L28" s="4">
        <v>9</v>
      </c>
      <c r="M28" s="4">
        <v>3</v>
      </c>
      <c r="N28" s="4" t="s">
        <v>6</v>
      </c>
      <c r="O28" s="4">
        <v>2</v>
      </c>
      <c r="P28" s="4"/>
    </row>
    <row r="29" spans="1:19" x14ac:dyDescent="0.2">
      <c r="A29" s="4">
        <v>50</v>
      </c>
      <c r="B29" s="4">
        <v>0</v>
      </c>
      <c r="C29" s="4">
        <v>0</v>
      </c>
      <c r="D29" s="4">
        <v>1</v>
      </c>
      <c r="E29" s="4">
        <v>229</v>
      </c>
      <c r="F29" s="4">
        <v>0</v>
      </c>
      <c r="G29" s="4" t="s">
        <v>128</v>
      </c>
      <c r="H29" s="4" t="s">
        <v>129</v>
      </c>
      <c r="I29" s="4"/>
      <c r="J29" s="4"/>
      <c r="K29" s="4">
        <v>229</v>
      </c>
      <c r="L29" s="4">
        <v>10</v>
      </c>
      <c r="M29" s="4">
        <v>3</v>
      </c>
      <c r="N29" s="4" t="s">
        <v>6</v>
      </c>
      <c r="O29" s="4">
        <v>2</v>
      </c>
      <c r="P29" s="4"/>
    </row>
    <row r="30" spans="1:19" x14ac:dyDescent="0.2">
      <c r="A30" s="4">
        <v>50</v>
      </c>
      <c r="B30" s="4">
        <v>0</v>
      </c>
      <c r="C30" s="4">
        <v>0</v>
      </c>
      <c r="D30" s="4">
        <v>1</v>
      </c>
      <c r="E30" s="4">
        <v>203</v>
      </c>
      <c r="F30" s="4">
        <v>5811.06</v>
      </c>
      <c r="G30" s="4" t="s">
        <v>130</v>
      </c>
      <c r="H30" s="4" t="s">
        <v>131</v>
      </c>
      <c r="I30" s="4"/>
      <c r="J30" s="4"/>
      <c r="K30" s="4">
        <v>203</v>
      </c>
      <c r="L30" s="4">
        <v>11</v>
      </c>
      <c r="M30" s="4">
        <v>3</v>
      </c>
      <c r="N30" s="4" t="s">
        <v>6</v>
      </c>
      <c r="O30" s="4">
        <v>2</v>
      </c>
      <c r="P30" s="4"/>
    </row>
    <row r="31" spans="1:19" x14ac:dyDescent="0.2">
      <c r="A31" s="4">
        <v>50</v>
      </c>
      <c r="B31" s="4">
        <v>0</v>
      </c>
      <c r="C31" s="4">
        <v>0</v>
      </c>
      <c r="D31" s="4">
        <v>1</v>
      </c>
      <c r="E31" s="4">
        <v>231</v>
      </c>
      <c r="F31" s="4">
        <v>0</v>
      </c>
      <c r="G31" s="4" t="s">
        <v>132</v>
      </c>
      <c r="H31" s="4" t="s">
        <v>133</v>
      </c>
      <c r="I31" s="4"/>
      <c r="J31" s="4"/>
      <c r="K31" s="4">
        <v>231</v>
      </c>
      <c r="L31" s="4">
        <v>12</v>
      </c>
      <c r="M31" s="4">
        <v>3</v>
      </c>
      <c r="N31" s="4" t="s">
        <v>6</v>
      </c>
      <c r="O31" s="4">
        <v>2</v>
      </c>
      <c r="P31" s="4"/>
    </row>
    <row r="32" spans="1:19" x14ac:dyDescent="0.2">
      <c r="A32" s="4">
        <v>50</v>
      </c>
      <c r="B32" s="4">
        <v>0</v>
      </c>
      <c r="C32" s="4">
        <v>0</v>
      </c>
      <c r="D32" s="4">
        <v>1</v>
      </c>
      <c r="E32" s="4">
        <v>204</v>
      </c>
      <c r="F32" s="4">
        <v>1751.29</v>
      </c>
      <c r="G32" s="4" t="s">
        <v>134</v>
      </c>
      <c r="H32" s="4" t="s">
        <v>135</v>
      </c>
      <c r="I32" s="4"/>
      <c r="J32" s="4"/>
      <c r="K32" s="4">
        <v>204</v>
      </c>
      <c r="L32" s="4">
        <v>13</v>
      </c>
      <c r="M32" s="4">
        <v>3</v>
      </c>
      <c r="N32" s="4" t="s">
        <v>6</v>
      </c>
      <c r="O32" s="4">
        <v>2</v>
      </c>
      <c r="P32" s="4"/>
    </row>
    <row r="33" spans="1:16" x14ac:dyDescent="0.2">
      <c r="A33" s="4">
        <v>50</v>
      </c>
      <c r="B33" s="4">
        <v>0</v>
      </c>
      <c r="C33" s="4">
        <v>0</v>
      </c>
      <c r="D33" s="4">
        <v>1</v>
      </c>
      <c r="E33" s="4">
        <v>205</v>
      </c>
      <c r="F33" s="4">
        <v>49905.17</v>
      </c>
      <c r="G33" s="4" t="s">
        <v>136</v>
      </c>
      <c r="H33" s="4" t="s">
        <v>137</v>
      </c>
      <c r="I33" s="4"/>
      <c r="J33" s="4"/>
      <c r="K33" s="4">
        <v>205</v>
      </c>
      <c r="L33" s="4">
        <v>14</v>
      </c>
      <c r="M33" s="4">
        <v>3</v>
      </c>
      <c r="N33" s="4" t="s">
        <v>6</v>
      </c>
      <c r="O33" s="4">
        <v>2</v>
      </c>
      <c r="P33" s="4"/>
    </row>
    <row r="34" spans="1:16" x14ac:dyDescent="0.2">
      <c r="A34" s="4">
        <v>50</v>
      </c>
      <c r="B34" s="4">
        <v>0</v>
      </c>
      <c r="C34" s="4">
        <v>0</v>
      </c>
      <c r="D34" s="4">
        <v>1</v>
      </c>
      <c r="E34" s="4">
        <v>232</v>
      </c>
      <c r="F34" s="4">
        <v>0</v>
      </c>
      <c r="G34" s="4" t="s">
        <v>138</v>
      </c>
      <c r="H34" s="4" t="s">
        <v>139</v>
      </c>
      <c r="I34" s="4"/>
      <c r="J34" s="4"/>
      <c r="K34" s="4">
        <v>232</v>
      </c>
      <c r="L34" s="4">
        <v>15</v>
      </c>
      <c r="M34" s="4">
        <v>3</v>
      </c>
      <c r="N34" s="4" t="s">
        <v>6</v>
      </c>
      <c r="O34" s="4">
        <v>2</v>
      </c>
      <c r="P34" s="4"/>
    </row>
    <row r="35" spans="1:16" x14ac:dyDescent="0.2">
      <c r="A35" s="4">
        <v>50</v>
      </c>
      <c r="B35" s="4">
        <v>0</v>
      </c>
      <c r="C35" s="4">
        <v>0</v>
      </c>
      <c r="D35" s="4">
        <v>1</v>
      </c>
      <c r="E35" s="4">
        <v>214</v>
      </c>
      <c r="F35" s="4">
        <v>985498.78</v>
      </c>
      <c r="G35" s="4" t="s">
        <v>140</v>
      </c>
      <c r="H35" s="4" t="s">
        <v>141</v>
      </c>
      <c r="I35" s="4"/>
      <c r="J35" s="4"/>
      <c r="K35" s="4">
        <v>214</v>
      </c>
      <c r="L35" s="4">
        <v>16</v>
      </c>
      <c r="M35" s="4">
        <v>3</v>
      </c>
      <c r="N35" s="4" t="s">
        <v>6</v>
      </c>
      <c r="O35" s="4">
        <v>2</v>
      </c>
      <c r="P35" s="4"/>
    </row>
    <row r="36" spans="1:16" x14ac:dyDescent="0.2">
      <c r="A36" s="4">
        <v>50</v>
      </c>
      <c r="B36" s="4">
        <v>0</v>
      </c>
      <c r="C36" s="4">
        <v>0</v>
      </c>
      <c r="D36" s="4">
        <v>1</v>
      </c>
      <c r="E36" s="4">
        <v>215</v>
      </c>
      <c r="F36" s="4">
        <v>0</v>
      </c>
      <c r="G36" s="4" t="s">
        <v>142</v>
      </c>
      <c r="H36" s="4" t="s">
        <v>143</v>
      </c>
      <c r="I36" s="4"/>
      <c r="J36" s="4"/>
      <c r="K36" s="4">
        <v>215</v>
      </c>
      <c r="L36" s="4">
        <v>17</v>
      </c>
      <c r="M36" s="4">
        <v>3</v>
      </c>
      <c r="N36" s="4" t="s">
        <v>6</v>
      </c>
      <c r="O36" s="4">
        <v>2</v>
      </c>
      <c r="P36" s="4"/>
    </row>
    <row r="37" spans="1:16" x14ac:dyDescent="0.2">
      <c r="A37" s="4">
        <v>50</v>
      </c>
      <c r="B37" s="4">
        <v>0</v>
      </c>
      <c r="C37" s="4">
        <v>0</v>
      </c>
      <c r="D37" s="4">
        <v>1</v>
      </c>
      <c r="E37" s="4">
        <v>217</v>
      </c>
      <c r="F37" s="4">
        <v>0</v>
      </c>
      <c r="G37" s="4" t="s">
        <v>144</v>
      </c>
      <c r="H37" s="4" t="s">
        <v>145</v>
      </c>
      <c r="I37" s="4"/>
      <c r="J37" s="4"/>
      <c r="K37" s="4">
        <v>217</v>
      </c>
      <c r="L37" s="4">
        <v>18</v>
      </c>
      <c r="M37" s="4">
        <v>3</v>
      </c>
      <c r="N37" s="4" t="s">
        <v>6</v>
      </c>
      <c r="O37" s="4">
        <v>2</v>
      </c>
      <c r="P37" s="4"/>
    </row>
    <row r="38" spans="1:16" x14ac:dyDescent="0.2">
      <c r="A38" s="4">
        <v>50</v>
      </c>
      <c r="B38" s="4">
        <v>0</v>
      </c>
      <c r="C38" s="4">
        <v>0</v>
      </c>
      <c r="D38" s="4">
        <v>1</v>
      </c>
      <c r="E38" s="4">
        <v>230</v>
      </c>
      <c r="F38" s="4">
        <v>0</v>
      </c>
      <c r="G38" s="4" t="s">
        <v>146</v>
      </c>
      <c r="H38" s="4" t="s">
        <v>147</v>
      </c>
      <c r="I38" s="4"/>
      <c r="J38" s="4"/>
      <c r="K38" s="4">
        <v>230</v>
      </c>
      <c r="L38" s="4">
        <v>19</v>
      </c>
      <c r="M38" s="4">
        <v>3</v>
      </c>
      <c r="N38" s="4" t="s">
        <v>6</v>
      </c>
      <c r="O38" s="4">
        <v>2</v>
      </c>
      <c r="P38" s="4"/>
    </row>
    <row r="39" spans="1:16" x14ac:dyDescent="0.2">
      <c r="A39" s="4">
        <v>50</v>
      </c>
      <c r="B39" s="4">
        <v>0</v>
      </c>
      <c r="C39" s="4">
        <v>0</v>
      </c>
      <c r="D39" s="4">
        <v>1</v>
      </c>
      <c r="E39" s="4">
        <v>206</v>
      </c>
      <c r="F39" s="4">
        <v>0</v>
      </c>
      <c r="G39" s="4" t="s">
        <v>148</v>
      </c>
      <c r="H39" s="4" t="s">
        <v>149</v>
      </c>
      <c r="I39" s="4"/>
      <c r="J39" s="4"/>
      <c r="K39" s="4">
        <v>206</v>
      </c>
      <c r="L39" s="4">
        <v>20</v>
      </c>
      <c r="M39" s="4">
        <v>3</v>
      </c>
      <c r="N39" s="4" t="s">
        <v>6</v>
      </c>
      <c r="O39" s="4">
        <v>2</v>
      </c>
      <c r="P39" s="4"/>
    </row>
    <row r="40" spans="1:16" x14ac:dyDescent="0.2">
      <c r="A40" s="4">
        <v>50</v>
      </c>
      <c r="B40" s="4">
        <v>0</v>
      </c>
      <c r="C40" s="4">
        <v>0</v>
      </c>
      <c r="D40" s="4">
        <v>1</v>
      </c>
      <c r="E40" s="4">
        <v>207</v>
      </c>
      <c r="F40" s="4">
        <v>881.46275200000002</v>
      </c>
      <c r="G40" s="4" t="s">
        <v>150</v>
      </c>
      <c r="H40" s="4" t="s">
        <v>151</v>
      </c>
      <c r="I40" s="4"/>
      <c r="J40" s="4"/>
      <c r="K40" s="4">
        <v>207</v>
      </c>
      <c r="L40" s="4">
        <v>21</v>
      </c>
      <c r="M40" s="4">
        <v>3</v>
      </c>
      <c r="N40" s="4" t="s">
        <v>6</v>
      </c>
      <c r="O40" s="4">
        <v>-1</v>
      </c>
      <c r="P40" s="4"/>
    </row>
    <row r="41" spans="1:16" x14ac:dyDescent="0.2">
      <c r="A41" s="4">
        <v>50</v>
      </c>
      <c r="B41" s="4">
        <v>0</v>
      </c>
      <c r="C41" s="4">
        <v>0</v>
      </c>
      <c r="D41" s="4">
        <v>1</v>
      </c>
      <c r="E41" s="4">
        <v>208</v>
      </c>
      <c r="F41" s="4">
        <v>20.713344000000003</v>
      </c>
      <c r="G41" s="4" t="s">
        <v>152</v>
      </c>
      <c r="H41" s="4" t="s">
        <v>153</v>
      </c>
      <c r="I41" s="4"/>
      <c r="J41" s="4"/>
      <c r="K41" s="4">
        <v>208</v>
      </c>
      <c r="L41" s="4">
        <v>22</v>
      </c>
      <c r="M41" s="4">
        <v>3</v>
      </c>
      <c r="N41" s="4" t="s">
        <v>6</v>
      </c>
      <c r="O41" s="4">
        <v>-1</v>
      </c>
      <c r="P41" s="4"/>
    </row>
    <row r="42" spans="1:16" x14ac:dyDescent="0.2">
      <c r="A42" s="4">
        <v>50</v>
      </c>
      <c r="B42" s="4">
        <v>0</v>
      </c>
      <c r="C42" s="4">
        <v>0</v>
      </c>
      <c r="D42" s="4">
        <v>1</v>
      </c>
      <c r="E42" s="4">
        <v>209</v>
      </c>
      <c r="F42" s="4">
        <v>0</v>
      </c>
      <c r="G42" s="4" t="s">
        <v>154</v>
      </c>
      <c r="H42" s="4" t="s">
        <v>155</v>
      </c>
      <c r="I42" s="4"/>
      <c r="J42" s="4"/>
      <c r="K42" s="4">
        <v>209</v>
      </c>
      <c r="L42" s="4">
        <v>23</v>
      </c>
      <c r="M42" s="4">
        <v>3</v>
      </c>
      <c r="N42" s="4" t="s">
        <v>6</v>
      </c>
      <c r="O42" s="4">
        <v>2</v>
      </c>
      <c r="P42" s="4"/>
    </row>
    <row r="43" spans="1:16" x14ac:dyDescent="0.2">
      <c r="A43" s="4">
        <v>50</v>
      </c>
      <c r="B43" s="4">
        <v>0</v>
      </c>
      <c r="C43" s="4">
        <v>0</v>
      </c>
      <c r="D43" s="4">
        <v>1</v>
      </c>
      <c r="E43" s="4">
        <v>210</v>
      </c>
      <c r="F43" s="4">
        <v>51302.89</v>
      </c>
      <c r="G43" s="4" t="s">
        <v>156</v>
      </c>
      <c r="H43" s="4" t="s">
        <v>157</v>
      </c>
      <c r="I43" s="4"/>
      <c r="J43" s="4"/>
      <c r="K43" s="4">
        <v>210</v>
      </c>
      <c r="L43" s="4">
        <v>24</v>
      </c>
      <c r="M43" s="4">
        <v>3</v>
      </c>
      <c r="N43" s="4" t="s">
        <v>6</v>
      </c>
      <c r="O43" s="4">
        <v>2</v>
      </c>
      <c r="P43" s="4"/>
    </row>
    <row r="44" spans="1:16" x14ac:dyDescent="0.2">
      <c r="A44" s="4">
        <v>50</v>
      </c>
      <c r="B44" s="4">
        <v>0</v>
      </c>
      <c r="C44" s="4">
        <v>0</v>
      </c>
      <c r="D44" s="4">
        <v>1</v>
      </c>
      <c r="E44" s="4">
        <v>211</v>
      </c>
      <c r="F44" s="4">
        <v>28171.83</v>
      </c>
      <c r="G44" s="4" t="s">
        <v>158</v>
      </c>
      <c r="H44" s="4" t="s">
        <v>159</v>
      </c>
      <c r="I44" s="4"/>
      <c r="J44" s="4"/>
      <c r="K44" s="4">
        <v>211</v>
      </c>
      <c r="L44" s="4">
        <v>25</v>
      </c>
      <c r="M44" s="4">
        <v>3</v>
      </c>
      <c r="N44" s="4" t="s">
        <v>6</v>
      </c>
      <c r="O44" s="4">
        <v>2</v>
      </c>
      <c r="P44" s="4"/>
    </row>
    <row r="45" spans="1:16" x14ac:dyDescent="0.2">
      <c r="A45" s="4">
        <v>50</v>
      </c>
      <c r="B45" s="4">
        <v>0</v>
      </c>
      <c r="C45" s="4">
        <v>0</v>
      </c>
      <c r="D45" s="4">
        <v>1</v>
      </c>
      <c r="E45" s="4">
        <v>0</v>
      </c>
      <c r="F45" s="4">
        <v>985498.78</v>
      </c>
      <c r="G45" s="4" t="s">
        <v>160</v>
      </c>
      <c r="H45" s="4" t="s">
        <v>161</v>
      </c>
      <c r="I45" s="4"/>
      <c r="J45" s="4"/>
      <c r="K45" s="4">
        <v>224</v>
      </c>
      <c r="L45" s="4">
        <v>26</v>
      </c>
      <c r="M45" s="4">
        <v>3</v>
      </c>
      <c r="N45" s="4" t="s">
        <v>6</v>
      </c>
      <c r="O45" s="4">
        <v>2</v>
      </c>
      <c r="P45" s="4"/>
    </row>
    <row r="46" spans="1:16" x14ac:dyDescent="0.2">
      <c r="A46" s="4">
        <v>50</v>
      </c>
      <c r="B46" s="4">
        <v>1</v>
      </c>
      <c r="C46" s="4">
        <v>0</v>
      </c>
      <c r="D46" s="4">
        <v>2</v>
      </c>
      <c r="E46" s="4">
        <v>0</v>
      </c>
      <c r="F46" s="4">
        <v>985498.78</v>
      </c>
      <c r="G46" s="4" t="s">
        <v>162</v>
      </c>
      <c r="H46" s="4" t="s">
        <v>160</v>
      </c>
      <c r="I46" s="4"/>
      <c r="J46" s="4"/>
      <c r="K46" s="4">
        <v>212</v>
      </c>
      <c r="L46" s="4">
        <v>27</v>
      </c>
      <c r="M46" s="4">
        <v>0</v>
      </c>
      <c r="N46" s="4" t="s">
        <v>6</v>
      </c>
      <c r="O46" s="4">
        <v>2</v>
      </c>
      <c r="P46" s="4"/>
    </row>
    <row r="47" spans="1:16" x14ac:dyDescent="0.2">
      <c r="A47" s="4">
        <v>50</v>
      </c>
      <c r="B47" s="4">
        <v>1</v>
      </c>
      <c r="C47" s="4">
        <v>0</v>
      </c>
      <c r="D47" s="4">
        <v>2</v>
      </c>
      <c r="E47" s="4">
        <v>0</v>
      </c>
      <c r="F47" s="4">
        <v>177389.78</v>
      </c>
      <c r="G47" s="4" t="s">
        <v>163</v>
      </c>
      <c r="H47" s="4" t="s">
        <v>164</v>
      </c>
      <c r="I47" s="4"/>
      <c r="J47" s="4"/>
      <c r="K47" s="4">
        <v>212</v>
      </c>
      <c r="L47" s="4">
        <v>28</v>
      </c>
      <c r="M47" s="4">
        <v>0</v>
      </c>
      <c r="N47" s="4" t="s">
        <v>6</v>
      </c>
      <c r="O47" s="4">
        <v>2</v>
      </c>
      <c r="P47" s="4"/>
    </row>
    <row r="48" spans="1:16" x14ac:dyDescent="0.2">
      <c r="A48" s="4">
        <v>50</v>
      </c>
      <c r="B48" s="4">
        <v>1</v>
      </c>
      <c r="C48" s="4">
        <v>0</v>
      </c>
      <c r="D48" s="4">
        <v>2</v>
      </c>
      <c r="E48" s="4">
        <v>224</v>
      </c>
      <c r="F48" s="4">
        <v>1162888.56</v>
      </c>
      <c r="G48" s="4" t="s">
        <v>165</v>
      </c>
      <c r="H48" s="4" t="s">
        <v>166</v>
      </c>
      <c r="I48" s="4"/>
      <c r="J48" s="4"/>
      <c r="K48" s="4">
        <v>212</v>
      </c>
      <c r="L48" s="4">
        <v>29</v>
      </c>
      <c r="M48" s="4">
        <v>0</v>
      </c>
      <c r="N48" s="4" t="s">
        <v>6</v>
      </c>
      <c r="O48" s="4">
        <v>2</v>
      </c>
      <c r="P48" s="4"/>
    </row>
    <row r="50" spans="1:34" x14ac:dyDescent="0.2">
      <c r="A50">
        <v>-1</v>
      </c>
    </row>
    <row r="53" spans="1:34" x14ac:dyDescent="0.2">
      <c r="A53" s="3">
        <v>75</v>
      </c>
      <c r="B53" s="3" t="s">
        <v>228</v>
      </c>
      <c r="C53" s="3">
        <v>2000</v>
      </c>
      <c r="D53" s="3">
        <v>0</v>
      </c>
      <c r="E53" s="3">
        <v>1</v>
      </c>
      <c r="F53" s="3">
        <v>0</v>
      </c>
      <c r="G53" s="3">
        <v>0</v>
      </c>
      <c r="H53" s="3">
        <v>1</v>
      </c>
      <c r="I53" s="3">
        <v>0</v>
      </c>
      <c r="J53" s="3">
        <v>1</v>
      </c>
      <c r="K53" s="3">
        <v>0</v>
      </c>
      <c r="L53" s="3">
        <v>0</v>
      </c>
      <c r="M53" s="3">
        <v>0</v>
      </c>
      <c r="N53" s="3">
        <v>16496534</v>
      </c>
      <c r="O53" s="3">
        <v>1</v>
      </c>
    </row>
    <row r="54" spans="1:34" x14ac:dyDescent="0.2">
      <c r="A54" s="5">
        <v>3</v>
      </c>
      <c r="B54" s="5" t="s">
        <v>229</v>
      </c>
      <c r="C54" s="5">
        <v>6.57</v>
      </c>
      <c r="D54" s="5">
        <v>1</v>
      </c>
      <c r="E54" s="5">
        <v>1</v>
      </c>
      <c r="F54" s="5">
        <v>1</v>
      </c>
      <c r="G54" s="5">
        <v>1</v>
      </c>
      <c r="H54" s="5">
        <v>1</v>
      </c>
      <c r="I54" s="5">
        <v>1</v>
      </c>
      <c r="J54" s="5">
        <v>1</v>
      </c>
      <c r="K54" s="5">
        <v>1</v>
      </c>
      <c r="L54" s="5">
        <v>1</v>
      </c>
      <c r="M54" s="5">
        <v>6.57</v>
      </c>
      <c r="N54" s="5">
        <v>1</v>
      </c>
      <c r="O54" s="5">
        <v>1</v>
      </c>
      <c r="P54" s="5">
        <v>1</v>
      </c>
      <c r="Q54" s="5">
        <v>1</v>
      </c>
      <c r="R54" s="5">
        <v>1</v>
      </c>
      <c r="S54" s="5" t="s">
        <v>6</v>
      </c>
      <c r="T54" s="5" t="s">
        <v>6</v>
      </c>
      <c r="U54" s="5" t="s">
        <v>6</v>
      </c>
      <c r="V54" s="5" t="s">
        <v>6</v>
      </c>
      <c r="W54" s="5" t="s">
        <v>6</v>
      </c>
      <c r="X54" s="5" t="s">
        <v>6</v>
      </c>
      <c r="Y54" s="5" t="s">
        <v>6</v>
      </c>
      <c r="Z54" s="5" t="s">
        <v>6</v>
      </c>
      <c r="AA54" s="5" t="s">
        <v>6</v>
      </c>
      <c r="AB54" s="5" t="s">
        <v>6</v>
      </c>
      <c r="AC54" s="5" t="s">
        <v>6</v>
      </c>
      <c r="AD54" s="5" t="s">
        <v>6</v>
      </c>
      <c r="AE54" s="5" t="s">
        <v>6</v>
      </c>
      <c r="AF54" s="5" t="s">
        <v>6</v>
      </c>
      <c r="AG54" s="5" t="s">
        <v>6</v>
      </c>
      <c r="AH54" s="5" t="s">
        <v>6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43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6" x14ac:dyDescent="0.2">
      <c r="A1">
        <f>ROW(Source!A24)</f>
        <v>24</v>
      </c>
      <c r="B1">
        <v>16496534</v>
      </c>
      <c r="C1">
        <v>16496597</v>
      </c>
      <c r="D1">
        <v>15433667</v>
      </c>
      <c r="E1">
        <v>1</v>
      </c>
      <c r="F1">
        <v>1</v>
      </c>
      <c r="G1">
        <v>1</v>
      </c>
      <c r="H1">
        <v>1</v>
      </c>
      <c r="I1" t="s">
        <v>231</v>
      </c>
      <c r="J1" t="s">
        <v>6</v>
      </c>
      <c r="K1" t="s">
        <v>232</v>
      </c>
      <c r="L1">
        <v>1191</v>
      </c>
      <c r="N1">
        <v>1013</v>
      </c>
      <c r="O1" t="s">
        <v>233</v>
      </c>
      <c r="P1" t="s">
        <v>233</v>
      </c>
      <c r="Q1">
        <v>1</v>
      </c>
      <c r="W1">
        <v>0</v>
      </c>
      <c r="X1">
        <v>371339561</v>
      </c>
      <c r="Y1">
        <v>188.54</v>
      </c>
      <c r="AA1">
        <v>0</v>
      </c>
      <c r="AB1">
        <v>0</v>
      </c>
      <c r="AC1">
        <v>0</v>
      </c>
      <c r="AD1">
        <v>53.15</v>
      </c>
      <c r="AE1">
        <v>0</v>
      </c>
      <c r="AF1">
        <v>0</v>
      </c>
      <c r="AG1">
        <v>0</v>
      </c>
      <c r="AH1">
        <v>8.09</v>
      </c>
      <c r="AI1">
        <v>1</v>
      </c>
      <c r="AJ1">
        <v>1</v>
      </c>
      <c r="AK1">
        <v>1</v>
      </c>
      <c r="AL1">
        <v>6.57</v>
      </c>
      <c r="AN1">
        <v>0</v>
      </c>
      <c r="AO1">
        <v>1</v>
      </c>
      <c r="AP1">
        <v>0</v>
      </c>
      <c r="AQ1">
        <v>0</v>
      </c>
      <c r="AR1">
        <v>0</v>
      </c>
      <c r="AS1" t="s">
        <v>6</v>
      </c>
      <c r="AT1">
        <v>188.54</v>
      </c>
      <c r="AU1" t="s">
        <v>6</v>
      </c>
      <c r="AV1">
        <v>1</v>
      </c>
      <c r="AW1">
        <v>2</v>
      </c>
      <c r="AX1">
        <v>16496601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Y1*Source!I24</f>
        <v>304.07731200000001</v>
      </c>
      <c r="CY1">
        <f>AD1</f>
        <v>53.15</v>
      </c>
      <c r="CZ1">
        <f>AH1</f>
        <v>8.09</v>
      </c>
      <c r="DA1">
        <f>AL1</f>
        <v>6.57</v>
      </c>
      <c r="DB1">
        <v>0</v>
      </c>
    </row>
    <row r="2" spans="1:106" x14ac:dyDescent="0.2">
      <c r="A2">
        <f>ROW(Source!A24)</f>
        <v>24</v>
      </c>
      <c r="B2">
        <v>16496534</v>
      </c>
      <c r="C2">
        <v>16496597</v>
      </c>
      <c r="D2">
        <v>15430395</v>
      </c>
      <c r="E2">
        <v>1</v>
      </c>
      <c r="F2">
        <v>1</v>
      </c>
      <c r="G2">
        <v>1</v>
      </c>
      <c r="H2">
        <v>1</v>
      </c>
      <c r="I2" t="s">
        <v>234</v>
      </c>
      <c r="J2" t="s">
        <v>6</v>
      </c>
      <c r="K2" t="s">
        <v>235</v>
      </c>
      <c r="L2">
        <v>1191</v>
      </c>
      <c r="N2">
        <v>1013</v>
      </c>
      <c r="O2" t="s">
        <v>233</v>
      </c>
      <c r="P2" t="s">
        <v>233</v>
      </c>
      <c r="Q2">
        <v>1</v>
      </c>
      <c r="W2">
        <v>0</v>
      </c>
      <c r="X2">
        <v>-1417349443</v>
      </c>
      <c r="Y2">
        <v>7.74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1</v>
      </c>
      <c r="AJ2">
        <v>1</v>
      </c>
      <c r="AK2">
        <v>6.57</v>
      </c>
      <c r="AL2">
        <v>1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6</v>
      </c>
      <c r="AT2">
        <v>7.74</v>
      </c>
      <c r="AU2" t="s">
        <v>6</v>
      </c>
      <c r="AV2">
        <v>2</v>
      </c>
      <c r="AW2">
        <v>2</v>
      </c>
      <c r="AX2">
        <v>16496602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Y2*Source!I24</f>
        <v>12.483072</v>
      </c>
      <c r="CY2">
        <f>AD2</f>
        <v>0</v>
      </c>
      <c r="CZ2">
        <f>AH2</f>
        <v>0</v>
      </c>
      <c r="DA2">
        <f>AL2</f>
        <v>1</v>
      </c>
      <c r="DB2">
        <v>0</v>
      </c>
    </row>
    <row r="3" spans="1:106" x14ac:dyDescent="0.2">
      <c r="A3">
        <f>ROW(Source!A24)</f>
        <v>24</v>
      </c>
      <c r="B3">
        <v>16496534</v>
      </c>
      <c r="C3">
        <v>16496597</v>
      </c>
      <c r="D3">
        <v>15247974</v>
      </c>
      <c r="E3">
        <v>1</v>
      </c>
      <c r="F3">
        <v>1</v>
      </c>
      <c r="G3">
        <v>1</v>
      </c>
      <c r="H3">
        <v>2</v>
      </c>
      <c r="I3" t="s">
        <v>236</v>
      </c>
      <c r="J3" t="s">
        <v>237</v>
      </c>
      <c r="K3" t="s">
        <v>238</v>
      </c>
      <c r="L3">
        <v>1368</v>
      </c>
      <c r="N3">
        <v>1011</v>
      </c>
      <c r="O3" t="s">
        <v>239</v>
      </c>
      <c r="P3" t="s">
        <v>239</v>
      </c>
      <c r="Q3">
        <v>1</v>
      </c>
      <c r="W3">
        <v>0</v>
      </c>
      <c r="X3">
        <v>1188625873</v>
      </c>
      <c r="Y3">
        <v>7.74</v>
      </c>
      <c r="AA3">
        <v>0</v>
      </c>
      <c r="AB3">
        <v>205.38</v>
      </c>
      <c r="AC3">
        <v>13.5</v>
      </c>
      <c r="AD3">
        <v>0</v>
      </c>
      <c r="AE3">
        <v>0</v>
      </c>
      <c r="AF3">
        <v>31.26</v>
      </c>
      <c r="AG3">
        <v>13.5</v>
      </c>
      <c r="AH3">
        <v>0</v>
      </c>
      <c r="AI3">
        <v>1</v>
      </c>
      <c r="AJ3">
        <v>6.57</v>
      </c>
      <c r="AK3">
        <v>1</v>
      </c>
      <c r="AL3">
        <v>1</v>
      </c>
      <c r="AN3">
        <v>0</v>
      </c>
      <c r="AO3">
        <v>1</v>
      </c>
      <c r="AP3">
        <v>0</v>
      </c>
      <c r="AQ3">
        <v>0</v>
      </c>
      <c r="AR3">
        <v>0</v>
      </c>
      <c r="AS3" t="s">
        <v>6</v>
      </c>
      <c r="AT3">
        <v>7.74</v>
      </c>
      <c r="AU3" t="s">
        <v>6</v>
      </c>
      <c r="AV3">
        <v>0</v>
      </c>
      <c r="AW3">
        <v>2</v>
      </c>
      <c r="AX3">
        <v>16496603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Y3*Source!I24</f>
        <v>12.483072</v>
      </c>
      <c r="CY3">
        <f>AB3</f>
        <v>205.38</v>
      </c>
      <c r="CZ3">
        <f>AF3</f>
        <v>31.26</v>
      </c>
      <c r="DA3">
        <f>AJ3</f>
        <v>6.57</v>
      </c>
      <c r="DB3">
        <v>0</v>
      </c>
    </row>
    <row r="4" spans="1:106" x14ac:dyDescent="0.2">
      <c r="A4">
        <f>ROW(Source!A25)</f>
        <v>25</v>
      </c>
      <c r="B4">
        <v>16496534</v>
      </c>
      <c r="C4">
        <v>16496604</v>
      </c>
      <c r="D4">
        <v>15436014</v>
      </c>
      <c r="E4">
        <v>1</v>
      </c>
      <c r="F4">
        <v>1</v>
      </c>
      <c r="G4">
        <v>1</v>
      </c>
      <c r="H4">
        <v>1</v>
      </c>
      <c r="I4" t="s">
        <v>240</v>
      </c>
      <c r="J4" t="s">
        <v>6</v>
      </c>
      <c r="K4" t="s">
        <v>241</v>
      </c>
      <c r="L4">
        <v>1191</v>
      </c>
      <c r="N4">
        <v>1013</v>
      </c>
      <c r="O4" t="s">
        <v>233</v>
      </c>
      <c r="P4" t="s">
        <v>233</v>
      </c>
      <c r="Q4">
        <v>1</v>
      </c>
      <c r="W4">
        <v>0</v>
      </c>
      <c r="X4">
        <v>-784637506</v>
      </c>
      <c r="Y4">
        <v>149.16</v>
      </c>
      <c r="AA4">
        <v>0</v>
      </c>
      <c r="AB4">
        <v>0</v>
      </c>
      <c r="AC4">
        <v>0</v>
      </c>
      <c r="AD4">
        <v>57.42</v>
      </c>
      <c r="AE4">
        <v>0</v>
      </c>
      <c r="AF4">
        <v>0</v>
      </c>
      <c r="AG4">
        <v>0</v>
      </c>
      <c r="AH4">
        <v>8.74</v>
      </c>
      <c r="AI4">
        <v>1</v>
      </c>
      <c r="AJ4">
        <v>1</v>
      </c>
      <c r="AK4">
        <v>1</v>
      </c>
      <c r="AL4">
        <v>6.57</v>
      </c>
      <c r="AN4">
        <v>0</v>
      </c>
      <c r="AO4">
        <v>1</v>
      </c>
      <c r="AP4">
        <v>0</v>
      </c>
      <c r="AQ4">
        <v>0</v>
      </c>
      <c r="AR4">
        <v>0</v>
      </c>
      <c r="AS4" t="s">
        <v>6</v>
      </c>
      <c r="AT4">
        <v>149.16</v>
      </c>
      <c r="AU4" t="s">
        <v>6</v>
      </c>
      <c r="AV4">
        <v>1</v>
      </c>
      <c r="AW4">
        <v>2</v>
      </c>
      <c r="AX4">
        <v>16496617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Y4*Source!I25</f>
        <v>240.565248</v>
      </c>
      <c r="CY4">
        <f>AD4</f>
        <v>57.42</v>
      </c>
      <c r="CZ4">
        <f>AH4</f>
        <v>8.74</v>
      </c>
      <c r="DA4">
        <f>AL4</f>
        <v>6.57</v>
      </c>
      <c r="DB4">
        <v>0</v>
      </c>
    </row>
    <row r="5" spans="1:106" x14ac:dyDescent="0.2">
      <c r="A5">
        <f>ROW(Source!A25)</f>
        <v>25</v>
      </c>
      <c r="B5">
        <v>16496534</v>
      </c>
      <c r="C5">
        <v>16496604</v>
      </c>
      <c r="D5">
        <v>15430395</v>
      </c>
      <c r="E5">
        <v>1</v>
      </c>
      <c r="F5">
        <v>1</v>
      </c>
      <c r="G5">
        <v>1</v>
      </c>
      <c r="H5">
        <v>1</v>
      </c>
      <c r="I5" t="s">
        <v>234</v>
      </c>
      <c r="J5" t="s">
        <v>6</v>
      </c>
      <c r="K5" t="s">
        <v>235</v>
      </c>
      <c r="L5">
        <v>1191</v>
      </c>
      <c r="N5">
        <v>1013</v>
      </c>
      <c r="O5" t="s">
        <v>233</v>
      </c>
      <c r="P5" t="s">
        <v>233</v>
      </c>
      <c r="Q5">
        <v>1</v>
      </c>
      <c r="W5">
        <v>0</v>
      </c>
      <c r="X5">
        <v>-1417349443</v>
      </c>
      <c r="Y5">
        <v>4.2300000000000004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1</v>
      </c>
      <c r="AJ5">
        <v>1</v>
      </c>
      <c r="AK5">
        <v>6.57</v>
      </c>
      <c r="AL5">
        <v>1</v>
      </c>
      <c r="AN5">
        <v>0</v>
      </c>
      <c r="AO5">
        <v>1</v>
      </c>
      <c r="AP5">
        <v>0</v>
      </c>
      <c r="AQ5">
        <v>0</v>
      </c>
      <c r="AR5">
        <v>0</v>
      </c>
      <c r="AS5" t="s">
        <v>6</v>
      </c>
      <c r="AT5">
        <v>4.2300000000000004</v>
      </c>
      <c r="AU5" t="s">
        <v>6</v>
      </c>
      <c r="AV5">
        <v>2</v>
      </c>
      <c r="AW5">
        <v>2</v>
      </c>
      <c r="AX5">
        <v>16496618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Y5*Source!I25</f>
        <v>6.8221440000000007</v>
      </c>
      <c r="CY5">
        <f>AD5</f>
        <v>0</v>
      </c>
      <c r="CZ5">
        <f>AH5</f>
        <v>0</v>
      </c>
      <c r="DA5">
        <f>AL5</f>
        <v>1</v>
      </c>
      <c r="DB5">
        <v>0</v>
      </c>
    </row>
    <row r="6" spans="1:106" x14ac:dyDescent="0.2">
      <c r="A6">
        <f>ROW(Source!A25)</f>
        <v>25</v>
      </c>
      <c r="B6">
        <v>16496534</v>
      </c>
      <c r="C6">
        <v>16496604</v>
      </c>
      <c r="D6">
        <v>15247974</v>
      </c>
      <c r="E6">
        <v>1</v>
      </c>
      <c r="F6">
        <v>1</v>
      </c>
      <c r="G6">
        <v>1</v>
      </c>
      <c r="H6">
        <v>2</v>
      </c>
      <c r="I6" t="s">
        <v>236</v>
      </c>
      <c r="J6" t="s">
        <v>237</v>
      </c>
      <c r="K6" t="s">
        <v>238</v>
      </c>
      <c r="L6">
        <v>1368</v>
      </c>
      <c r="N6">
        <v>1011</v>
      </c>
      <c r="O6" t="s">
        <v>239</v>
      </c>
      <c r="P6" t="s">
        <v>239</v>
      </c>
      <c r="Q6">
        <v>1</v>
      </c>
      <c r="W6">
        <v>0</v>
      </c>
      <c r="X6">
        <v>1188625873</v>
      </c>
      <c r="Y6">
        <v>0.66</v>
      </c>
      <c r="AA6">
        <v>0</v>
      </c>
      <c r="AB6">
        <v>205.38</v>
      </c>
      <c r="AC6">
        <v>13.5</v>
      </c>
      <c r="AD6">
        <v>0</v>
      </c>
      <c r="AE6">
        <v>0</v>
      </c>
      <c r="AF6">
        <v>31.26</v>
      </c>
      <c r="AG6">
        <v>13.5</v>
      </c>
      <c r="AH6">
        <v>0</v>
      </c>
      <c r="AI6">
        <v>1</v>
      </c>
      <c r="AJ6">
        <v>6.57</v>
      </c>
      <c r="AK6">
        <v>1</v>
      </c>
      <c r="AL6">
        <v>1</v>
      </c>
      <c r="AN6">
        <v>0</v>
      </c>
      <c r="AO6">
        <v>1</v>
      </c>
      <c r="AP6">
        <v>0</v>
      </c>
      <c r="AQ6">
        <v>0</v>
      </c>
      <c r="AR6">
        <v>0</v>
      </c>
      <c r="AS6" t="s">
        <v>6</v>
      </c>
      <c r="AT6">
        <v>0.66</v>
      </c>
      <c r="AU6" t="s">
        <v>6</v>
      </c>
      <c r="AV6">
        <v>0</v>
      </c>
      <c r="AW6">
        <v>2</v>
      </c>
      <c r="AX6">
        <v>16496619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Y6*Source!I25</f>
        <v>1.0644480000000001</v>
      </c>
      <c r="CY6">
        <f>AB6</f>
        <v>205.38</v>
      </c>
      <c r="CZ6">
        <f>AF6</f>
        <v>31.26</v>
      </c>
      <c r="DA6">
        <f>AJ6</f>
        <v>6.57</v>
      </c>
      <c r="DB6">
        <v>0</v>
      </c>
    </row>
    <row r="7" spans="1:106" x14ac:dyDescent="0.2">
      <c r="A7">
        <f>ROW(Source!A25)</f>
        <v>25</v>
      </c>
      <c r="B7">
        <v>16496534</v>
      </c>
      <c r="C7">
        <v>16496604</v>
      </c>
      <c r="D7">
        <v>15249073</v>
      </c>
      <c r="E7">
        <v>1</v>
      </c>
      <c r="F7">
        <v>1</v>
      </c>
      <c r="G7">
        <v>1</v>
      </c>
      <c r="H7">
        <v>2</v>
      </c>
      <c r="I7" t="s">
        <v>242</v>
      </c>
      <c r="J7" t="s">
        <v>243</v>
      </c>
      <c r="K7" t="s">
        <v>244</v>
      </c>
      <c r="L7">
        <v>1368</v>
      </c>
      <c r="N7">
        <v>1011</v>
      </c>
      <c r="O7" t="s">
        <v>239</v>
      </c>
      <c r="P7" t="s">
        <v>239</v>
      </c>
      <c r="Q7">
        <v>1</v>
      </c>
      <c r="W7">
        <v>0</v>
      </c>
      <c r="X7">
        <v>1372534845</v>
      </c>
      <c r="Y7">
        <v>3.57</v>
      </c>
      <c r="AA7">
        <v>0</v>
      </c>
      <c r="AB7">
        <v>431.71</v>
      </c>
      <c r="AC7">
        <v>11.6</v>
      </c>
      <c r="AD7">
        <v>0</v>
      </c>
      <c r="AE7">
        <v>0</v>
      </c>
      <c r="AF7">
        <v>65.709999999999994</v>
      </c>
      <c r="AG7">
        <v>11.6</v>
      </c>
      <c r="AH7">
        <v>0</v>
      </c>
      <c r="AI7">
        <v>1</v>
      </c>
      <c r="AJ7">
        <v>6.57</v>
      </c>
      <c r="AK7">
        <v>1</v>
      </c>
      <c r="AL7">
        <v>1</v>
      </c>
      <c r="AN7">
        <v>0</v>
      </c>
      <c r="AO7">
        <v>1</v>
      </c>
      <c r="AP7">
        <v>0</v>
      </c>
      <c r="AQ7">
        <v>0</v>
      </c>
      <c r="AR7">
        <v>0</v>
      </c>
      <c r="AS7" t="s">
        <v>6</v>
      </c>
      <c r="AT7">
        <v>3.57</v>
      </c>
      <c r="AU7" t="s">
        <v>6</v>
      </c>
      <c r="AV7">
        <v>0</v>
      </c>
      <c r="AW7">
        <v>2</v>
      </c>
      <c r="AX7">
        <v>16496620</v>
      </c>
      <c r="AY7">
        <v>1</v>
      </c>
      <c r="AZ7">
        <v>0</v>
      </c>
      <c r="BA7">
        <v>7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Y7*Source!I25</f>
        <v>5.7576960000000001</v>
      </c>
      <c r="CY7">
        <f>AB7</f>
        <v>431.71</v>
      </c>
      <c r="CZ7">
        <f>AF7</f>
        <v>65.709999999999994</v>
      </c>
      <c r="DA7">
        <f>AJ7</f>
        <v>6.57</v>
      </c>
      <c r="DB7">
        <v>0</v>
      </c>
    </row>
    <row r="8" spans="1:106" x14ac:dyDescent="0.2">
      <c r="A8">
        <f>ROW(Source!A25)</f>
        <v>25</v>
      </c>
      <c r="B8">
        <v>16496534</v>
      </c>
      <c r="C8">
        <v>16496604</v>
      </c>
      <c r="D8">
        <v>15167551</v>
      </c>
      <c r="E8">
        <v>1</v>
      </c>
      <c r="F8">
        <v>1</v>
      </c>
      <c r="G8">
        <v>1</v>
      </c>
      <c r="H8">
        <v>3</v>
      </c>
      <c r="I8" t="s">
        <v>245</v>
      </c>
      <c r="J8" t="s">
        <v>246</v>
      </c>
      <c r="K8" t="s">
        <v>247</v>
      </c>
      <c r="L8">
        <v>1301</v>
      </c>
      <c r="N8">
        <v>1003</v>
      </c>
      <c r="O8" t="s">
        <v>41</v>
      </c>
      <c r="P8" t="s">
        <v>41</v>
      </c>
      <c r="Q8">
        <v>1</v>
      </c>
      <c r="W8">
        <v>0</v>
      </c>
      <c r="X8">
        <v>751777312</v>
      </c>
      <c r="Y8">
        <v>253</v>
      </c>
      <c r="AA8">
        <v>41.92</v>
      </c>
      <c r="AB8">
        <v>0</v>
      </c>
      <c r="AC8">
        <v>0</v>
      </c>
      <c r="AD8">
        <v>0</v>
      </c>
      <c r="AE8">
        <v>6.38</v>
      </c>
      <c r="AF8">
        <v>0</v>
      </c>
      <c r="AG8">
        <v>0</v>
      </c>
      <c r="AH8">
        <v>0</v>
      </c>
      <c r="AI8">
        <v>6.57</v>
      </c>
      <c r="AJ8">
        <v>1</v>
      </c>
      <c r="AK8">
        <v>1</v>
      </c>
      <c r="AL8">
        <v>1</v>
      </c>
      <c r="AN8">
        <v>0</v>
      </c>
      <c r="AO8">
        <v>1</v>
      </c>
      <c r="AP8">
        <v>0</v>
      </c>
      <c r="AQ8">
        <v>0</v>
      </c>
      <c r="AR8">
        <v>0</v>
      </c>
      <c r="AS8" t="s">
        <v>6</v>
      </c>
      <c r="AT8">
        <v>253</v>
      </c>
      <c r="AU8" t="s">
        <v>6</v>
      </c>
      <c r="AV8">
        <v>0</v>
      </c>
      <c r="AW8">
        <v>2</v>
      </c>
      <c r="AX8">
        <v>16496621</v>
      </c>
      <c r="AY8">
        <v>1</v>
      </c>
      <c r="AZ8">
        <v>0</v>
      </c>
      <c r="BA8">
        <v>8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Y8*Source!I25</f>
        <v>408.03840000000002</v>
      </c>
      <c r="CY8">
        <f t="shared" ref="CY8:CY14" si="0">AA8</f>
        <v>41.92</v>
      </c>
      <c r="CZ8">
        <f t="shared" ref="CZ8:CZ14" si="1">AE8</f>
        <v>6.38</v>
      </c>
      <c r="DA8">
        <f t="shared" ref="DA8:DA14" si="2">AI8</f>
        <v>6.57</v>
      </c>
      <c r="DB8">
        <v>0</v>
      </c>
    </row>
    <row r="9" spans="1:106" x14ac:dyDescent="0.2">
      <c r="A9">
        <f>ROW(Source!A25)</f>
        <v>25</v>
      </c>
      <c r="B9">
        <v>16496534</v>
      </c>
      <c r="C9">
        <v>16496604</v>
      </c>
      <c r="D9">
        <v>15167552</v>
      </c>
      <c r="E9">
        <v>1</v>
      </c>
      <c r="F9">
        <v>1</v>
      </c>
      <c r="G9">
        <v>1</v>
      </c>
      <c r="H9">
        <v>3</v>
      </c>
      <c r="I9" t="s">
        <v>248</v>
      </c>
      <c r="J9" t="s">
        <v>249</v>
      </c>
      <c r="K9" t="s">
        <v>250</v>
      </c>
      <c r="L9">
        <v>1301</v>
      </c>
      <c r="N9">
        <v>1003</v>
      </c>
      <c r="O9" t="s">
        <v>41</v>
      </c>
      <c r="P9" t="s">
        <v>41</v>
      </c>
      <c r="Q9">
        <v>1</v>
      </c>
      <c r="W9">
        <v>0</v>
      </c>
      <c r="X9">
        <v>1744203244</v>
      </c>
      <c r="Y9">
        <v>59</v>
      </c>
      <c r="AA9">
        <v>52.23</v>
      </c>
      <c r="AB9">
        <v>0</v>
      </c>
      <c r="AC9">
        <v>0</v>
      </c>
      <c r="AD9">
        <v>0</v>
      </c>
      <c r="AE9">
        <v>7.95</v>
      </c>
      <c r="AF9">
        <v>0</v>
      </c>
      <c r="AG9">
        <v>0</v>
      </c>
      <c r="AH9">
        <v>0</v>
      </c>
      <c r="AI9">
        <v>6.57</v>
      </c>
      <c r="AJ9">
        <v>1</v>
      </c>
      <c r="AK9">
        <v>1</v>
      </c>
      <c r="AL9">
        <v>1</v>
      </c>
      <c r="AN9">
        <v>0</v>
      </c>
      <c r="AO9">
        <v>1</v>
      </c>
      <c r="AP9">
        <v>0</v>
      </c>
      <c r="AQ9">
        <v>0</v>
      </c>
      <c r="AR9">
        <v>0</v>
      </c>
      <c r="AS9" t="s">
        <v>6</v>
      </c>
      <c r="AT9">
        <v>59</v>
      </c>
      <c r="AU9" t="s">
        <v>6</v>
      </c>
      <c r="AV9">
        <v>0</v>
      </c>
      <c r="AW9">
        <v>2</v>
      </c>
      <c r="AX9">
        <v>16496622</v>
      </c>
      <c r="AY9">
        <v>1</v>
      </c>
      <c r="AZ9">
        <v>0</v>
      </c>
      <c r="BA9">
        <v>9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Y9*Source!I25</f>
        <v>95.155200000000008</v>
      </c>
      <c r="CY9">
        <f t="shared" si="0"/>
        <v>52.23</v>
      </c>
      <c r="CZ9">
        <f t="shared" si="1"/>
        <v>7.95</v>
      </c>
      <c r="DA9">
        <f t="shared" si="2"/>
        <v>6.57</v>
      </c>
      <c r="DB9">
        <v>0</v>
      </c>
    </row>
    <row r="10" spans="1:106" x14ac:dyDescent="0.2">
      <c r="A10">
        <f>ROW(Source!A25)</f>
        <v>25</v>
      </c>
      <c r="B10">
        <v>16496534</v>
      </c>
      <c r="C10">
        <v>16496604</v>
      </c>
      <c r="D10">
        <v>15167640</v>
      </c>
      <c r="E10">
        <v>1</v>
      </c>
      <c r="F10">
        <v>1</v>
      </c>
      <c r="G10">
        <v>1</v>
      </c>
      <c r="H10">
        <v>3</v>
      </c>
      <c r="I10" t="s">
        <v>251</v>
      </c>
      <c r="J10" t="s">
        <v>252</v>
      </c>
      <c r="K10" t="s">
        <v>253</v>
      </c>
      <c r="L10">
        <v>1302</v>
      </c>
      <c r="N10">
        <v>1003</v>
      </c>
      <c r="O10" t="s">
        <v>93</v>
      </c>
      <c r="P10" t="s">
        <v>93</v>
      </c>
      <c r="Q10">
        <v>10</v>
      </c>
      <c r="W10">
        <v>0</v>
      </c>
      <c r="X10">
        <v>-405326455</v>
      </c>
      <c r="Y10">
        <v>15.9</v>
      </c>
      <c r="AA10">
        <v>421.14</v>
      </c>
      <c r="AB10">
        <v>0</v>
      </c>
      <c r="AC10">
        <v>0</v>
      </c>
      <c r="AD10">
        <v>0</v>
      </c>
      <c r="AE10">
        <v>64.099999999999994</v>
      </c>
      <c r="AF10">
        <v>0</v>
      </c>
      <c r="AG10">
        <v>0</v>
      </c>
      <c r="AH10">
        <v>0</v>
      </c>
      <c r="AI10">
        <v>6.57</v>
      </c>
      <c r="AJ10">
        <v>1</v>
      </c>
      <c r="AK10">
        <v>1</v>
      </c>
      <c r="AL10">
        <v>1</v>
      </c>
      <c r="AN10">
        <v>0</v>
      </c>
      <c r="AO10">
        <v>1</v>
      </c>
      <c r="AP10">
        <v>0</v>
      </c>
      <c r="AQ10">
        <v>0</v>
      </c>
      <c r="AR10">
        <v>0</v>
      </c>
      <c r="AS10" t="s">
        <v>6</v>
      </c>
      <c r="AT10">
        <v>15.9</v>
      </c>
      <c r="AU10" t="s">
        <v>6</v>
      </c>
      <c r="AV10">
        <v>0</v>
      </c>
      <c r="AW10">
        <v>2</v>
      </c>
      <c r="AX10">
        <v>16496623</v>
      </c>
      <c r="AY10">
        <v>1</v>
      </c>
      <c r="AZ10">
        <v>0</v>
      </c>
      <c r="BA10">
        <v>10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Y10*Source!I25</f>
        <v>25.643520000000002</v>
      </c>
      <c r="CY10">
        <f t="shared" si="0"/>
        <v>421.14</v>
      </c>
      <c r="CZ10">
        <f t="shared" si="1"/>
        <v>64.099999999999994</v>
      </c>
      <c r="DA10">
        <f t="shared" si="2"/>
        <v>6.57</v>
      </c>
      <c r="DB10">
        <v>0</v>
      </c>
    </row>
    <row r="11" spans="1:106" x14ac:dyDescent="0.2">
      <c r="A11">
        <f>ROW(Source!A25)</f>
        <v>25</v>
      </c>
      <c r="B11">
        <v>16496534</v>
      </c>
      <c r="C11">
        <v>16496604</v>
      </c>
      <c r="D11">
        <v>15170065</v>
      </c>
      <c r="E11">
        <v>1</v>
      </c>
      <c r="F11">
        <v>1</v>
      </c>
      <c r="G11">
        <v>1</v>
      </c>
      <c r="H11">
        <v>3</v>
      </c>
      <c r="I11" t="s">
        <v>254</v>
      </c>
      <c r="J11" t="s">
        <v>255</v>
      </c>
      <c r="K11" t="s">
        <v>256</v>
      </c>
      <c r="L11">
        <v>1358</v>
      </c>
      <c r="N11">
        <v>1010</v>
      </c>
      <c r="O11" t="s">
        <v>257</v>
      </c>
      <c r="P11" t="s">
        <v>257</v>
      </c>
      <c r="Q11">
        <v>10</v>
      </c>
      <c r="W11">
        <v>0</v>
      </c>
      <c r="X11">
        <v>-858120743</v>
      </c>
      <c r="Y11">
        <v>41.2</v>
      </c>
      <c r="AA11">
        <v>46.19</v>
      </c>
      <c r="AB11">
        <v>0</v>
      </c>
      <c r="AC11">
        <v>0</v>
      </c>
      <c r="AD11">
        <v>0</v>
      </c>
      <c r="AE11">
        <v>7.03</v>
      </c>
      <c r="AF11">
        <v>0</v>
      </c>
      <c r="AG11">
        <v>0</v>
      </c>
      <c r="AH11">
        <v>0</v>
      </c>
      <c r="AI11">
        <v>6.57</v>
      </c>
      <c r="AJ11">
        <v>1</v>
      </c>
      <c r="AK11">
        <v>1</v>
      </c>
      <c r="AL11">
        <v>1</v>
      </c>
      <c r="AN11">
        <v>0</v>
      </c>
      <c r="AO11">
        <v>1</v>
      </c>
      <c r="AP11">
        <v>0</v>
      </c>
      <c r="AQ11">
        <v>0</v>
      </c>
      <c r="AR11">
        <v>0</v>
      </c>
      <c r="AS11" t="s">
        <v>6</v>
      </c>
      <c r="AT11">
        <v>41.2</v>
      </c>
      <c r="AU11" t="s">
        <v>6</v>
      </c>
      <c r="AV11">
        <v>0</v>
      </c>
      <c r="AW11">
        <v>2</v>
      </c>
      <c r="AX11">
        <v>16496624</v>
      </c>
      <c r="AY11">
        <v>1</v>
      </c>
      <c r="AZ11">
        <v>0</v>
      </c>
      <c r="BA11">
        <v>11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Y11*Source!I25</f>
        <v>66.447360000000003</v>
      </c>
      <c r="CY11">
        <f t="shared" si="0"/>
        <v>46.19</v>
      </c>
      <c r="CZ11">
        <f t="shared" si="1"/>
        <v>7.03</v>
      </c>
      <c r="DA11">
        <f t="shared" si="2"/>
        <v>6.57</v>
      </c>
      <c r="DB11">
        <v>0</v>
      </c>
    </row>
    <row r="12" spans="1:106" x14ac:dyDescent="0.2">
      <c r="A12">
        <f>ROW(Source!A25)</f>
        <v>25</v>
      </c>
      <c r="B12">
        <v>16496534</v>
      </c>
      <c r="C12">
        <v>16496604</v>
      </c>
      <c r="D12">
        <v>15197780</v>
      </c>
      <c r="E12">
        <v>1</v>
      </c>
      <c r="F12">
        <v>1</v>
      </c>
      <c r="G12">
        <v>1</v>
      </c>
      <c r="H12">
        <v>3</v>
      </c>
      <c r="I12" t="s">
        <v>258</v>
      </c>
      <c r="J12" t="s">
        <v>259</v>
      </c>
      <c r="K12" t="s">
        <v>260</v>
      </c>
      <c r="L12">
        <v>1355</v>
      </c>
      <c r="N12">
        <v>1010</v>
      </c>
      <c r="O12" t="s">
        <v>261</v>
      </c>
      <c r="P12" t="s">
        <v>261</v>
      </c>
      <c r="Q12">
        <v>100</v>
      </c>
      <c r="W12">
        <v>0</v>
      </c>
      <c r="X12">
        <v>1709713925</v>
      </c>
      <c r="Y12">
        <v>8</v>
      </c>
      <c r="AA12">
        <v>328.5</v>
      </c>
      <c r="AB12">
        <v>0</v>
      </c>
      <c r="AC12">
        <v>0</v>
      </c>
      <c r="AD12">
        <v>0</v>
      </c>
      <c r="AE12">
        <v>50</v>
      </c>
      <c r="AF12">
        <v>0</v>
      </c>
      <c r="AG12">
        <v>0</v>
      </c>
      <c r="AH12">
        <v>0</v>
      </c>
      <c r="AI12">
        <v>6.57</v>
      </c>
      <c r="AJ12">
        <v>1</v>
      </c>
      <c r="AK12">
        <v>1</v>
      </c>
      <c r="AL12">
        <v>1</v>
      </c>
      <c r="AN12">
        <v>0</v>
      </c>
      <c r="AO12">
        <v>1</v>
      </c>
      <c r="AP12">
        <v>0</v>
      </c>
      <c r="AQ12">
        <v>0</v>
      </c>
      <c r="AR12">
        <v>0</v>
      </c>
      <c r="AS12" t="s">
        <v>6</v>
      </c>
      <c r="AT12">
        <v>8</v>
      </c>
      <c r="AU12" t="s">
        <v>6</v>
      </c>
      <c r="AV12">
        <v>0</v>
      </c>
      <c r="AW12">
        <v>2</v>
      </c>
      <c r="AX12">
        <v>16496626</v>
      </c>
      <c r="AY12">
        <v>1</v>
      </c>
      <c r="AZ12">
        <v>0</v>
      </c>
      <c r="BA12">
        <v>13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Y12*Source!I25</f>
        <v>12.9024</v>
      </c>
      <c r="CY12">
        <f t="shared" si="0"/>
        <v>328.5</v>
      </c>
      <c r="CZ12">
        <f t="shared" si="1"/>
        <v>50</v>
      </c>
      <c r="DA12">
        <f t="shared" si="2"/>
        <v>6.57</v>
      </c>
      <c r="DB12">
        <v>0</v>
      </c>
    </row>
    <row r="13" spans="1:106" x14ac:dyDescent="0.2">
      <c r="A13">
        <f>ROW(Source!A25)</f>
        <v>25</v>
      </c>
      <c r="B13">
        <v>16496534</v>
      </c>
      <c r="C13">
        <v>16496604</v>
      </c>
      <c r="D13">
        <v>15204239</v>
      </c>
      <c r="E13">
        <v>1</v>
      </c>
      <c r="F13">
        <v>1</v>
      </c>
      <c r="G13">
        <v>1</v>
      </c>
      <c r="H13">
        <v>3</v>
      </c>
      <c r="I13" t="s">
        <v>262</v>
      </c>
      <c r="J13" t="s">
        <v>263</v>
      </c>
      <c r="K13" t="s">
        <v>264</v>
      </c>
      <c r="L13">
        <v>1354</v>
      </c>
      <c r="N13">
        <v>1010</v>
      </c>
      <c r="O13" t="s">
        <v>265</v>
      </c>
      <c r="P13" t="s">
        <v>265</v>
      </c>
      <c r="Q13">
        <v>1</v>
      </c>
      <c r="W13">
        <v>0</v>
      </c>
      <c r="X13">
        <v>-1018551266</v>
      </c>
      <c r="Y13">
        <v>71</v>
      </c>
      <c r="AA13">
        <v>440.19</v>
      </c>
      <c r="AB13">
        <v>0</v>
      </c>
      <c r="AC13">
        <v>0</v>
      </c>
      <c r="AD13">
        <v>0</v>
      </c>
      <c r="AE13">
        <v>67</v>
      </c>
      <c r="AF13">
        <v>0</v>
      </c>
      <c r="AG13">
        <v>0</v>
      </c>
      <c r="AH13">
        <v>0</v>
      </c>
      <c r="AI13">
        <v>6.57</v>
      </c>
      <c r="AJ13">
        <v>1</v>
      </c>
      <c r="AK13">
        <v>1</v>
      </c>
      <c r="AL13">
        <v>1</v>
      </c>
      <c r="AN13">
        <v>0</v>
      </c>
      <c r="AO13">
        <v>1</v>
      </c>
      <c r="AP13">
        <v>0</v>
      </c>
      <c r="AQ13">
        <v>0</v>
      </c>
      <c r="AR13">
        <v>0</v>
      </c>
      <c r="AS13" t="s">
        <v>6</v>
      </c>
      <c r="AT13">
        <v>71</v>
      </c>
      <c r="AU13" t="s">
        <v>6</v>
      </c>
      <c r="AV13">
        <v>0</v>
      </c>
      <c r="AW13">
        <v>2</v>
      </c>
      <c r="AX13">
        <v>16496627</v>
      </c>
      <c r="AY13">
        <v>1</v>
      </c>
      <c r="AZ13">
        <v>0</v>
      </c>
      <c r="BA13">
        <v>14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Y13*Source!I25</f>
        <v>114.50880000000001</v>
      </c>
      <c r="CY13">
        <f t="shared" si="0"/>
        <v>440.19</v>
      </c>
      <c r="CZ13">
        <f t="shared" si="1"/>
        <v>67</v>
      </c>
      <c r="DA13">
        <f t="shared" si="2"/>
        <v>6.57</v>
      </c>
      <c r="DB13">
        <v>0</v>
      </c>
    </row>
    <row r="14" spans="1:106" x14ac:dyDescent="0.2">
      <c r="A14">
        <f>ROW(Source!A25)</f>
        <v>25</v>
      </c>
      <c r="B14">
        <v>16496534</v>
      </c>
      <c r="C14">
        <v>16496604</v>
      </c>
      <c r="D14">
        <v>0</v>
      </c>
      <c r="E14">
        <v>0</v>
      </c>
      <c r="F14">
        <v>1</v>
      </c>
      <c r="G14">
        <v>1</v>
      </c>
      <c r="H14">
        <v>3</v>
      </c>
      <c r="I14" t="s">
        <v>30</v>
      </c>
      <c r="J14" t="s">
        <v>6</v>
      </c>
      <c r="K14" t="s">
        <v>31</v>
      </c>
      <c r="L14">
        <v>1327</v>
      </c>
      <c r="N14">
        <v>1005</v>
      </c>
      <c r="O14" t="s">
        <v>32</v>
      </c>
      <c r="P14" t="s">
        <v>32</v>
      </c>
      <c r="Q14">
        <v>1</v>
      </c>
      <c r="W14">
        <v>0</v>
      </c>
      <c r="X14">
        <v>-1032967554</v>
      </c>
      <c r="Y14">
        <v>100</v>
      </c>
      <c r="AA14">
        <v>2930.68</v>
      </c>
      <c r="AB14">
        <v>0</v>
      </c>
      <c r="AC14">
        <v>0</v>
      </c>
      <c r="AD14">
        <v>0</v>
      </c>
      <c r="AE14">
        <v>446.07</v>
      </c>
      <c r="AF14">
        <v>0</v>
      </c>
      <c r="AG14">
        <v>0</v>
      </c>
      <c r="AH14">
        <v>0</v>
      </c>
      <c r="AI14">
        <v>6.57</v>
      </c>
      <c r="AJ14">
        <v>1</v>
      </c>
      <c r="AK14">
        <v>1</v>
      </c>
      <c r="AL14">
        <v>1</v>
      </c>
      <c r="AN14">
        <v>0</v>
      </c>
      <c r="AO14">
        <v>0</v>
      </c>
      <c r="AP14">
        <v>0</v>
      </c>
      <c r="AQ14">
        <v>0</v>
      </c>
      <c r="AR14">
        <v>0</v>
      </c>
      <c r="AS14" t="s">
        <v>6</v>
      </c>
      <c r="AT14">
        <v>100</v>
      </c>
      <c r="AU14" t="s">
        <v>6</v>
      </c>
      <c r="AV14">
        <v>0</v>
      </c>
      <c r="AW14">
        <v>1</v>
      </c>
      <c r="AX14">
        <v>-1</v>
      </c>
      <c r="AY14">
        <v>0</v>
      </c>
      <c r="AZ14">
        <v>0</v>
      </c>
      <c r="BA14" t="s">
        <v>6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Y14*Source!I25</f>
        <v>161.28</v>
      </c>
      <c r="CY14">
        <f t="shared" si="0"/>
        <v>2930.68</v>
      </c>
      <c r="CZ14">
        <f t="shared" si="1"/>
        <v>446.07</v>
      </c>
      <c r="DA14">
        <f t="shared" si="2"/>
        <v>6.57</v>
      </c>
      <c r="DB14">
        <v>0</v>
      </c>
    </row>
    <row r="15" spans="1:106" x14ac:dyDescent="0.2">
      <c r="A15">
        <f>ROW(Source!A27)</f>
        <v>27</v>
      </c>
      <c r="B15">
        <v>16496534</v>
      </c>
      <c r="C15">
        <v>16496630</v>
      </c>
      <c r="D15">
        <v>15430767</v>
      </c>
      <c r="E15">
        <v>1</v>
      </c>
      <c r="F15">
        <v>1</v>
      </c>
      <c r="G15">
        <v>1</v>
      </c>
      <c r="H15">
        <v>1</v>
      </c>
      <c r="I15" t="s">
        <v>266</v>
      </c>
      <c r="J15" t="s">
        <v>6</v>
      </c>
      <c r="K15" t="s">
        <v>267</v>
      </c>
      <c r="L15">
        <v>1191</v>
      </c>
      <c r="N15">
        <v>1013</v>
      </c>
      <c r="O15" t="s">
        <v>233</v>
      </c>
      <c r="P15" t="s">
        <v>233</v>
      </c>
      <c r="Q15">
        <v>1</v>
      </c>
      <c r="W15">
        <v>0</v>
      </c>
      <c r="X15">
        <v>-400197608</v>
      </c>
      <c r="Y15">
        <v>21.38</v>
      </c>
      <c r="AA15">
        <v>0</v>
      </c>
      <c r="AB15">
        <v>0</v>
      </c>
      <c r="AC15">
        <v>0</v>
      </c>
      <c r="AD15">
        <v>56.04</v>
      </c>
      <c r="AE15">
        <v>0</v>
      </c>
      <c r="AF15">
        <v>0</v>
      </c>
      <c r="AG15">
        <v>0</v>
      </c>
      <c r="AH15">
        <v>8.5299999999999994</v>
      </c>
      <c r="AI15">
        <v>1</v>
      </c>
      <c r="AJ15">
        <v>1</v>
      </c>
      <c r="AK15">
        <v>1</v>
      </c>
      <c r="AL15">
        <v>6.57</v>
      </c>
      <c r="AN15">
        <v>0</v>
      </c>
      <c r="AO15">
        <v>1</v>
      </c>
      <c r="AP15">
        <v>0</v>
      </c>
      <c r="AQ15">
        <v>0</v>
      </c>
      <c r="AR15">
        <v>0</v>
      </c>
      <c r="AS15" t="s">
        <v>6</v>
      </c>
      <c r="AT15">
        <v>21.38</v>
      </c>
      <c r="AU15" t="s">
        <v>6</v>
      </c>
      <c r="AV15">
        <v>1</v>
      </c>
      <c r="AW15">
        <v>2</v>
      </c>
      <c r="AX15">
        <v>16496638</v>
      </c>
      <c r="AY15">
        <v>1</v>
      </c>
      <c r="AZ15">
        <v>0</v>
      </c>
      <c r="BA15">
        <v>15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Y15*Source!I27</f>
        <v>23.945600000000002</v>
      </c>
      <c r="CY15">
        <f>AD15</f>
        <v>56.04</v>
      </c>
      <c r="CZ15">
        <f>AH15</f>
        <v>8.5299999999999994</v>
      </c>
      <c r="DA15">
        <f>AL15</f>
        <v>6.57</v>
      </c>
      <c r="DB15">
        <v>0</v>
      </c>
    </row>
    <row r="16" spans="1:106" x14ac:dyDescent="0.2">
      <c r="A16">
        <f>ROW(Source!A27)</f>
        <v>27</v>
      </c>
      <c r="B16">
        <v>16496534</v>
      </c>
      <c r="C16">
        <v>16496630</v>
      </c>
      <c r="D16">
        <v>15430395</v>
      </c>
      <c r="E16">
        <v>1</v>
      </c>
      <c r="F16">
        <v>1</v>
      </c>
      <c r="G16">
        <v>1</v>
      </c>
      <c r="H16">
        <v>1</v>
      </c>
      <c r="I16" t="s">
        <v>234</v>
      </c>
      <c r="J16" t="s">
        <v>6</v>
      </c>
      <c r="K16" t="s">
        <v>235</v>
      </c>
      <c r="L16">
        <v>1191</v>
      </c>
      <c r="N16">
        <v>1013</v>
      </c>
      <c r="O16" t="s">
        <v>233</v>
      </c>
      <c r="P16" t="s">
        <v>233</v>
      </c>
      <c r="Q16">
        <v>1</v>
      </c>
      <c r="W16">
        <v>0</v>
      </c>
      <c r="X16">
        <v>-1417349443</v>
      </c>
      <c r="Y16">
        <v>0.37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1</v>
      </c>
      <c r="AJ16">
        <v>1</v>
      </c>
      <c r="AK16">
        <v>6.57</v>
      </c>
      <c r="AL16">
        <v>1</v>
      </c>
      <c r="AN16">
        <v>0</v>
      </c>
      <c r="AO16">
        <v>1</v>
      </c>
      <c r="AP16">
        <v>0</v>
      </c>
      <c r="AQ16">
        <v>0</v>
      </c>
      <c r="AR16">
        <v>0</v>
      </c>
      <c r="AS16" t="s">
        <v>6</v>
      </c>
      <c r="AT16">
        <v>0.37</v>
      </c>
      <c r="AU16" t="s">
        <v>6</v>
      </c>
      <c r="AV16">
        <v>2</v>
      </c>
      <c r="AW16">
        <v>2</v>
      </c>
      <c r="AX16">
        <v>16496639</v>
      </c>
      <c r="AY16">
        <v>1</v>
      </c>
      <c r="AZ16">
        <v>0</v>
      </c>
      <c r="BA16">
        <v>16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Y16*Source!I27</f>
        <v>0.41440000000000005</v>
      </c>
      <c r="CY16">
        <f>AD16</f>
        <v>0</v>
      </c>
      <c r="CZ16">
        <f>AH16</f>
        <v>0</v>
      </c>
      <c r="DA16">
        <f>AL16</f>
        <v>1</v>
      </c>
      <c r="DB16">
        <v>0</v>
      </c>
    </row>
    <row r="17" spans="1:106" x14ac:dyDescent="0.2">
      <c r="A17">
        <f>ROW(Source!A27)</f>
        <v>27</v>
      </c>
      <c r="B17">
        <v>16496534</v>
      </c>
      <c r="C17">
        <v>16496630</v>
      </c>
      <c r="D17">
        <v>15247974</v>
      </c>
      <c r="E17">
        <v>1</v>
      </c>
      <c r="F17">
        <v>1</v>
      </c>
      <c r="G17">
        <v>1</v>
      </c>
      <c r="H17">
        <v>2</v>
      </c>
      <c r="I17" t="s">
        <v>236</v>
      </c>
      <c r="J17" t="s">
        <v>237</v>
      </c>
      <c r="K17" t="s">
        <v>238</v>
      </c>
      <c r="L17">
        <v>1368</v>
      </c>
      <c r="N17">
        <v>1011</v>
      </c>
      <c r="O17" t="s">
        <v>239</v>
      </c>
      <c r="P17" t="s">
        <v>239</v>
      </c>
      <c r="Q17">
        <v>1</v>
      </c>
      <c r="W17">
        <v>0</v>
      </c>
      <c r="X17">
        <v>1188625873</v>
      </c>
      <c r="Y17">
        <v>7.0000000000000007E-2</v>
      </c>
      <c r="AA17">
        <v>0</v>
      </c>
      <c r="AB17">
        <v>205.38</v>
      </c>
      <c r="AC17">
        <v>13.5</v>
      </c>
      <c r="AD17">
        <v>0</v>
      </c>
      <c r="AE17">
        <v>0</v>
      </c>
      <c r="AF17">
        <v>31.26</v>
      </c>
      <c r="AG17">
        <v>13.5</v>
      </c>
      <c r="AH17">
        <v>0</v>
      </c>
      <c r="AI17">
        <v>1</v>
      </c>
      <c r="AJ17">
        <v>6.57</v>
      </c>
      <c r="AK17">
        <v>1</v>
      </c>
      <c r="AL17">
        <v>1</v>
      </c>
      <c r="AN17">
        <v>0</v>
      </c>
      <c r="AO17">
        <v>1</v>
      </c>
      <c r="AP17">
        <v>0</v>
      </c>
      <c r="AQ17">
        <v>0</v>
      </c>
      <c r="AR17">
        <v>0</v>
      </c>
      <c r="AS17" t="s">
        <v>6</v>
      </c>
      <c r="AT17">
        <v>7.0000000000000007E-2</v>
      </c>
      <c r="AU17" t="s">
        <v>6</v>
      </c>
      <c r="AV17">
        <v>0</v>
      </c>
      <c r="AW17">
        <v>2</v>
      </c>
      <c r="AX17">
        <v>16496640</v>
      </c>
      <c r="AY17">
        <v>1</v>
      </c>
      <c r="AZ17">
        <v>0</v>
      </c>
      <c r="BA17">
        <v>17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Y17*Source!I27</f>
        <v>7.8400000000000011E-2</v>
      </c>
      <c r="CY17">
        <f>AB17</f>
        <v>205.38</v>
      </c>
      <c r="CZ17">
        <f>AF17</f>
        <v>31.26</v>
      </c>
      <c r="DA17">
        <f>AJ17</f>
        <v>6.57</v>
      </c>
      <c r="DB17">
        <v>0</v>
      </c>
    </row>
    <row r="18" spans="1:106" x14ac:dyDescent="0.2">
      <c r="A18">
        <f>ROW(Source!A27)</f>
        <v>27</v>
      </c>
      <c r="B18">
        <v>16496534</v>
      </c>
      <c r="C18">
        <v>16496630</v>
      </c>
      <c r="D18">
        <v>15249073</v>
      </c>
      <c r="E18">
        <v>1</v>
      </c>
      <c r="F18">
        <v>1</v>
      </c>
      <c r="G18">
        <v>1</v>
      </c>
      <c r="H18">
        <v>2</v>
      </c>
      <c r="I18" t="s">
        <v>242</v>
      </c>
      <c r="J18" t="s">
        <v>243</v>
      </c>
      <c r="K18" t="s">
        <v>244</v>
      </c>
      <c r="L18">
        <v>1368</v>
      </c>
      <c r="N18">
        <v>1011</v>
      </c>
      <c r="O18" t="s">
        <v>239</v>
      </c>
      <c r="P18" t="s">
        <v>239</v>
      </c>
      <c r="Q18">
        <v>1</v>
      </c>
      <c r="W18">
        <v>0</v>
      </c>
      <c r="X18">
        <v>1372534845</v>
      </c>
      <c r="Y18">
        <v>0.3</v>
      </c>
      <c r="AA18">
        <v>0</v>
      </c>
      <c r="AB18">
        <v>431.71</v>
      </c>
      <c r="AC18">
        <v>11.6</v>
      </c>
      <c r="AD18">
        <v>0</v>
      </c>
      <c r="AE18">
        <v>0</v>
      </c>
      <c r="AF18">
        <v>65.709999999999994</v>
      </c>
      <c r="AG18">
        <v>11.6</v>
      </c>
      <c r="AH18">
        <v>0</v>
      </c>
      <c r="AI18">
        <v>1</v>
      </c>
      <c r="AJ18">
        <v>6.57</v>
      </c>
      <c r="AK18">
        <v>1</v>
      </c>
      <c r="AL18">
        <v>1</v>
      </c>
      <c r="AN18">
        <v>0</v>
      </c>
      <c r="AO18">
        <v>1</v>
      </c>
      <c r="AP18">
        <v>0</v>
      </c>
      <c r="AQ18">
        <v>0</v>
      </c>
      <c r="AR18">
        <v>0</v>
      </c>
      <c r="AS18" t="s">
        <v>6</v>
      </c>
      <c r="AT18">
        <v>0.3</v>
      </c>
      <c r="AU18" t="s">
        <v>6</v>
      </c>
      <c r="AV18">
        <v>0</v>
      </c>
      <c r="AW18">
        <v>2</v>
      </c>
      <c r="AX18">
        <v>16496641</v>
      </c>
      <c r="AY18">
        <v>1</v>
      </c>
      <c r="AZ18">
        <v>0</v>
      </c>
      <c r="BA18">
        <v>18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Y18*Source!I27</f>
        <v>0.33600000000000002</v>
      </c>
      <c r="CY18">
        <f>AB18</f>
        <v>431.71</v>
      </c>
      <c r="CZ18">
        <f>AF18</f>
        <v>65.709999999999994</v>
      </c>
      <c r="DA18">
        <f>AJ18</f>
        <v>6.57</v>
      </c>
      <c r="DB18">
        <v>0</v>
      </c>
    </row>
    <row r="19" spans="1:106" x14ac:dyDescent="0.2">
      <c r="A19">
        <f>ROW(Source!A27)</f>
        <v>27</v>
      </c>
      <c r="B19">
        <v>16496534</v>
      </c>
      <c r="C19">
        <v>16496630</v>
      </c>
      <c r="D19">
        <v>15197780</v>
      </c>
      <c r="E19">
        <v>1</v>
      </c>
      <c r="F19">
        <v>1</v>
      </c>
      <c r="G19">
        <v>1</v>
      </c>
      <c r="H19">
        <v>3</v>
      </c>
      <c r="I19" t="s">
        <v>258</v>
      </c>
      <c r="J19" t="s">
        <v>259</v>
      </c>
      <c r="K19" t="s">
        <v>260</v>
      </c>
      <c r="L19">
        <v>1355</v>
      </c>
      <c r="N19">
        <v>1010</v>
      </c>
      <c r="O19" t="s">
        <v>261</v>
      </c>
      <c r="P19" t="s">
        <v>261</v>
      </c>
      <c r="Q19">
        <v>100</v>
      </c>
      <c r="W19">
        <v>0</v>
      </c>
      <c r="X19">
        <v>1709713925</v>
      </c>
      <c r="Y19">
        <v>4</v>
      </c>
      <c r="AA19">
        <v>328.5</v>
      </c>
      <c r="AB19">
        <v>0</v>
      </c>
      <c r="AC19">
        <v>0</v>
      </c>
      <c r="AD19">
        <v>0</v>
      </c>
      <c r="AE19">
        <v>50</v>
      </c>
      <c r="AF19">
        <v>0</v>
      </c>
      <c r="AG19">
        <v>0</v>
      </c>
      <c r="AH19">
        <v>0</v>
      </c>
      <c r="AI19">
        <v>6.57</v>
      </c>
      <c r="AJ19">
        <v>1</v>
      </c>
      <c r="AK19">
        <v>1</v>
      </c>
      <c r="AL19">
        <v>1</v>
      </c>
      <c r="AN19">
        <v>0</v>
      </c>
      <c r="AO19">
        <v>1</v>
      </c>
      <c r="AP19">
        <v>0</v>
      </c>
      <c r="AQ19">
        <v>0</v>
      </c>
      <c r="AR19">
        <v>0</v>
      </c>
      <c r="AS19" t="s">
        <v>6</v>
      </c>
      <c r="AT19">
        <v>4</v>
      </c>
      <c r="AU19" t="s">
        <v>6</v>
      </c>
      <c r="AV19">
        <v>0</v>
      </c>
      <c r="AW19">
        <v>2</v>
      </c>
      <c r="AX19">
        <v>16496643</v>
      </c>
      <c r="AY19">
        <v>1</v>
      </c>
      <c r="AZ19">
        <v>0</v>
      </c>
      <c r="BA19">
        <v>20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Y19*Source!I27</f>
        <v>4.4800000000000004</v>
      </c>
      <c r="CY19">
        <f>AA19</f>
        <v>328.5</v>
      </c>
      <c r="CZ19">
        <f>AE19</f>
        <v>50</v>
      </c>
      <c r="DA19">
        <f>AI19</f>
        <v>6.57</v>
      </c>
      <c r="DB19">
        <v>0</v>
      </c>
    </row>
    <row r="20" spans="1:106" x14ac:dyDescent="0.2">
      <c r="A20">
        <f>ROW(Source!A27)</f>
        <v>27</v>
      </c>
      <c r="B20">
        <v>16496534</v>
      </c>
      <c r="C20">
        <v>16496630</v>
      </c>
      <c r="D20">
        <v>15204239</v>
      </c>
      <c r="E20">
        <v>1</v>
      </c>
      <c r="F20">
        <v>1</v>
      </c>
      <c r="G20">
        <v>1</v>
      </c>
      <c r="H20">
        <v>3</v>
      </c>
      <c r="I20" t="s">
        <v>262</v>
      </c>
      <c r="J20" t="s">
        <v>263</v>
      </c>
      <c r="K20" t="s">
        <v>264</v>
      </c>
      <c r="L20">
        <v>1354</v>
      </c>
      <c r="N20">
        <v>1010</v>
      </c>
      <c r="O20" t="s">
        <v>265</v>
      </c>
      <c r="P20" t="s">
        <v>265</v>
      </c>
      <c r="Q20">
        <v>1</v>
      </c>
      <c r="W20">
        <v>0</v>
      </c>
      <c r="X20">
        <v>-1018551266</v>
      </c>
      <c r="Y20">
        <v>90.7</v>
      </c>
      <c r="AA20">
        <v>440.19</v>
      </c>
      <c r="AB20">
        <v>0</v>
      </c>
      <c r="AC20">
        <v>0</v>
      </c>
      <c r="AD20">
        <v>0</v>
      </c>
      <c r="AE20">
        <v>67</v>
      </c>
      <c r="AF20">
        <v>0</v>
      </c>
      <c r="AG20">
        <v>0</v>
      </c>
      <c r="AH20">
        <v>0</v>
      </c>
      <c r="AI20">
        <v>6.57</v>
      </c>
      <c r="AJ20">
        <v>1</v>
      </c>
      <c r="AK20">
        <v>1</v>
      </c>
      <c r="AL20">
        <v>1</v>
      </c>
      <c r="AN20">
        <v>0</v>
      </c>
      <c r="AO20">
        <v>1</v>
      </c>
      <c r="AP20">
        <v>0</v>
      </c>
      <c r="AQ20">
        <v>0</v>
      </c>
      <c r="AR20">
        <v>0</v>
      </c>
      <c r="AS20" t="s">
        <v>6</v>
      </c>
      <c r="AT20">
        <v>90.7</v>
      </c>
      <c r="AU20" t="s">
        <v>6</v>
      </c>
      <c r="AV20">
        <v>0</v>
      </c>
      <c r="AW20">
        <v>2</v>
      </c>
      <c r="AX20">
        <v>16496644</v>
      </c>
      <c r="AY20">
        <v>1</v>
      </c>
      <c r="AZ20">
        <v>0</v>
      </c>
      <c r="BA20">
        <v>21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Y20*Source!I27</f>
        <v>101.58400000000002</v>
      </c>
      <c r="CY20">
        <f>AA20</f>
        <v>440.19</v>
      </c>
      <c r="CZ20">
        <f>AE20</f>
        <v>67</v>
      </c>
      <c r="DA20">
        <f>AI20</f>
        <v>6.57</v>
      </c>
      <c r="DB20">
        <v>0</v>
      </c>
    </row>
    <row r="21" spans="1:106" x14ac:dyDescent="0.2">
      <c r="A21">
        <f>ROW(Source!A27)</f>
        <v>27</v>
      </c>
      <c r="B21">
        <v>16496534</v>
      </c>
      <c r="C21">
        <v>16496630</v>
      </c>
      <c r="D21">
        <v>0</v>
      </c>
      <c r="E21">
        <v>0</v>
      </c>
      <c r="F21">
        <v>1</v>
      </c>
      <c r="G21">
        <v>1</v>
      </c>
      <c r="H21">
        <v>3</v>
      </c>
      <c r="I21" t="s">
        <v>30</v>
      </c>
      <c r="J21" t="s">
        <v>6</v>
      </c>
      <c r="K21" t="s">
        <v>40</v>
      </c>
      <c r="L21">
        <v>1301</v>
      </c>
      <c r="N21">
        <v>1003</v>
      </c>
      <c r="O21" t="s">
        <v>41</v>
      </c>
      <c r="P21" t="s">
        <v>41</v>
      </c>
      <c r="Q21">
        <v>1</v>
      </c>
      <c r="W21">
        <v>0</v>
      </c>
      <c r="X21">
        <v>1331515220</v>
      </c>
      <c r="Y21">
        <v>100</v>
      </c>
      <c r="AA21">
        <v>1524.31</v>
      </c>
      <c r="AB21">
        <v>0</v>
      </c>
      <c r="AC21">
        <v>0</v>
      </c>
      <c r="AD21">
        <v>0</v>
      </c>
      <c r="AE21">
        <v>232.01</v>
      </c>
      <c r="AF21">
        <v>0</v>
      </c>
      <c r="AG21">
        <v>0</v>
      </c>
      <c r="AH21">
        <v>0</v>
      </c>
      <c r="AI21">
        <v>6.57</v>
      </c>
      <c r="AJ21">
        <v>1</v>
      </c>
      <c r="AK21">
        <v>1</v>
      </c>
      <c r="AL21">
        <v>1</v>
      </c>
      <c r="AN21">
        <v>0</v>
      </c>
      <c r="AO21">
        <v>0</v>
      </c>
      <c r="AP21">
        <v>0</v>
      </c>
      <c r="AQ21">
        <v>0</v>
      </c>
      <c r="AR21">
        <v>0</v>
      </c>
      <c r="AS21" t="s">
        <v>6</v>
      </c>
      <c r="AT21">
        <v>100</v>
      </c>
      <c r="AU21" t="s">
        <v>6</v>
      </c>
      <c r="AV21">
        <v>0</v>
      </c>
      <c r="AW21">
        <v>1</v>
      </c>
      <c r="AX21">
        <v>-1</v>
      </c>
      <c r="AY21">
        <v>0</v>
      </c>
      <c r="AZ21">
        <v>0</v>
      </c>
      <c r="BA21" t="s">
        <v>6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Y21*Source!I27</f>
        <v>112.00000000000001</v>
      </c>
      <c r="CY21">
        <f>AA21</f>
        <v>1524.31</v>
      </c>
      <c r="CZ21">
        <f>AE21</f>
        <v>232.01</v>
      </c>
      <c r="DA21">
        <f>AI21</f>
        <v>6.57</v>
      </c>
      <c r="DB21">
        <v>0</v>
      </c>
    </row>
    <row r="22" spans="1:106" x14ac:dyDescent="0.2">
      <c r="A22">
        <f>ROW(Source!A29)</f>
        <v>29</v>
      </c>
      <c r="B22">
        <v>16496534</v>
      </c>
      <c r="C22">
        <v>16496646</v>
      </c>
      <c r="D22">
        <v>15430767</v>
      </c>
      <c r="E22">
        <v>1</v>
      </c>
      <c r="F22">
        <v>1</v>
      </c>
      <c r="G22">
        <v>1</v>
      </c>
      <c r="H22">
        <v>1</v>
      </c>
      <c r="I22" t="s">
        <v>266</v>
      </c>
      <c r="J22" t="s">
        <v>6</v>
      </c>
      <c r="K22" t="s">
        <v>267</v>
      </c>
      <c r="L22">
        <v>1191</v>
      </c>
      <c r="N22">
        <v>1013</v>
      </c>
      <c r="O22" t="s">
        <v>233</v>
      </c>
      <c r="P22" t="s">
        <v>233</v>
      </c>
      <c r="Q22">
        <v>1</v>
      </c>
      <c r="W22">
        <v>0</v>
      </c>
      <c r="X22">
        <v>-400197608</v>
      </c>
      <c r="Y22">
        <v>41.41</v>
      </c>
      <c r="AA22">
        <v>0</v>
      </c>
      <c r="AB22">
        <v>0</v>
      </c>
      <c r="AC22">
        <v>0</v>
      </c>
      <c r="AD22">
        <v>56.04</v>
      </c>
      <c r="AE22">
        <v>0</v>
      </c>
      <c r="AF22">
        <v>0</v>
      </c>
      <c r="AG22">
        <v>0</v>
      </c>
      <c r="AH22">
        <v>8.5299999999999994</v>
      </c>
      <c r="AI22">
        <v>1</v>
      </c>
      <c r="AJ22">
        <v>1</v>
      </c>
      <c r="AK22">
        <v>1</v>
      </c>
      <c r="AL22">
        <v>6.57</v>
      </c>
      <c r="AN22">
        <v>0</v>
      </c>
      <c r="AO22">
        <v>1</v>
      </c>
      <c r="AP22">
        <v>0</v>
      </c>
      <c r="AQ22">
        <v>0</v>
      </c>
      <c r="AR22">
        <v>0</v>
      </c>
      <c r="AS22" t="s">
        <v>6</v>
      </c>
      <c r="AT22">
        <v>41.41</v>
      </c>
      <c r="AU22" t="s">
        <v>6</v>
      </c>
      <c r="AV22">
        <v>1</v>
      </c>
      <c r="AW22">
        <v>2</v>
      </c>
      <c r="AX22">
        <v>16496657</v>
      </c>
      <c r="AY22">
        <v>1</v>
      </c>
      <c r="AZ22">
        <v>0</v>
      </c>
      <c r="BA22">
        <v>22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Y22*Source!I29</f>
        <v>46.379199999999997</v>
      </c>
      <c r="CY22">
        <f>AD22</f>
        <v>56.04</v>
      </c>
      <c r="CZ22">
        <f>AH22</f>
        <v>8.5299999999999994</v>
      </c>
      <c r="DA22">
        <f>AL22</f>
        <v>6.57</v>
      </c>
      <c r="DB22">
        <v>0</v>
      </c>
    </row>
    <row r="23" spans="1:106" x14ac:dyDescent="0.2">
      <c r="A23">
        <f>ROW(Source!A29)</f>
        <v>29</v>
      </c>
      <c r="B23">
        <v>16496534</v>
      </c>
      <c r="C23">
        <v>16496646</v>
      </c>
      <c r="D23">
        <v>15430395</v>
      </c>
      <c r="E23">
        <v>1</v>
      </c>
      <c r="F23">
        <v>1</v>
      </c>
      <c r="G23">
        <v>1</v>
      </c>
      <c r="H23">
        <v>1</v>
      </c>
      <c r="I23" t="s">
        <v>234</v>
      </c>
      <c r="J23" t="s">
        <v>6</v>
      </c>
      <c r="K23" t="s">
        <v>235</v>
      </c>
      <c r="L23">
        <v>1191</v>
      </c>
      <c r="N23">
        <v>1013</v>
      </c>
      <c r="O23" t="s">
        <v>233</v>
      </c>
      <c r="P23" t="s">
        <v>233</v>
      </c>
      <c r="Q23">
        <v>1</v>
      </c>
      <c r="W23">
        <v>0</v>
      </c>
      <c r="X23">
        <v>-1417349443</v>
      </c>
      <c r="Y23">
        <v>0.12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1</v>
      </c>
      <c r="AJ23">
        <v>1</v>
      </c>
      <c r="AK23">
        <v>6.57</v>
      </c>
      <c r="AL23">
        <v>1</v>
      </c>
      <c r="AN23">
        <v>0</v>
      </c>
      <c r="AO23">
        <v>1</v>
      </c>
      <c r="AP23">
        <v>0</v>
      </c>
      <c r="AQ23">
        <v>0</v>
      </c>
      <c r="AR23">
        <v>0</v>
      </c>
      <c r="AS23" t="s">
        <v>6</v>
      </c>
      <c r="AT23">
        <v>0.12</v>
      </c>
      <c r="AU23" t="s">
        <v>6</v>
      </c>
      <c r="AV23">
        <v>2</v>
      </c>
      <c r="AW23">
        <v>2</v>
      </c>
      <c r="AX23">
        <v>16496658</v>
      </c>
      <c r="AY23">
        <v>1</v>
      </c>
      <c r="AZ23">
        <v>0</v>
      </c>
      <c r="BA23">
        <v>23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Y23*Source!I29</f>
        <v>0.13440000000000002</v>
      </c>
      <c r="CY23">
        <f>AD23</f>
        <v>0</v>
      </c>
      <c r="CZ23">
        <f>AH23</f>
        <v>0</v>
      </c>
      <c r="DA23">
        <f>AL23</f>
        <v>1</v>
      </c>
      <c r="DB23">
        <v>0</v>
      </c>
    </row>
    <row r="24" spans="1:106" x14ac:dyDescent="0.2">
      <c r="A24">
        <f>ROW(Source!A29)</f>
        <v>29</v>
      </c>
      <c r="B24">
        <v>16496534</v>
      </c>
      <c r="C24">
        <v>16496646</v>
      </c>
      <c r="D24">
        <v>15247974</v>
      </c>
      <c r="E24">
        <v>1</v>
      </c>
      <c r="F24">
        <v>1</v>
      </c>
      <c r="G24">
        <v>1</v>
      </c>
      <c r="H24">
        <v>2</v>
      </c>
      <c r="I24" t="s">
        <v>236</v>
      </c>
      <c r="J24" t="s">
        <v>237</v>
      </c>
      <c r="K24" t="s">
        <v>238</v>
      </c>
      <c r="L24">
        <v>1368</v>
      </c>
      <c r="N24">
        <v>1011</v>
      </c>
      <c r="O24" t="s">
        <v>239</v>
      </c>
      <c r="P24" t="s">
        <v>239</v>
      </c>
      <c r="Q24">
        <v>1</v>
      </c>
      <c r="W24">
        <v>0</v>
      </c>
      <c r="X24">
        <v>1188625873</v>
      </c>
      <c r="Y24">
        <v>0.08</v>
      </c>
      <c r="AA24">
        <v>0</v>
      </c>
      <c r="AB24">
        <v>205.38</v>
      </c>
      <c r="AC24">
        <v>13.5</v>
      </c>
      <c r="AD24">
        <v>0</v>
      </c>
      <c r="AE24">
        <v>0</v>
      </c>
      <c r="AF24">
        <v>31.26</v>
      </c>
      <c r="AG24">
        <v>13.5</v>
      </c>
      <c r="AH24">
        <v>0</v>
      </c>
      <c r="AI24">
        <v>1</v>
      </c>
      <c r="AJ24">
        <v>6.57</v>
      </c>
      <c r="AK24">
        <v>1</v>
      </c>
      <c r="AL24">
        <v>1</v>
      </c>
      <c r="AN24">
        <v>0</v>
      </c>
      <c r="AO24">
        <v>1</v>
      </c>
      <c r="AP24">
        <v>0</v>
      </c>
      <c r="AQ24">
        <v>0</v>
      </c>
      <c r="AR24">
        <v>0</v>
      </c>
      <c r="AS24" t="s">
        <v>6</v>
      </c>
      <c r="AT24">
        <v>0.08</v>
      </c>
      <c r="AU24" t="s">
        <v>6</v>
      </c>
      <c r="AV24">
        <v>0</v>
      </c>
      <c r="AW24">
        <v>2</v>
      </c>
      <c r="AX24">
        <v>16496659</v>
      </c>
      <c r="AY24">
        <v>1</v>
      </c>
      <c r="AZ24">
        <v>0</v>
      </c>
      <c r="BA24">
        <v>24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Y24*Source!I29</f>
        <v>8.9600000000000013E-2</v>
      </c>
      <c r="CY24">
        <f>AB24</f>
        <v>205.38</v>
      </c>
      <c r="CZ24">
        <f>AF24</f>
        <v>31.26</v>
      </c>
      <c r="DA24">
        <f>AJ24</f>
        <v>6.57</v>
      </c>
      <c r="DB24">
        <v>0</v>
      </c>
    </row>
    <row r="25" spans="1:106" x14ac:dyDescent="0.2">
      <c r="A25">
        <f>ROW(Source!A29)</f>
        <v>29</v>
      </c>
      <c r="B25">
        <v>16496534</v>
      </c>
      <c r="C25">
        <v>16496646</v>
      </c>
      <c r="D25">
        <v>15249073</v>
      </c>
      <c r="E25">
        <v>1</v>
      </c>
      <c r="F25">
        <v>1</v>
      </c>
      <c r="G25">
        <v>1</v>
      </c>
      <c r="H25">
        <v>2</v>
      </c>
      <c r="I25" t="s">
        <v>242</v>
      </c>
      <c r="J25" t="s">
        <v>243</v>
      </c>
      <c r="K25" t="s">
        <v>244</v>
      </c>
      <c r="L25">
        <v>1368</v>
      </c>
      <c r="N25">
        <v>1011</v>
      </c>
      <c r="O25" t="s">
        <v>239</v>
      </c>
      <c r="P25" t="s">
        <v>239</v>
      </c>
      <c r="Q25">
        <v>1</v>
      </c>
      <c r="W25">
        <v>0</v>
      </c>
      <c r="X25">
        <v>1372534845</v>
      </c>
      <c r="Y25">
        <v>0.04</v>
      </c>
      <c r="AA25">
        <v>0</v>
      </c>
      <c r="AB25">
        <v>431.71</v>
      </c>
      <c r="AC25">
        <v>11.6</v>
      </c>
      <c r="AD25">
        <v>0</v>
      </c>
      <c r="AE25">
        <v>0</v>
      </c>
      <c r="AF25">
        <v>65.709999999999994</v>
      </c>
      <c r="AG25">
        <v>11.6</v>
      </c>
      <c r="AH25">
        <v>0</v>
      </c>
      <c r="AI25">
        <v>1</v>
      </c>
      <c r="AJ25">
        <v>6.57</v>
      </c>
      <c r="AK25">
        <v>1</v>
      </c>
      <c r="AL25">
        <v>1</v>
      </c>
      <c r="AN25">
        <v>0</v>
      </c>
      <c r="AO25">
        <v>1</v>
      </c>
      <c r="AP25">
        <v>0</v>
      </c>
      <c r="AQ25">
        <v>0</v>
      </c>
      <c r="AR25">
        <v>0</v>
      </c>
      <c r="AS25" t="s">
        <v>6</v>
      </c>
      <c r="AT25">
        <v>0.04</v>
      </c>
      <c r="AU25" t="s">
        <v>6</v>
      </c>
      <c r="AV25">
        <v>0</v>
      </c>
      <c r="AW25">
        <v>2</v>
      </c>
      <c r="AX25">
        <v>16496660</v>
      </c>
      <c r="AY25">
        <v>1</v>
      </c>
      <c r="AZ25">
        <v>0</v>
      </c>
      <c r="BA25">
        <v>25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Y25*Source!I29</f>
        <v>4.4800000000000006E-2</v>
      </c>
      <c r="CY25">
        <f>AB25</f>
        <v>431.71</v>
      </c>
      <c r="CZ25">
        <f>AF25</f>
        <v>65.709999999999994</v>
      </c>
      <c r="DA25">
        <f>AJ25</f>
        <v>6.57</v>
      </c>
      <c r="DB25">
        <v>0</v>
      </c>
    </row>
    <row r="26" spans="1:106" x14ac:dyDescent="0.2">
      <c r="A26">
        <f>ROW(Source!A29)</f>
        <v>29</v>
      </c>
      <c r="B26">
        <v>16496534</v>
      </c>
      <c r="C26">
        <v>16496646</v>
      </c>
      <c r="D26">
        <v>15170039</v>
      </c>
      <c r="E26">
        <v>1</v>
      </c>
      <c r="F26">
        <v>1</v>
      </c>
      <c r="G26">
        <v>1</v>
      </c>
      <c r="H26">
        <v>3</v>
      </c>
      <c r="I26" t="s">
        <v>268</v>
      </c>
      <c r="J26" t="s">
        <v>269</v>
      </c>
      <c r="K26" t="s">
        <v>270</v>
      </c>
      <c r="L26">
        <v>1348</v>
      </c>
      <c r="N26">
        <v>1009</v>
      </c>
      <c r="O26" t="s">
        <v>81</v>
      </c>
      <c r="P26" t="s">
        <v>81</v>
      </c>
      <c r="Q26">
        <v>1000</v>
      </c>
      <c r="W26">
        <v>0</v>
      </c>
      <c r="X26">
        <v>1174701286</v>
      </c>
      <c r="Y26">
        <v>4.0000000000000001E-3</v>
      </c>
      <c r="AA26">
        <v>78695.460000000006</v>
      </c>
      <c r="AB26">
        <v>0</v>
      </c>
      <c r="AC26">
        <v>0</v>
      </c>
      <c r="AD26">
        <v>0</v>
      </c>
      <c r="AE26">
        <v>11978</v>
      </c>
      <c r="AF26">
        <v>0</v>
      </c>
      <c r="AG26">
        <v>0</v>
      </c>
      <c r="AH26">
        <v>0</v>
      </c>
      <c r="AI26">
        <v>6.57</v>
      </c>
      <c r="AJ26">
        <v>1</v>
      </c>
      <c r="AK26">
        <v>1</v>
      </c>
      <c r="AL26">
        <v>1</v>
      </c>
      <c r="AN26">
        <v>0</v>
      </c>
      <c r="AO26">
        <v>1</v>
      </c>
      <c r="AP26">
        <v>0</v>
      </c>
      <c r="AQ26">
        <v>0</v>
      </c>
      <c r="AR26">
        <v>0</v>
      </c>
      <c r="AS26" t="s">
        <v>6</v>
      </c>
      <c r="AT26">
        <v>4.0000000000000001E-3</v>
      </c>
      <c r="AU26" t="s">
        <v>6</v>
      </c>
      <c r="AV26">
        <v>0</v>
      </c>
      <c r="AW26">
        <v>2</v>
      </c>
      <c r="AX26">
        <v>16496662</v>
      </c>
      <c r="AY26">
        <v>1</v>
      </c>
      <c r="AZ26">
        <v>0</v>
      </c>
      <c r="BA26">
        <v>27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Y26*Source!I29</f>
        <v>4.4800000000000005E-3</v>
      </c>
      <c r="CY26">
        <f>AA26</f>
        <v>78695.460000000006</v>
      </c>
      <c r="CZ26">
        <f>AE26</f>
        <v>11978</v>
      </c>
      <c r="DA26">
        <f>AI26</f>
        <v>6.57</v>
      </c>
      <c r="DB26">
        <v>0</v>
      </c>
    </row>
    <row r="27" spans="1:106" x14ac:dyDescent="0.2">
      <c r="A27">
        <f>ROW(Source!A29)</f>
        <v>29</v>
      </c>
      <c r="B27">
        <v>16496534</v>
      </c>
      <c r="C27">
        <v>16496646</v>
      </c>
      <c r="D27">
        <v>15191139</v>
      </c>
      <c r="E27">
        <v>1</v>
      </c>
      <c r="F27">
        <v>1</v>
      </c>
      <c r="G27">
        <v>1</v>
      </c>
      <c r="H27">
        <v>3</v>
      </c>
      <c r="I27" t="s">
        <v>271</v>
      </c>
      <c r="J27" t="s">
        <v>272</v>
      </c>
      <c r="K27" t="s">
        <v>273</v>
      </c>
      <c r="L27">
        <v>1348</v>
      </c>
      <c r="N27">
        <v>1009</v>
      </c>
      <c r="O27" t="s">
        <v>81</v>
      </c>
      <c r="P27" t="s">
        <v>81</v>
      </c>
      <c r="Q27">
        <v>1000</v>
      </c>
      <c r="W27">
        <v>0</v>
      </c>
      <c r="X27">
        <v>-740471490</v>
      </c>
      <c r="Y27">
        <v>6.0000000000000001E-3</v>
      </c>
      <c r="AA27">
        <v>52711.11</v>
      </c>
      <c r="AB27">
        <v>0</v>
      </c>
      <c r="AC27">
        <v>0</v>
      </c>
      <c r="AD27">
        <v>0</v>
      </c>
      <c r="AE27">
        <v>8023</v>
      </c>
      <c r="AF27">
        <v>0</v>
      </c>
      <c r="AG27">
        <v>0</v>
      </c>
      <c r="AH27">
        <v>0</v>
      </c>
      <c r="AI27">
        <v>6.57</v>
      </c>
      <c r="AJ27">
        <v>1</v>
      </c>
      <c r="AK27">
        <v>1</v>
      </c>
      <c r="AL27">
        <v>1</v>
      </c>
      <c r="AN27">
        <v>0</v>
      </c>
      <c r="AO27">
        <v>1</v>
      </c>
      <c r="AP27">
        <v>0</v>
      </c>
      <c r="AQ27">
        <v>0</v>
      </c>
      <c r="AR27">
        <v>0</v>
      </c>
      <c r="AS27" t="s">
        <v>6</v>
      </c>
      <c r="AT27">
        <v>6.0000000000000001E-3</v>
      </c>
      <c r="AU27" t="s">
        <v>6</v>
      </c>
      <c r="AV27">
        <v>0</v>
      </c>
      <c r="AW27">
        <v>2</v>
      </c>
      <c r="AX27">
        <v>16496663</v>
      </c>
      <c r="AY27">
        <v>1</v>
      </c>
      <c r="AZ27">
        <v>0</v>
      </c>
      <c r="BA27">
        <v>28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Y27*Source!I29</f>
        <v>6.7200000000000011E-3</v>
      </c>
      <c r="CY27">
        <f>AA27</f>
        <v>52711.11</v>
      </c>
      <c r="CZ27">
        <f>AE27</f>
        <v>8023</v>
      </c>
      <c r="DA27">
        <f>AI27</f>
        <v>6.57</v>
      </c>
      <c r="DB27">
        <v>0</v>
      </c>
    </row>
    <row r="28" spans="1:106" x14ac:dyDescent="0.2">
      <c r="A28">
        <f>ROW(Source!A29)</f>
        <v>29</v>
      </c>
      <c r="B28">
        <v>16496534</v>
      </c>
      <c r="C28">
        <v>16496646</v>
      </c>
      <c r="D28">
        <v>0</v>
      </c>
      <c r="E28">
        <v>0</v>
      </c>
      <c r="F28">
        <v>1</v>
      </c>
      <c r="G28">
        <v>1</v>
      </c>
      <c r="H28">
        <v>3</v>
      </c>
      <c r="I28" t="s">
        <v>30</v>
      </c>
      <c r="J28" t="s">
        <v>6</v>
      </c>
      <c r="K28" t="s">
        <v>51</v>
      </c>
      <c r="L28">
        <v>1301</v>
      </c>
      <c r="N28">
        <v>1003</v>
      </c>
      <c r="O28" t="s">
        <v>41</v>
      </c>
      <c r="P28" t="s">
        <v>41</v>
      </c>
      <c r="Q28">
        <v>1</v>
      </c>
      <c r="W28">
        <v>0</v>
      </c>
      <c r="X28">
        <v>-1929252935</v>
      </c>
      <c r="Y28">
        <v>100</v>
      </c>
      <c r="AA28">
        <v>188.16</v>
      </c>
      <c r="AB28">
        <v>0</v>
      </c>
      <c r="AC28">
        <v>0</v>
      </c>
      <c r="AD28">
        <v>0</v>
      </c>
      <c r="AE28">
        <v>28.64</v>
      </c>
      <c r="AF28">
        <v>0</v>
      </c>
      <c r="AG28">
        <v>0</v>
      </c>
      <c r="AH28">
        <v>0</v>
      </c>
      <c r="AI28">
        <v>6.57</v>
      </c>
      <c r="AJ28">
        <v>1</v>
      </c>
      <c r="AK28">
        <v>1</v>
      </c>
      <c r="AL28">
        <v>1</v>
      </c>
      <c r="AN28">
        <v>0</v>
      </c>
      <c r="AO28">
        <v>0</v>
      </c>
      <c r="AP28">
        <v>0</v>
      </c>
      <c r="AQ28">
        <v>0</v>
      </c>
      <c r="AR28">
        <v>0</v>
      </c>
      <c r="AS28" t="s">
        <v>6</v>
      </c>
      <c r="AT28">
        <v>100</v>
      </c>
      <c r="AU28" t="s">
        <v>6</v>
      </c>
      <c r="AV28">
        <v>0</v>
      </c>
      <c r="AW28">
        <v>1</v>
      </c>
      <c r="AX28">
        <v>-1</v>
      </c>
      <c r="AY28">
        <v>0</v>
      </c>
      <c r="AZ28">
        <v>0</v>
      </c>
      <c r="BA28" t="s">
        <v>6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Y28*Source!I29</f>
        <v>112.00000000000001</v>
      </c>
      <c r="CY28">
        <f>AA28</f>
        <v>188.16</v>
      </c>
      <c r="CZ28">
        <f>AE28</f>
        <v>28.64</v>
      </c>
      <c r="DA28">
        <f>AI28</f>
        <v>6.57</v>
      </c>
      <c r="DB28">
        <v>0</v>
      </c>
    </row>
    <row r="29" spans="1:106" x14ac:dyDescent="0.2">
      <c r="A29">
        <f>ROW(Source!A31)</f>
        <v>31</v>
      </c>
      <c r="B29">
        <v>16496534</v>
      </c>
      <c r="C29">
        <v>16496669</v>
      </c>
      <c r="D29">
        <v>15438286</v>
      </c>
      <c r="E29">
        <v>1</v>
      </c>
      <c r="F29">
        <v>1</v>
      </c>
      <c r="G29">
        <v>1</v>
      </c>
      <c r="H29">
        <v>1</v>
      </c>
      <c r="I29" t="s">
        <v>274</v>
      </c>
      <c r="J29" t="s">
        <v>6</v>
      </c>
      <c r="K29" t="s">
        <v>275</v>
      </c>
      <c r="L29">
        <v>1191</v>
      </c>
      <c r="N29">
        <v>1013</v>
      </c>
      <c r="O29" t="s">
        <v>233</v>
      </c>
      <c r="P29" t="s">
        <v>233</v>
      </c>
      <c r="Q29">
        <v>1</v>
      </c>
      <c r="W29">
        <v>0</v>
      </c>
      <c r="X29">
        <v>-1027537862</v>
      </c>
      <c r="Y29">
        <v>166.47</v>
      </c>
      <c r="AA29">
        <v>0</v>
      </c>
      <c r="AB29">
        <v>0</v>
      </c>
      <c r="AC29">
        <v>0</v>
      </c>
      <c r="AD29">
        <v>60.31</v>
      </c>
      <c r="AE29">
        <v>0</v>
      </c>
      <c r="AF29">
        <v>0</v>
      </c>
      <c r="AG29">
        <v>0</v>
      </c>
      <c r="AH29">
        <v>9.18</v>
      </c>
      <c r="AI29">
        <v>1</v>
      </c>
      <c r="AJ29">
        <v>1</v>
      </c>
      <c r="AK29">
        <v>1</v>
      </c>
      <c r="AL29">
        <v>6.57</v>
      </c>
      <c r="AN29">
        <v>0</v>
      </c>
      <c r="AO29">
        <v>1</v>
      </c>
      <c r="AP29">
        <v>0</v>
      </c>
      <c r="AQ29">
        <v>0</v>
      </c>
      <c r="AR29">
        <v>0</v>
      </c>
      <c r="AS29" t="s">
        <v>6</v>
      </c>
      <c r="AT29">
        <v>166.47</v>
      </c>
      <c r="AU29" t="s">
        <v>6</v>
      </c>
      <c r="AV29">
        <v>1</v>
      </c>
      <c r="AW29">
        <v>2</v>
      </c>
      <c r="AX29">
        <v>16496681</v>
      </c>
      <c r="AY29">
        <v>1</v>
      </c>
      <c r="AZ29">
        <v>0</v>
      </c>
      <c r="BA29">
        <v>30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Y29*Source!I31</f>
        <v>246.641952</v>
      </c>
      <c r="CY29">
        <f>AD29</f>
        <v>60.31</v>
      </c>
      <c r="CZ29">
        <f>AH29</f>
        <v>9.18</v>
      </c>
      <c r="DA29">
        <f>AL29</f>
        <v>6.57</v>
      </c>
      <c r="DB29">
        <v>0</v>
      </c>
    </row>
    <row r="30" spans="1:106" x14ac:dyDescent="0.2">
      <c r="A30">
        <f>ROW(Source!A31)</f>
        <v>31</v>
      </c>
      <c r="B30">
        <v>16496534</v>
      </c>
      <c r="C30">
        <v>16496669</v>
      </c>
      <c r="D30">
        <v>15430395</v>
      </c>
      <c r="E30">
        <v>1</v>
      </c>
      <c r="F30">
        <v>1</v>
      </c>
      <c r="G30">
        <v>1</v>
      </c>
      <c r="H30">
        <v>1</v>
      </c>
      <c r="I30" t="s">
        <v>234</v>
      </c>
      <c r="J30" t="s">
        <v>6</v>
      </c>
      <c r="K30" t="s">
        <v>235</v>
      </c>
      <c r="L30">
        <v>1191</v>
      </c>
      <c r="N30">
        <v>1013</v>
      </c>
      <c r="O30" t="s">
        <v>233</v>
      </c>
      <c r="P30" t="s">
        <v>233</v>
      </c>
      <c r="Q30">
        <v>1</v>
      </c>
      <c r="W30">
        <v>0</v>
      </c>
      <c r="X30">
        <v>-1417349443</v>
      </c>
      <c r="Y30">
        <v>0.57999999999999996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1</v>
      </c>
      <c r="AJ30">
        <v>1</v>
      </c>
      <c r="AK30">
        <v>6.57</v>
      </c>
      <c r="AL30">
        <v>1</v>
      </c>
      <c r="AN30">
        <v>0</v>
      </c>
      <c r="AO30">
        <v>1</v>
      </c>
      <c r="AP30">
        <v>0</v>
      </c>
      <c r="AQ30">
        <v>0</v>
      </c>
      <c r="AR30">
        <v>0</v>
      </c>
      <c r="AS30" t="s">
        <v>6</v>
      </c>
      <c r="AT30">
        <v>0.57999999999999996</v>
      </c>
      <c r="AU30" t="s">
        <v>6</v>
      </c>
      <c r="AV30">
        <v>2</v>
      </c>
      <c r="AW30">
        <v>2</v>
      </c>
      <c r="AX30">
        <v>16496682</v>
      </c>
      <c r="AY30">
        <v>1</v>
      </c>
      <c r="AZ30">
        <v>0</v>
      </c>
      <c r="BA30">
        <v>31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Y30*Source!I31</f>
        <v>0.85932799999999998</v>
      </c>
      <c r="CY30">
        <f>AD30</f>
        <v>0</v>
      </c>
      <c r="CZ30">
        <f>AH30</f>
        <v>0</v>
      </c>
      <c r="DA30">
        <f>AL30</f>
        <v>1</v>
      </c>
      <c r="DB30">
        <v>0</v>
      </c>
    </row>
    <row r="31" spans="1:106" x14ac:dyDescent="0.2">
      <c r="A31">
        <f>ROW(Source!A31)</f>
        <v>31</v>
      </c>
      <c r="B31">
        <v>16496534</v>
      </c>
      <c r="C31">
        <v>16496669</v>
      </c>
      <c r="D31">
        <v>15247974</v>
      </c>
      <c r="E31">
        <v>1</v>
      </c>
      <c r="F31">
        <v>1</v>
      </c>
      <c r="G31">
        <v>1</v>
      </c>
      <c r="H31">
        <v>2</v>
      </c>
      <c r="I31" t="s">
        <v>236</v>
      </c>
      <c r="J31" t="s">
        <v>237</v>
      </c>
      <c r="K31" t="s">
        <v>238</v>
      </c>
      <c r="L31">
        <v>1368</v>
      </c>
      <c r="N31">
        <v>1011</v>
      </c>
      <c r="O31" t="s">
        <v>239</v>
      </c>
      <c r="P31" t="s">
        <v>239</v>
      </c>
      <c r="Q31">
        <v>1</v>
      </c>
      <c r="W31">
        <v>0</v>
      </c>
      <c r="X31">
        <v>1188625873</v>
      </c>
      <c r="Y31">
        <v>0.08</v>
      </c>
      <c r="AA31">
        <v>0</v>
      </c>
      <c r="AB31">
        <v>205.38</v>
      </c>
      <c r="AC31">
        <v>13.5</v>
      </c>
      <c r="AD31">
        <v>0</v>
      </c>
      <c r="AE31">
        <v>0</v>
      </c>
      <c r="AF31">
        <v>31.26</v>
      </c>
      <c r="AG31">
        <v>13.5</v>
      </c>
      <c r="AH31">
        <v>0</v>
      </c>
      <c r="AI31">
        <v>1</v>
      </c>
      <c r="AJ31">
        <v>6.57</v>
      </c>
      <c r="AK31">
        <v>1</v>
      </c>
      <c r="AL31">
        <v>1</v>
      </c>
      <c r="AN31">
        <v>0</v>
      </c>
      <c r="AO31">
        <v>1</v>
      </c>
      <c r="AP31">
        <v>0</v>
      </c>
      <c r="AQ31">
        <v>0</v>
      </c>
      <c r="AR31">
        <v>0</v>
      </c>
      <c r="AS31" t="s">
        <v>6</v>
      </c>
      <c r="AT31">
        <v>0.08</v>
      </c>
      <c r="AU31" t="s">
        <v>6</v>
      </c>
      <c r="AV31">
        <v>0</v>
      </c>
      <c r="AW31">
        <v>2</v>
      </c>
      <c r="AX31">
        <v>16496683</v>
      </c>
      <c r="AY31">
        <v>1</v>
      </c>
      <c r="AZ31">
        <v>0</v>
      </c>
      <c r="BA31">
        <v>32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Y31*Source!I31</f>
        <v>0.11852800000000001</v>
      </c>
      <c r="CY31">
        <f>AB31</f>
        <v>205.38</v>
      </c>
      <c r="CZ31">
        <f>AF31</f>
        <v>31.26</v>
      </c>
      <c r="DA31">
        <f>AJ31</f>
        <v>6.57</v>
      </c>
      <c r="DB31">
        <v>0</v>
      </c>
    </row>
    <row r="32" spans="1:106" x14ac:dyDescent="0.2">
      <c r="A32">
        <f>ROW(Source!A31)</f>
        <v>31</v>
      </c>
      <c r="B32">
        <v>16496534</v>
      </c>
      <c r="C32">
        <v>16496669</v>
      </c>
      <c r="D32">
        <v>15249073</v>
      </c>
      <c r="E32">
        <v>1</v>
      </c>
      <c r="F32">
        <v>1</v>
      </c>
      <c r="G32">
        <v>1</v>
      </c>
      <c r="H32">
        <v>2</v>
      </c>
      <c r="I32" t="s">
        <v>242</v>
      </c>
      <c r="J32" t="s">
        <v>243</v>
      </c>
      <c r="K32" t="s">
        <v>244</v>
      </c>
      <c r="L32">
        <v>1368</v>
      </c>
      <c r="N32">
        <v>1011</v>
      </c>
      <c r="O32" t="s">
        <v>239</v>
      </c>
      <c r="P32" t="s">
        <v>239</v>
      </c>
      <c r="Q32">
        <v>1</v>
      </c>
      <c r="W32">
        <v>0</v>
      </c>
      <c r="X32">
        <v>1372534845</v>
      </c>
      <c r="Y32">
        <v>0.5</v>
      </c>
      <c r="AA32">
        <v>0</v>
      </c>
      <c r="AB32">
        <v>431.71</v>
      </c>
      <c r="AC32">
        <v>11.6</v>
      </c>
      <c r="AD32">
        <v>0</v>
      </c>
      <c r="AE32">
        <v>0</v>
      </c>
      <c r="AF32">
        <v>65.709999999999994</v>
      </c>
      <c r="AG32">
        <v>11.6</v>
      </c>
      <c r="AH32">
        <v>0</v>
      </c>
      <c r="AI32">
        <v>1</v>
      </c>
      <c r="AJ32">
        <v>6.57</v>
      </c>
      <c r="AK32">
        <v>1</v>
      </c>
      <c r="AL32">
        <v>1</v>
      </c>
      <c r="AN32">
        <v>0</v>
      </c>
      <c r="AO32">
        <v>1</v>
      </c>
      <c r="AP32">
        <v>0</v>
      </c>
      <c r="AQ32">
        <v>0</v>
      </c>
      <c r="AR32">
        <v>0</v>
      </c>
      <c r="AS32" t="s">
        <v>6</v>
      </c>
      <c r="AT32">
        <v>0.5</v>
      </c>
      <c r="AU32" t="s">
        <v>6</v>
      </c>
      <c r="AV32">
        <v>0</v>
      </c>
      <c r="AW32">
        <v>2</v>
      </c>
      <c r="AX32">
        <v>16496684</v>
      </c>
      <c r="AY32">
        <v>1</v>
      </c>
      <c r="AZ32">
        <v>0</v>
      </c>
      <c r="BA32">
        <v>33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Y32*Source!I31</f>
        <v>0.74080000000000001</v>
      </c>
      <c r="CY32">
        <f>AB32</f>
        <v>431.71</v>
      </c>
      <c r="CZ32">
        <f>AF32</f>
        <v>65.709999999999994</v>
      </c>
      <c r="DA32">
        <f>AJ32</f>
        <v>6.57</v>
      </c>
      <c r="DB32">
        <v>0</v>
      </c>
    </row>
    <row r="33" spans="1:106" x14ac:dyDescent="0.2">
      <c r="A33">
        <f>ROW(Source!A31)</f>
        <v>31</v>
      </c>
      <c r="B33">
        <v>16496534</v>
      </c>
      <c r="C33">
        <v>16496669</v>
      </c>
      <c r="D33">
        <v>15162966</v>
      </c>
      <c r="E33">
        <v>17</v>
      </c>
      <c r="F33">
        <v>1</v>
      </c>
      <c r="G33">
        <v>1</v>
      </c>
      <c r="H33">
        <v>3</v>
      </c>
      <c r="I33" t="s">
        <v>60</v>
      </c>
      <c r="J33" t="s">
        <v>6</v>
      </c>
      <c r="K33" t="s">
        <v>61</v>
      </c>
      <c r="L33">
        <v>1327</v>
      </c>
      <c r="N33">
        <v>1005</v>
      </c>
      <c r="O33" t="s">
        <v>32</v>
      </c>
      <c r="P33" t="s">
        <v>32</v>
      </c>
      <c r="Q33">
        <v>1</v>
      </c>
      <c r="W33">
        <v>0</v>
      </c>
      <c r="X33">
        <v>-112006704</v>
      </c>
      <c r="Y33">
        <v>105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6.57</v>
      </c>
      <c r="AJ33">
        <v>1</v>
      </c>
      <c r="AK33">
        <v>1</v>
      </c>
      <c r="AL33">
        <v>1</v>
      </c>
      <c r="AN33">
        <v>0</v>
      </c>
      <c r="AO33">
        <v>0</v>
      </c>
      <c r="AP33">
        <v>0</v>
      </c>
      <c r="AQ33">
        <v>0</v>
      </c>
      <c r="AR33">
        <v>0</v>
      </c>
      <c r="AS33" t="s">
        <v>6</v>
      </c>
      <c r="AT33">
        <v>105</v>
      </c>
      <c r="AU33" t="s">
        <v>6</v>
      </c>
      <c r="AV33">
        <v>0</v>
      </c>
      <c r="AW33">
        <v>2</v>
      </c>
      <c r="AX33">
        <v>16496685</v>
      </c>
      <c r="AY33">
        <v>1</v>
      </c>
      <c r="AZ33">
        <v>0</v>
      </c>
      <c r="BA33">
        <v>34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Y33*Source!I31</f>
        <v>155.56800000000001</v>
      </c>
      <c r="CY33">
        <f t="shared" ref="CY33:CY39" si="3">AA33</f>
        <v>0</v>
      </c>
      <c r="CZ33">
        <f t="shared" ref="CZ33:CZ39" si="4">AE33</f>
        <v>0</v>
      </c>
      <c r="DA33">
        <f t="shared" ref="DA33:DA39" si="5">AI33</f>
        <v>6.57</v>
      </c>
      <c r="DB33">
        <v>0</v>
      </c>
    </row>
    <row r="34" spans="1:106" x14ac:dyDescent="0.2">
      <c r="A34">
        <f>ROW(Source!A31)</f>
        <v>31</v>
      </c>
      <c r="B34">
        <v>16496534</v>
      </c>
      <c r="C34">
        <v>16496669</v>
      </c>
      <c r="D34">
        <v>15171018</v>
      </c>
      <c r="E34">
        <v>1</v>
      </c>
      <c r="F34">
        <v>1</v>
      </c>
      <c r="G34">
        <v>1</v>
      </c>
      <c r="H34">
        <v>3</v>
      </c>
      <c r="I34" t="s">
        <v>276</v>
      </c>
      <c r="J34" t="s">
        <v>277</v>
      </c>
      <c r="K34" t="s">
        <v>278</v>
      </c>
      <c r="L34">
        <v>1346</v>
      </c>
      <c r="N34">
        <v>1009</v>
      </c>
      <c r="O34" t="s">
        <v>69</v>
      </c>
      <c r="P34" t="s">
        <v>69</v>
      </c>
      <c r="Q34">
        <v>1</v>
      </c>
      <c r="W34">
        <v>0</v>
      </c>
      <c r="X34">
        <v>813963326</v>
      </c>
      <c r="Y34">
        <v>0.2</v>
      </c>
      <c r="AA34">
        <v>11.96</v>
      </c>
      <c r="AB34">
        <v>0</v>
      </c>
      <c r="AC34">
        <v>0</v>
      </c>
      <c r="AD34">
        <v>0</v>
      </c>
      <c r="AE34">
        <v>1.82</v>
      </c>
      <c r="AF34">
        <v>0</v>
      </c>
      <c r="AG34">
        <v>0</v>
      </c>
      <c r="AH34">
        <v>0</v>
      </c>
      <c r="AI34">
        <v>6.57</v>
      </c>
      <c r="AJ34">
        <v>1</v>
      </c>
      <c r="AK34">
        <v>1</v>
      </c>
      <c r="AL34">
        <v>1</v>
      </c>
      <c r="AN34">
        <v>0</v>
      </c>
      <c r="AO34">
        <v>1</v>
      </c>
      <c r="AP34">
        <v>0</v>
      </c>
      <c r="AQ34">
        <v>0</v>
      </c>
      <c r="AR34">
        <v>0</v>
      </c>
      <c r="AS34" t="s">
        <v>6</v>
      </c>
      <c r="AT34">
        <v>0.2</v>
      </c>
      <c r="AU34" t="s">
        <v>6</v>
      </c>
      <c r="AV34">
        <v>0</v>
      </c>
      <c r="AW34">
        <v>2</v>
      </c>
      <c r="AX34">
        <v>16496686</v>
      </c>
      <c r="AY34">
        <v>1</v>
      </c>
      <c r="AZ34">
        <v>0</v>
      </c>
      <c r="BA34">
        <v>35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Y34*Source!I31</f>
        <v>0.29632000000000003</v>
      </c>
      <c r="CY34">
        <f t="shared" si="3"/>
        <v>11.96</v>
      </c>
      <c r="CZ34">
        <f t="shared" si="4"/>
        <v>1.82</v>
      </c>
      <c r="DA34">
        <f t="shared" si="5"/>
        <v>6.57</v>
      </c>
      <c r="DB34">
        <v>0</v>
      </c>
    </row>
    <row r="35" spans="1:106" x14ac:dyDescent="0.2">
      <c r="A35">
        <f>ROW(Source!A31)</f>
        <v>31</v>
      </c>
      <c r="B35">
        <v>16496534</v>
      </c>
      <c r="C35">
        <v>16496669</v>
      </c>
      <c r="D35">
        <v>15197671</v>
      </c>
      <c r="E35">
        <v>1</v>
      </c>
      <c r="F35">
        <v>1</v>
      </c>
      <c r="G35">
        <v>1</v>
      </c>
      <c r="H35">
        <v>3</v>
      </c>
      <c r="I35" t="s">
        <v>63</v>
      </c>
      <c r="J35" t="s">
        <v>65</v>
      </c>
      <c r="K35" t="s">
        <v>64</v>
      </c>
      <c r="L35">
        <v>1327</v>
      </c>
      <c r="N35">
        <v>1005</v>
      </c>
      <c r="O35" t="s">
        <v>32</v>
      </c>
      <c r="P35" t="s">
        <v>32</v>
      </c>
      <c r="Q35">
        <v>1</v>
      </c>
      <c r="W35">
        <v>0</v>
      </c>
      <c r="X35">
        <v>-956992290</v>
      </c>
      <c r="Y35">
        <v>105</v>
      </c>
      <c r="AA35">
        <v>225.88</v>
      </c>
      <c r="AB35">
        <v>0</v>
      </c>
      <c r="AC35">
        <v>0</v>
      </c>
      <c r="AD35">
        <v>0</v>
      </c>
      <c r="AE35">
        <v>34.380000000000003</v>
      </c>
      <c r="AF35">
        <v>0</v>
      </c>
      <c r="AG35">
        <v>0</v>
      </c>
      <c r="AH35">
        <v>0</v>
      </c>
      <c r="AI35">
        <v>6.57</v>
      </c>
      <c r="AJ35">
        <v>1</v>
      </c>
      <c r="AK35">
        <v>1</v>
      </c>
      <c r="AL35">
        <v>1</v>
      </c>
      <c r="AN35">
        <v>0</v>
      </c>
      <c r="AO35">
        <v>0</v>
      </c>
      <c r="AP35">
        <v>0</v>
      </c>
      <c r="AQ35">
        <v>0</v>
      </c>
      <c r="AR35">
        <v>0</v>
      </c>
      <c r="AS35" t="s">
        <v>6</v>
      </c>
      <c r="AT35">
        <v>105</v>
      </c>
      <c r="AU35" t="s">
        <v>6</v>
      </c>
      <c r="AV35">
        <v>0</v>
      </c>
      <c r="AW35">
        <v>1</v>
      </c>
      <c r="AX35">
        <v>-1</v>
      </c>
      <c r="AY35">
        <v>0</v>
      </c>
      <c r="AZ35">
        <v>0</v>
      </c>
      <c r="BA35" t="s">
        <v>6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Y35*Source!I31</f>
        <v>155.56800000000001</v>
      </c>
      <c r="CY35">
        <f t="shared" si="3"/>
        <v>225.88</v>
      </c>
      <c r="CZ35">
        <f t="shared" si="4"/>
        <v>34.380000000000003</v>
      </c>
      <c r="DA35">
        <f t="shared" si="5"/>
        <v>6.57</v>
      </c>
      <c r="DB35">
        <v>0</v>
      </c>
    </row>
    <row r="36" spans="1:106" x14ac:dyDescent="0.2">
      <c r="A36">
        <f>ROW(Source!A31)</f>
        <v>31</v>
      </c>
      <c r="B36">
        <v>16496534</v>
      </c>
      <c r="C36">
        <v>16496669</v>
      </c>
      <c r="D36">
        <v>15202457</v>
      </c>
      <c r="E36">
        <v>1</v>
      </c>
      <c r="F36">
        <v>1</v>
      </c>
      <c r="G36">
        <v>1</v>
      </c>
      <c r="H36">
        <v>3</v>
      </c>
      <c r="I36" t="s">
        <v>71</v>
      </c>
      <c r="J36" t="s">
        <v>73</v>
      </c>
      <c r="K36" t="s">
        <v>72</v>
      </c>
      <c r="L36">
        <v>1346</v>
      </c>
      <c r="N36">
        <v>1009</v>
      </c>
      <c r="O36" t="s">
        <v>69</v>
      </c>
      <c r="P36" t="s">
        <v>69</v>
      </c>
      <c r="Q36">
        <v>1</v>
      </c>
      <c r="W36">
        <v>0</v>
      </c>
      <c r="X36">
        <v>1104462431</v>
      </c>
      <c r="Y36">
        <v>30</v>
      </c>
      <c r="AA36">
        <v>104.46</v>
      </c>
      <c r="AB36">
        <v>0</v>
      </c>
      <c r="AC36">
        <v>0</v>
      </c>
      <c r="AD36">
        <v>0</v>
      </c>
      <c r="AE36">
        <v>15.9</v>
      </c>
      <c r="AF36">
        <v>0</v>
      </c>
      <c r="AG36">
        <v>0</v>
      </c>
      <c r="AH36">
        <v>0</v>
      </c>
      <c r="AI36">
        <v>6.57</v>
      </c>
      <c r="AJ36">
        <v>1</v>
      </c>
      <c r="AK36">
        <v>1</v>
      </c>
      <c r="AL36">
        <v>1</v>
      </c>
      <c r="AN36">
        <v>0</v>
      </c>
      <c r="AO36">
        <v>0</v>
      </c>
      <c r="AP36">
        <v>0</v>
      </c>
      <c r="AQ36">
        <v>0</v>
      </c>
      <c r="AR36">
        <v>0</v>
      </c>
      <c r="AS36" t="s">
        <v>6</v>
      </c>
      <c r="AT36">
        <v>30</v>
      </c>
      <c r="AU36" t="s">
        <v>6</v>
      </c>
      <c r="AV36">
        <v>0</v>
      </c>
      <c r="AW36">
        <v>1</v>
      </c>
      <c r="AX36">
        <v>-1</v>
      </c>
      <c r="AY36">
        <v>0</v>
      </c>
      <c r="AZ36">
        <v>0</v>
      </c>
      <c r="BA36" t="s">
        <v>6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Y36*Source!I31</f>
        <v>44.448</v>
      </c>
      <c r="CY36">
        <f t="shared" si="3"/>
        <v>104.46</v>
      </c>
      <c r="CZ36">
        <f t="shared" si="4"/>
        <v>15.9</v>
      </c>
      <c r="DA36">
        <f t="shared" si="5"/>
        <v>6.57</v>
      </c>
      <c r="DB36">
        <v>0</v>
      </c>
    </row>
    <row r="37" spans="1:106" x14ac:dyDescent="0.2">
      <c r="A37">
        <f>ROW(Source!A31)</f>
        <v>31</v>
      </c>
      <c r="B37">
        <v>16496534</v>
      </c>
      <c r="C37">
        <v>16496669</v>
      </c>
      <c r="D37">
        <v>15162257</v>
      </c>
      <c r="E37">
        <v>17</v>
      </c>
      <c r="F37">
        <v>1</v>
      </c>
      <c r="G37">
        <v>1</v>
      </c>
      <c r="H37">
        <v>3</v>
      </c>
      <c r="I37" t="s">
        <v>67</v>
      </c>
      <c r="J37" t="s">
        <v>6</v>
      </c>
      <c r="K37" t="s">
        <v>68</v>
      </c>
      <c r="L37">
        <v>1346</v>
      </c>
      <c r="N37">
        <v>1009</v>
      </c>
      <c r="O37" t="s">
        <v>69</v>
      </c>
      <c r="P37" t="s">
        <v>69</v>
      </c>
      <c r="Q37">
        <v>1</v>
      </c>
      <c r="W37">
        <v>0</v>
      </c>
      <c r="X37">
        <v>-1516100259</v>
      </c>
      <c r="Y37">
        <v>30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6.57</v>
      </c>
      <c r="AJ37">
        <v>1</v>
      </c>
      <c r="AK37">
        <v>1</v>
      </c>
      <c r="AL37">
        <v>1</v>
      </c>
      <c r="AN37">
        <v>0</v>
      </c>
      <c r="AO37">
        <v>0</v>
      </c>
      <c r="AP37">
        <v>0</v>
      </c>
      <c r="AQ37">
        <v>0</v>
      </c>
      <c r="AR37">
        <v>0</v>
      </c>
      <c r="AS37" t="s">
        <v>6</v>
      </c>
      <c r="AT37">
        <v>30</v>
      </c>
      <c r="AU37" t="s">
        <v>6</v>
      </c>
      <c r="AV37">
        <v>0</v>
      </c>
      <c r="AW37">
        <v>2</v>
      </c>
      <c r="AX37">
        <v>16496687</v>
      </c>
      <c r="AY37">
        <v>1</v>
      </c>
      <c r="AZ37">
        <v>0</v>
      </c>
      <c r="BA37">
        <v>36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Y37*Source!I31</f>
        <v>44.448</v>
      </c>
      <c r="CY37">
        <f t="shared" si="3"/>
        <v>0</v>
      </c>
      <c r="CZ37">
        <f t="shared" si="4"/>
        <v>0</v>
      </c>
      <c r="DA37">
        <f t="shared" si="5"/>
        <v>6.57</v>
      </c>
      <c r="DB37">
        <v>0</v>
      </c>
    </row>
    <row r="38" spans="1:106" x14ac:dyDescent="0.2">
      <c r="A38">
        <f>ROW(Source!A31)</f>
        <v>31</v>
      </c>
      <c r="B38">
        <v>16496534</v>
      </c>
      <c r="C38">
        <v>16496669</v>
      </c>
      <c r="D38">
        <v>15203211</v>
      </c>
      <c r="E38">
        <v>1</v>
      </c>
      <c r="F38">
        <v>1</v>
      </c>
      <c r="G38">
        <v>1</v>
      </c>
      <c r="H38">
        <v>3</v>
      </c>
      <c r="I38" t="s">
        <v>75</v>
      </c>
      <c r="J38" t="s">
        <v>77</v>
      </c>
      <c r="K38" t="s">
        <v>76</v>
      </c>
      <c r="L38">
        <v>1346</v>
      </c>
      <c r="N38">
        <v>1009</v>
      </c>
      <c r="O38" t="s">
        <v>69</v>
      </c>
      <c r="P38" t="s">
        <v>69</v>
      </c>
      <c r="Q38">
        <v>1</v>
      </c>
      <c r="W38">
        <v>0</v>
      </c>
      <c r="X38">
        <v>1453462043</v>
      </c>
      <c r="Y38">
        <v>8.9001889999999992</v>
      </c>
      <c r="AA38">
        <v>99.14</v>
      </c>
      <c r="AB38">
        <v>0</v>
      </c>
      <c r="AC38">
        <v>0</v>
      </c>
      <c r="AD38">
        <v>0</v>
      </c>
      <c r="AE38">
        <v>15.09</v>
      </c>
      <c r="AF38">
        <v>0</v>
      </c>
      <c r="AG38">
        <v>0</v>
      </c>
      <c r="AH38">
        <v>0</v>
      </c>
      <c r="AI38">
        <v>6.57</v>
      </c>
      <c r="AJ38">
        <v>1</v>
      </c>
      <c r="AK38">
        <v>1</v>
      </c>
      <c r="AL38">
        <v>1</v>
      </c>
      <c r="AN38">
        <v>0</v>
      </c>
      <c r="AO38">
        <v>0</v>
      </c>
      <c r="AP38">
        <v>0</v>
      </c>
      <c r="AQ38">
        <v>0</v>
      </c>
      <c r="AR38">
        <v>0</v>
      </c>
      <c r="AS38" t="s">
        <v>6</v>
      </c>
      <c r="AT38">
        <v>8.9001889999999992</v>
      </c>
      <c r="AU38" t="s">
        <v>6</v>
      </c>
      <c r="AV38">
        <v>0</v>
      </c>
      <c r="AW38">
        <v>1</v>
      </c>
      <c r="AX38">
        <v>-1</v>
      </c>
      <c r="AY38">
        <v>0</v>
      </c>
      <c r="AZ38">
        <v>0</v>
      </c>
      <c r="BA38" t="s">
        <v>6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Y38*Source!I31</f>
        <v>13.1865200224</v>
      </c>
      <c r="CY38">
        <f t="shared" si="3"/>
        <v>99.14</v>
      </c>
      <c r="CZ38">
        <f t="shared" si="4"/>
        <v>15.09</v>
      </c>
      <c r="DA38">
        <f t="shared" si="5"/>
        <v>6.57</v>
      </c>
      <c r="DB38">
        <v>0</v>
      </c>
    </row>
    <row r="39" spans="1:106" x14ac:dyDescent="0.2">
      <c r="A39">
        <f>ROW(Source!A31)</f>
        <v>31</v>
      </c>
      <c r="B39">
        <v>16496534</v>
      </c>
      <c r="C39">
        <v>16496669</v>
      </c>
      <c r="D39">
        <v>15162572</v>
      </c>
      <c r="E39">
        <v>17</v>
      </c>
      <c r="F39">
        <v>1</v>
      </c>
      <c r="G39">
        <v>1</v>
      </c>
      <c r="H39">
        <v>3</v>
      </c>
      <c r="I39" t="s">
        <v>79</v>
      </c>
      <c r="J39" t="s">
        <v>6</v>
      </c>
      <c r="K39" t="s">
        <v>80</v>
      </c>
      <c r="L39">
        <v>1348</v>
      </c>
      <c r="N39">
        <v>1009</v>
      </c>
      <c r="O39" t="s">
        <v>81</v>
      </c>
      <c r="P39" t="s">
        <v>81</v>
      </c>
      <c r="Q39">
        <v>1000</v>
      </c>
      <c r="W39">
        <v>0</v>
      </c>
      <c r="X39">
        <v>-1212923053</v>
      </c>
      <c r="Y39">
        <v>8.8999999999999999E-3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6.57</v>
      </c>
      <c r="AJ39">
        <v>1</v>
      </c>
      <c r="AK39">
        <v>1</v>
      </c>
      <c r="AL39">
        <v>1</v>
      </c>
      <c r="AN39">
        <v>0</v>
      </c>
      <c r="AO39">
        <v>0</v>
      </c>
      <c r="AP39">
        <v>0</v>
      </c>
      <c r="AQ39">
        <v>0</v>
      </c>
      <c r="AR39">
        <v>0</v>
      </c>
      <c r="AS39" t="s">
        <v>6</v>
      </c>
      <c r="AT39">
        <v>8.8999999999999999E-3</v>
      </c>
      <c r="AU39" t="s">
        <v>6</v>
      </c>
      <c r="AV39">
        <v>0</v>
      </c>
      <c r="AW39">
        <v>2</v>
      </c>
      <c r="AX39">
        <v>16496688</v>
      </c>
      <c r="AY39">
        <v>1</v>
      </c>
      <c r="AZ39">
        <v>0</v>
      </c>
      <c r="BA39">
        <v>37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Y39*Source!I31</f>
        <v>1.318624E-2</v>
      </c>
      <c r="CY39">
        <f t="shared" si="3"/>
        <v>0</v>
      </c>
      <c r="CZ39">
        <f t="shared" si="4"/>
        <v>0</v>
      </c>
      <c r="DA39">
        <f t="shared" si="5"/>
        <v>6.57</v>
      </c>
      <c r="DB39">
        <v>0</v>
      </c>
    </row>
    <row r="40" spans="1:106" x14ac:dyDescent="0.2">
      <c r="A40">
        <f>ROW(Source!A38)</f>
        <v>38</v>
      </c>
      <c r="B40">
        <v>16496534</v>
      </c>
      <c r="C40">
        <v>16496695</v>
      </c>
      <c r="D40">
        <v>15430767</v>
      </c>
      <c r="E40">
        <v>1</v>
      </c>
      <c r="F40">
        <v>1</v>
      </c>
      <c r="G40">
        <v>1</v>
      </c>
      <c r="H40">
        <v>1</v>
      </c>
      <c r="I40" t="s">
        <v>266</v>
      </c>
      <c r="J40" t="s">
        <v>6</v>
      </c>
      <c r="K40" t="s">
        <v>267</v>
      </c>
      <c r="L40">
        <v>1191</v>
      </c>
      <c r="N40">
        <v>1013</v>
      </c>
      <c r="O40" t="s">
        <v>233</v>
      </c>
      <c r="P40" t="s">
        <v>233</v>
      </c>
      <c r="Q40">
        <v>1</v>
      </c>
      <c r="W40">
        <v>0</v>
      </c>
      <c r="X40">
        <v>-400197608</v>
      </c>
      <c r="Y40">
        <v>6.7</v>
      </c>
      <c r="AA40">
        <v>0</v>
      </c>
      <c r="AB40">
        <v>0</v>
      </c>
      <c r="AC40">
        <v>0</v>
      </c>
      <c r="AD40">
        <v>56.04</v>
      </c>
      <c r="AE40">
        <v>0</v>
      </c>
      <c r="AF40">
        <v>0</v>
      </c>
      <c r="AG40">
        <v>0</v>
      </c>
      <c r="AH40">
        <v>8.5299999999999994</v>
      </c>
      <c r="AI40">
        <v>1</v>
      </c>
      <c r="AJ40">
        <v>1</v>
      </c>
      <c r="AK40">
        <v>1</v>
      </c>
      <c r="AL40">
        <v>6.57</v>
      </c>
      <c r="AN40">
        <v>0</v>
      </c>
      <c r="AO40">
        <v>1</v>
      </c>
      <c r="AP40">
        <v>0</v>
      </c>
      <c r="AQ40">
        <v>0</v>
      </c>
      <c r="AR40">
        <v>0</v>
      </c>
      <c r="AS40" t="s">
        <v>6</v>
      </c>
      <c r="AT40">
        <v>6.7</v>
      </c>
      <c r="AU40" t="s">
        <v>6</v>
      </c>
      <c r="AV40">
        <v>1</v>
      </c>
      <c r="AW40">
        <v>2</v>
      </c>
      <c r="AX40">
        <v>16496700</v>
      </c>
      <c r="AY40">
        <v>1</v>
      </c>
      <c r="AZ40">
        <v>0</v>
      </c>
      <c r="BA40">
        <v>38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Y40*Source!I38</f>
        <v>19.853440000000003</v>
      </c>
      <c r="CY40">
        <f>AD40</f>
        <v>56.04</v>
      </c>
      <c r="CZ40">
        <f>AH40</f>
        <v>8.5299999999999994</v>
      </c>
      <c r="DA40">
        <f>AL40</f>
        <v>6.57</v>
      </c>
      <c r="DB40">
        <v>0</v>
      </c>
    </row>
    <row r="41" spans="1:106" x14ac:dyDescent="0.2">
      <c r="A41">
        <f>ROW(Source!A38)</f>
        <v>38</v>
      </c>
      <c r="B41">
        <v>16496534</v>
      </c>
      <c r="C41">
        <v>16496695</v>
      </c>
      <c r="D41">
        <v>15162472</v>
      </c>
      <c r="E41">
        <v>17</v>
      </c>
      <c r="F41">
        <v>1</v>
      </c>
      <c r="G41">
        <v>1</v>
      </c>
      <c r="H41">
        <v>3</v>
      </c>
      <c r="I41" t="s">
        <v>87</v>
      </c>
      <c r="J41" t="s">
        <v>6</v>
      </c>
      <c r="K41" t="s">
        <v>88</v>
      </c>
      <c r="L41">
        <v>2233</v>
      </c>
      <c r="N41">
        <v>1013</v>
      </c>
      <c r="O41" t="s">
        <v>89</v>
      </c>
      <c r="P41" t="s">
        <v>89</v>
      </c>
      <c r="Q41">
        <v>1</v>
      </c>
      <c r="W41">
        <v>0</v>
      </c>
      <c r="X41">
        <v>-1710570218</v>
      </c>
      <c r="Y41">
        <v>100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6.57</v>
      </c>
      <c r="AJ41">
        <v>1</v>
      </c>
      <c r="AK41">
        <v>1</v>
      </c>
      <c r="AL41">
        <v>1</v>
      </c>
      <c r="AN41">
        <v>0</v>
      </c>
      <c r="AO41">
        <v>0</v>
      </c>
      <c r="AP41">
        <v>0</v>
      </c>
      <c r="AQ41">
        <v>0</v>
      </c>
      <c r="AR41">
        <v>0</v>
      </c>
      <c r="AS41" t="s">
        <v>6</v>
      </c>
      <c r="AT41">
        <v>100</v>
      </c>
      <c r="AU41" t="s">
        <v>6</v>
      </c>
      <c r="AV41">
        <v>0</v>
      </c>
      <c r="AW41">
        <v>2</v>
      </c>
      <c r="AX41">
        <v>16496701</v>
      </c>
      <c r="AY41">
        <v>1</v>
      </c>
      <c r="AZ41">
        <v>0</v>
      </c>
      <c r="BA41">
        <v>39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Y41*Source!I38</f>
        <v>296.32</v>
      </c>
      <c r="CY41">
        <f>AA41</f>
        <v>0</v>
      </c>
      <c r="CZ41">
        <f>AE41</f>
        <v>0</v>
      </c>
      <c r="DA41">
        <f>AI41</f>
        <v>6.57</v>
      </c>
      <c r="DB41">
        <v>0</v>
      </c>
    </row>
    <row r="42" spans="1:106" x14ac:dyDescent="0.2">
      <c r="A42">
        <f>ROW(Source!A38)</f>
        <v>38</v>
      </c>
      <c r="B42">
        <v>16496534</v>
      </c>
      <c r="C42">
        <v>16496695</v>
      </c>
      <c r="D42">
        <v>15197756</v>
      </c>
      <c r="E42">
        <v>1</v>
      </c>
      <c r="F42">
        <v>1</v>
      </c>
      <c r="G42">
        <v>1</v>
      </c>
      <c r="H42">
        <v>3</v>
      </c>
      <c r="I42" t="s">
        <v>91</v>
      </c>
      <c r="J42" t="s">
        <v>94</v>
      </c>
      <c r="K42" t="s">
        <v>92</v>
      </c>
      <c r="L42">
        <v>1302</v>
      </c>
      <c r="N42">
        <v>1003</v>
      </c>
      <c r="O42" t="s">
        <v>93</v>
      </c>
      <c r="P42" t="s">
        <v>93</v>
      </c>
      <c r="Q42">
        <v>10</v>
      </c>
      <c r="W42">
        <v>0</v>
      </c>
      <c r="X42">
        <v>189188006</v>
      </c>
      <c r="Y42">
        <v>10</v>
      </c>
      <c r="AA42">
        <v>168.19</v>
      </c>
      <c r="AB42">
        <v>0</v>
      </c>
      <c r="AC42">
        <v>0</v>
      </c>
      <c r="AD42">
        <v>0</v>
      </c>
      <c r="AE42">
        <v>25.6</v>
      </c>
      <c r="AF42">
        <v>0</v>
      </c>
      <c r="AG42">
        <v>0</v>
      </c>
      <c r="AH42">
        <v>0</v>
      </c>
      <c r="AI42">
        <v>6.57</v>
      </c>
      <c r="AJ42">
        <v>1</v>
      </c>
      <c r="AK42">
        <v>1</v>
      </c>
      <c r="AL42">
        <v>1</v>
      </c>
      <c r="AN42">
        <v>0</v>
      </c>
      <c r="AO42">
        <v>0</v>
      </c>
      <c r="AP42">
        <v>0</v>
      </c>
      <c r="AQ42">
        <v>0</v>
      </c>
      <c r="AR42">
        <v>0</v>
      </c>
      <c r="AS42" t="s">
        <v>6</v>
      </c>
      <c r="AT42">
        <v>10</v>
      </c>
      <c r="AU42" t="s">
        <v>6</v>
      </c>
      <c r="AV42">
        <v>0</v>
      </c>
      <c r="AW42">
        <v>1</v>
      </c>
      <c r="AX42">
        <v>-1</v>
      </c>
      <c r="AY42">
        <v>0</v>
      </c>
      <c r="AZ42">
        <v>0</v>
      </c>
      <c r="BA42" t="s">
        <v>6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Y42*Source!I38</f>
        <v>29.632000000000001</v>
      </c>
      <c r="CY42">
        <f>AA42</f>
        <v>168.19</v>
      </c>
      <c r="CZ42">
        <f>AE42</f>
        <v>25.6</v>
      </c>
      <c r="DA42">
        <f>AI42</f>
        <v>6.57</v>
      </c>
      <c r="DB42">
        <v>0</v>
      </c>
    </row>
    <row r="43" spans="1:106" x14ac:dyDescent="0.2">
      <c r="A43">
        <f>ROW(Source!A38)</f>
        <v>38</v>
      </c>
      <c r="B43">
        <v>16496534</v>
      </c>
      <c r="C43">
        <v>16496695</v>
      </c>
      <c r="D43">
        <v>15202504</v>
      </c>
      <c r="E43">
        <v>1</v>
      </c>
      <c r="F43">
        <v>1</v>
      </c>
      <c r="G43">
        <v>1</v>
      </c>
      <c r="H43">
        <v>3</v>
      </c>
      <c r="I43" t="s">
        <v>279</v>
      </c>
      <c r="J43" t="s">
        <v>280</v>
      </c>
      <c r="K43" t="s">
        <v>281</v>
      </c>
      <c r="L43">
        <v>1346</v>
      </c>
      <c r="N43">
        <v>1009</v>
      </c>
      <c r="O43" t="s">
        <v>69</v>
      </c>
      <c r="P43" t="s">
        <v>69</v>
      </c>
      <c r="Q43">
        <v>1</v>
      </c>
      <c r="W43">
        <v>0</v>
      </c>
      <c r="X43">
        <v>-1230081286</v>
      </c>
      <c r="Y43">
        <v>0.8</v>
      </c>
      <c r="AA43">
        <v>295.64999999999998</v>
      </c>
      <c r="AB43">
        <v>0</v>
      </c>
      <c r="AC43">
        <v>0</v>
      </c>
      <c r="AD43">
        <v>0</v>
      </c>
      <c r="AE43">
        <v>45</v>
      </c>
      <c r="AF43">
        <v>0</v>
      </c>
      <c r="AG43">
        <v>0</v>
      </c>
      <c r="AH43">
        <v>0</v>
      </c>
      <c r="AI43">
        <v>6.57</v>
      </c>
      <c r="AJ43">
        <v>1</v>
      </c>
      <c r="AK43">
        <v>1</v>
      </c>
      <c r="AL43">
        <v>1</v>
      </c>
      <c r="AN43">
        <v>0</v>
      </c>
      <c r="AO43">
        <v>1</v>
      </c>
      <c r="AP43">
        <v>0</v>
      </c>
      <c r="AQ43">
        <v>0</v>
      </c>
      <c r="AR43">
        <v>0</v>
      </c>
      <c r="AS43" t="s">
        <v>6</v>
      </c>
      <c r="AT43">
        <v>0.8</v>
      </c>
      <c r="AU43" t="s">
        <v>6</v>
      </c>
      <c r="AV43">
        <v>0</v>
      </c>
      <c r="AW43">
        <v>2</v>
      </c>
      <c r="AX43">
        <v>16496702</v>
      </c>
      <c r="AY43">
        <v>1</v>
      </c>
      <c r="AZ43">
        <v>0</v>
      </c>
      <c r="BA43">
        <v>40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Y43*Source!I38</f>
        <v>2.3705600000000002</v>
      </c>
      <c r="CY43">
        <f>AA43</f>
        <v>295.64999999999998</v>
      </c>
      <c r="CZ43">
        <f>AE43</f>
        <v>45</v>
      </c>
      <c r="DA43">
        <f>AI43</f>
        <v>6.57</v>
      </c>
      <c r="DB43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40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ROW(Source!A24)</f>
        <v>24</v>
      </c>
      <c r="B1">
        <v>16496601</v>
      </c>
      <c r="C1">
        <v>16496597</v>
      </c>
      <c r="D1">
        <v>15433667</v>
      </c>
      <c r="E1">
        <v>1</v>
      </c>
      <c r="F1">
        <v>1</v>
      </c>
      <c r="G1">
        <v>1</v>
      </c>
      <c r="H1">
        <v>1</v>
      </c>
      <c r="I1" t="s">
        <v>231</v>
      </c>
      <c r="J1" t="s">
        <v>6</v>
      </c>
      <c r="K1" t="s">
        <v>232</v>
      </c>
      <c r="L1">
        <v>1191</v>
      </c>
      <c r="N1">
        <v>1013</v>
      </c>
      <c r="O1" t="s">
        <v>233</v>
      </c>
      <c r="P1" t="s">
        <v>233</v>
      </c>
      <c r="Q1">
        <v>1</v>
      </c>
      <c r="X1">
        <v>188.54</v>
      </c>
      <c r="Y1">
        <v>0</v>
      </c>
      <c r="Z1">
        <v>0</v>
      </c>
      <c r="AA1">
        <v>0</v>
      </c>
      <c r="AB1">
        <v>8.09</v>
      </c>
      <c r="AC1">
        <v>0</v>
      </c>
      <c r="AD1">
        <v>1</v>
      </c>
      <c r="AE1">
        <v>1</v>
      </c>
      <c r="AF1" t="s">
        <v>6</v>
      </c>
      <c r="AG1">
        <v>188.54</v>
      </c>
      <c r="AH1">
        <v>2</v>
      </c>
      <c r="AI1">
        <v>16496598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ROW(Source!A24)</f>
        <v>24</v>
      </c>
      <c r="B2">
        <v>16496602</v>
      </c>
      <c r="C2">
        <v>16496597</v>
      </c>
      <c r="D2">
        <v>15430395</v>
      </c>
      <c r="E2">
        <v>1</v>
      </c>
      <c r="F2">
        <v>1</v>
      </c>
      <c r="G2">
        <v>1</v>
      </c>
      <c r="H2">
        <v>1</v>
      </c>
      <c r="I2" t="s">
        <v>234</v>
      </c>
      <c r="J2" t="s">
        <v>6</v>
      </c>
      <c r="K2" t="s">
        <v>235</v>
      </c>
      <c r="L2">
        <v>1191</v>
      </c>
      <c r="N2">
        <v>1013</v>
      </c>
      <c r="O2" t="s">
        <v>233</v>
      </c>
      <c r="P2" t="s">
        <v>233</v>
      </c>
      <c r="Q2">
        <v>1</v>
      </c>
      <c r="X2">
        <v>7.74</v>
      </c>
      <c r="Y2">
        <v>0</v>
      </c>
      <c r="Z2">
        <v>0</v>
      </c>
      <c r="AA2">
        <v>0</v>
      </c>
      <c r="AB2">
        <v>0</v>
      </c>
      <c r="AC2">
        <v>0</v>
      </c>
      <c r="AD2">
        <v>1</v>
      </c>
      <c r="AE2">
        <v>2</v>
      </c>
      <c r="AF2" t="s">
        <v>6</v>
      </c>
      <c r="AG2">
        <v>7.74</v>
      </c>
      <c r="AH2">
        <v>2</v>
      </c>
      <c r="AI2">
        <v>16496599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ROW(Source!A24)</f>
        <v>24</v>
      </c>
      <c r="B3">
        <v>16496603</v>
      </c>
      <c r="C3">
        <v>16496597</v>
      </c>
      <c r="D3">
        <v>15247974</v>
      </c>
      <c r="E3">
        <v>1</v>
      </c>
      <c r="F3">
        <v>1</v>
      </c>
      <c r="G3">
        <v>1</v>
      </c>
      <c r="H3">
        <v>2</v>
      </c>
      <c r="I3" t="s">
        <v>236</v>
      </c>
      <c r="J3" t="s">
        <v>237</v>
      </c>
      <c r="K3" t="s">
        <v>238</v>
      </c>
      <c r="L3">
        <v>1368</v>
      </c>
      <c r="N3">
        <v>1011</v>
      </c>
      <c r="O3" t="s">
        <v>239</v>
      </c>
      <c r="P3" t="s">
        <v>239</v>
      </c>
      <c r="Q3">
        <v>1</v>
      </c>
      <c r="X3">
        <v>7.74</v>
      </c>
      <c r="Y3">
        <v>0</v>
      </c>
      <c r="Z3">
        <v>31.26</v>
      </c>
      <c r="AA3">
        <v>13.5</v>
      </c>
      <c r="AB3">
        <v>0</v>
      </c>
      <c r="AC3">
        <v>0</v>
      </c>
      <c r="AD3">
        <v>1</v>
      </c>
      <c r="AE3">
        <v>0</v>
      </c>
      <c r="AF3" t="s">
        <v>6</v>
      </c>
      <c r="AG3">
        <v>7.74</v>
      </c>
      <c r="AH3">
        <v>2</v>
      </c>
      <c r="AI3">
        <v>16496600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ROW(Source!A25)</f>
        <v>25</v>
      </c>
      <c r="B4">
        <v>16496617</v>
      </c>
      <c r="C4">
        <v>16496604</v>
      </c>
      <c r="D4">
        <v>15436014</v>
      </c>
      <c r="E4">
        <v>1</v>
      </c>
      <c r="F4">
        <v>1</v>
      </c>
      <c r="G4">
        <v>1</v>
      </c>
      <c r="H4">
        <v>1</v>
      </c>
      <c r="I4" t="s">
        <v>240</v>
      </c>
      <c r="J4" t="s">
        <v>6</v>
      </c>
      <c r="K4" t="s">
        <v>241</v>
      </c>
      <c r="L4">
        <v>1191</v>
      </c>
      <c r="N4">
        <v>1013</v>
      </c>
      <c r="O4" t="s">
        <v>233</v>
      </c>
      <c r="P4" t="s">
        <v>233</v>
      </c>
      <c r="Q4">
        <v>1</v>
      </c>
      <c r="X4">
        <v>149.16</v>
      </c>
      <c r="Y4">
        <v>0</v>
      </c>
      <c r="Z4">
        <v>0</v>
      </c>
      <c r="AA4">
        <v>0</v>
      </c>
      <c r="AB4">
        <v>8.74</v>
      </c>
      <c r="AC4">
        <v>0</v>
      </c>
      <c r="AD4">
        <v>1</v>
      </c>
      <c r="AE4">
        <v>1</v>
      </c>
      <c r="AF4" t="s">
        <v>6</v>
      </c>
      <c r="AG4">
        <v>149.16</v>
      </c>
      <c r="AH4">
        <v>2</v>
      </c>
      <c r="AI4">
        <v>16496605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ROW(Source!A25)</f>
        <v>25</v>
      </c>
      <c r="B5">
        <v>16496618</v>
      </c>
      <c r="C5">
        <v>16496604</v>
      </c>
      <c r="D5">
        <v>15430395</v>
      </c>
      <c r="E5">
        <v>1</v>
      </c>
      <c r="F5">
        <v>1</v>
      </c>
      <c r="G5">
        <v>1</v>
      </c>
      <c r="H5">
        <v>1</v>
      </c>
      <c r="I5" t="s">
        <v>234</v>
      </c>
      <c r="J5" t="s">
        <v>6</v>
      </c>
      <c r="K5" t="s">
        <v>235</v>
      </c>
      <c r="L5">
        <v>1191</v>
      </c>
      <c r="N5">
        <v>1013</v>
      </c>
      <c r="O5" t="s">
        <v>233</v>
      </c>
      <c r="P5" t="s">
        <v>233</v>
      </c>
      <c r="Q5">
        <v>1</v>
      </c>
      <c r="X5">
        <v>4.2300000000000004</v>
      </c>
      <c r="Y5">
        <v>0</v>
      </c>
      <c r="Z5">
        <v>0</v>
      </c>
      <c r="AA5">
        <v>0</v>
      </c>
      <c r="AB5">
        <v>0</v>
      </c>
      <c r="AC5">
        <v>0</v>
      </c>
      <c r="AD5">
        <v>1</v>
      </c>
      <c r="AE5">
        <v>2</v>
      </c>
      <c r="AF5" t="s">
        <v>6</v>
      </c>
      <c r="AG5">
        <v>4.2300000000000004</v>
      </c>
      <c r="AH5">
        <v>2</v>
      </c>
      <c r="AI5">
        <v>16496606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ROW(Source!A25)</f>
        <v>25</v>
      </c>
      <c r="B6">
        <v>16496619</v>
      </c>
      <c r="C6">
        <v>16496604</v>
      </c>
      <c r="D6">
        <v>15247974</v>
      </c>
      <c r="E6">
        <v>1</v>
      </c>
      <c r="F6">
        <v>1</v>
      </c>
      <c r="G6">
        <v>1</v>
      </c>
      <c r="H6">
        <v>2</v>
      </c>
      <c r="I6" t="s">
        <v>236</v>
      </c>
      <c r="J6" t="s">
        <v>237</v>
      </c>
      <c r="K6" t="s">
        <v>238</v>
      </c>
      <c r="L6">
        <v>1368</v>
      </c>
      <c r="N6">
        <v>1011</v>
      </c>
      <c r="O6" t="s">
        <v>239</v>
      </c>
      <c r="P6" t="s">
        <v>239</v>
      </c>
      <c r="Q6">
        <v>1</v>
      </c>
      <c r="X6">
        <v>0.66</v>
      </c>
      <c r="Y6">
        <v>0</v>
      </c>
      <c r="Z6">
        <v>31.26</v>
      </c>
      <c r="AA6">
        <v>13.5</v>
      </c>
      <c r="AB6">
        <v>0</v>
      </c>
      <c r="AC6">
        <v>0</v>
      </c>
      <c r="AD6">
        <v>1</v>
      </c>
      <c r="AE6">
        <v>0</v>
      </c>
      <c r="AF6" t="s">
        <v>6</v>
      </c>
      <c r="AG6">
        <v>0.66</v>
      </c>
      <c r="AH6">
        <v>2</v>
      </c>
      <c r="AI6">
        <v>16496607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ROW(Source!A25)</f>
        <v>25</v>
      </c>
      <c r="B7">
        <v>16496620</v>
      </c>
      <c r="C7">
        <v>16496604</v>
      </c>
      <c r="D7">
        <v>15249073</v>
      </c>
      <c r="E7">
        <v>1</v>
      </c>
      <c r="F7">
        <v>1</v>
      </c>
      <c r="G7">
        <v>1</v>
      </c>
      <c r="H7">
        <v>2</v>
      </c>
      <c r="I7" t="s">
        <v>242</v>
      </c>
      <c r="J7" t="s">
        <v>243</v>
      </c>
      <c r="K7" t="s">
        <v>244</v>
      </c>
      <c r="L7">
        <v>1368</v>
      </c>
      <c r="N7">
        <v>1011</v>
      </c>
      <c r="O7" t="s">
        <v>239</v>
      </c>
      <c r="P7" t="s">
        <v>239</v>
      </c>
      <c r="Q7">
        <v>1</v>
      </c>
      <c r="X7">
        <v>3.57</v>
      </c>
      <c r="Y7">
        <v>0</v>
      </c>
      <c r="Z7">
        <v>65.709999999999994</v>
      </c>
      <c r="AA7">
        <v>11.6</v>
      </c>
      <c r="AB7">
        <v>0</v>
      </c>
      <c r="AC7">
        <v>0</v>
      </c>
      <c r="AD7">
        <v>1</v>
      </c>
      <c r="AE7">
        <v>0</v>
      </c>
      <c r="AF7" t="s">
        <v>6</v>
      </c>
      <c r="AG7">
        <v>3.57</v>
      </c>
      <c r="AH7">
        <v>2</v>
      </c>
      <c r="AI7">
        <v>16496608</v>
      </c>
      <c r="AJ7">
        <v>7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ROW(Source!A25)</f>
        <v>25</v>
      </c>
      <c r="B8">
        <v>16496621</v>
      </c>
      <c r="C8">
        <v>16496604</v>
      </c>
      <c r="D8">
        <v>15167551</v>
      </c>
      <c r="E8">
        <v>1</v>
      </c>
      <c r="F8">
        <v>1</v>
      </c>
      <c r="G8">
        <v>1</v>
      </c>
      <c r="H8">
        <v>3</v>
      </c>
      <c r="I8" t="s">
        <v>245</v>
      </c>
      <c r="J8" t="s">
        <v>246</v>
      </c>
      <c r="K8" t="s">
        <v>247</v>
      </c>
      <c r="L8">
        <v>1301</v>
      </c>
      <c r="N8">
        <v>1003</v>
      </c>
      <c r="O8" t="s">
        <v>41</v>
      </c>
      <c r="P8" t="s">
        <v>41</v>
      </c>
      <c r="Q8">
        <v>1</v>
      </c>
      <c r="X8">
        <v>253</v>
      </c>
      <c r="Y8">
        <v>6.38</v>
      </c>
      <c r="Z8">
        <v>0</v>
      </c>
      <c r="AA8">
        <v>0</v>
      </c>
      <c r="AB8">
        <v>0</v>
      </c>
      <c r="AC8">
        <v>0</v>
      </c>
      <c r="AD8">
        <v>1</v>
      </c>
      <c r="AE8">
        <v>0</v>
      </c>
      <c r="AF8" t="s">
        <v>6</v>
      </c>
      <c r="AG8">
        <v>253</v>
      </c>
      <c r="AH8">
        <v>2</v>
      </c>
      <c r="AI8">
        <v>16496609</v>
      </c>
      <c r="AJ8">
        <v>8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ROW(Source!A25)</f>
        <v>25</v>
      </c>
      <c r="B9">
        <v>16496622</v>
      </c>
      <c r="C9">
        <v>16496604</v>
      </c>
      <c r="D9">
        <v>15167552</v>
      </c>
      <c r="E9">
        <v>1</v>
      </c>
      <c r="F9">
        <v>1</v>
      </c>
      <c r="G9">
        <v>1</v>
      </c>
      <c r="H9">
        <v>3</v>
      </c>
      <c r="I9" t="s">
        <v>248</v>
      </c>
      <c r="J9" t="s">
        <v>249</v>
      </c>
      <c r="K9" t="s">
        <v>250</v>
      </c>
      <c r="L9">
        <v>1301</v>
      </c>
      <c r="N9">
        <v>1003</v>
      </c>
      <c r="O9" t="s">
        <v>41</v>
      </c>
      <c r="P9" t="s">
        <v>41</v>
      </c>
      <c r="Q9">
        <v>1</v>
      </c>
      <c r="X9">
        <v>59</v>
      </c>
      <c r="Y9">
        <v>7.95</v>
      </c>
      <c r="Z9">
        <v>0</v>
      </c>
      <c r="AA9">
        <v>0</v>
      </c>
      <c r="AB9">
        <v>0</v>
      </c>
      <c r="AC9">
        <v>0</v>
      </c>
      <c r="AD9">
        <v>1</v>
      </c>
      <c r="AE9">
        <v>0</v>
      </c>
      <c r="AF9" t="s">
        <v>6</v>
      </c>
      <c r="AG9">
        <v>59</v>
      </c>
      <c r="AH9">
        <v>2</v>
      </c>
      <c r="AI9">
        <v>16496610</v>
      </c>
      <c r="AJ9">
        <v>9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ROW(Source!A25)</f>
        <v>25</v>
      </c>
      <c r="B10">
        <v>16496623</v>
      </c>
      <c r="C10">
        <v>16496604</v>
      </c>
      <c r="D10">
        <v>15167640</v>
      </c>
      <c r="E10">
        <v>1</v>
      </c>
      <c r="F10">
        <v>1</v>
      </c>
      <c r="G10">
        <v>1</v>
      </c>
      <c r="H10">
        <v>3</v>
      </c>
      <c r="I10" t="s">
        <v>251</v>
      </c>
      <c r="J10" t="s">
        <v>252</v>
      </c>
      <c r="K10" t="s">
        <v>253</v>
      </c>
      <c r="L10">
        <v>1302</v>
      </c>
      <c r="N10">
        <v>1003</v>
      </c>
      <c r="O10" t="s">
        <v>93</v>
      </c>
      <c r="P10" t="s">
        <v>93</v>
      </c>
      <c r="Q10">
        <v>10</v>
      </c>
      <c r="X10">
        <v>15.9</v>
      </c>
      <c r="Y10">
        <v>64.099999999999994</v>
      </c>
      <c r="Z10">
        <v>0</v>
      </c>
      <c r="AA10">
        <v>0</v>
      </c>
      <c r="AB10">
        <v>0</v>
      </c>
      <c r="AC10">
        <v>0</v>
      </c>
      <c r="AD10">
        <v>1</v>
      </c>
      <c r="AE10">
        <v>0</v>
      </c>
      <c r="AF10" t="s">
        <v>6</v>
      </c>
      <c r="AG10">
        <v>15.9</v>
      </c>
      <c r="AH10">
        <v>2</v>
      </c>
      <c r="AI10">
        <v>16496611</v>
      </c>
      <c r="AJ10">
        <v>10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ROW(Source!A25)</f>
        <v>25</v>
      </c>
      <c r="B11">
        <v>16496624</v>
      </c>
      <c r="C11">
        <v>16496604</v>
      </c>
      <c r="D11">
        <v>15170065</v>
      </c>
      <c r="E11">
        <v>1</v>
      </c>
      <c r="F11">
        <v>1</v>
      </c>
      <c r="G11">
        <v>1</v>
      </c>
      <c r="H11">
        <v>3</v>
      </c>
      <c r="I11" t="s">
        <v>254</v>
      </c>
      <c r="J11" t="s">
        <v>255</v>
      </c>
      <c r="K11" t="s">
        <v>256</v>
      </c>
      <c r="L11">
        <v>1358</v>
      </c>
      <c r="N11">
        <v>1010</v>
      </c>
      <c r="O11" t="s">
        <v>257</v>
      </c>
      <c r="P11" t="s">
        <v>257</v>
      </c>
      <c r="Q11">
        <v>10</v>
      </c>
      <c r="X11">
        <v>41.2</v>
      </c>
      <c r="Y11">
        <v>7.03</v>
      </c>
      <c r="Z11">
        <v>0</v>
      </c>
      <c r="AA11">
        <v>0</v>
      </c>
      <c r="AB11">
        <v>0</v>
      </c>
      <c r="AC11">
        <v>0</v>
      </c>
      <c r="AD11">
        <v>1</v>
      </c>
      <c r="AE11">
        <v>0</v>
      </c>
      <c r="AF11" t="s">
        <v>6</v>
      </c>
      <c r="AG11">
        <v>41.2</v>
      </c>
      <c r="AH11">
        <v>2</v>
      </c>
      <c r="AI11">
        <v>16496612</v>
      </c>
      <c r="AJ11">
        <v>11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ROW(Source!A25)</f>
        <v>25</v>
      </c>
      <c r="B12">
        <v>16496625</v>
      </c>
      <c r="C12">
        <v>16496604</v>
      </c>
      <c r="D12">
        <v>15162466</v>
      </c>
      <c r="E12">
        <v>17</v>
      </c>
      <c r="F12">
        <v>1</v>
      </c>
      <c r="G12">
        <v>1</v>
      </c>
      <c r="H12">
        <v>3</v>
      </c>
      <c r="I12" t="s">
        <v>282</v>
      </c>
      <c r="J12" t="s">
        <v>6</v>
      </c>
      <c r="K12" t="s">
        <v>283</v>
      </c>
      <c r="L12">
        <v>1327</v>
      </c>
      <c r="N12">
        <v>1005</v>
      </c>
      <c r="O12" t="s">
        <v>32</v>
      </c>
      <c r="P12" t="s">
        <v>32</v>
      </c>
      <c r="Q12">
        <v>1</v>
      </c>
      <c r="X12">
        <v>100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 t="s">
        <v>6</v>
      </c>
      <c r="AG12">
        <v>100</v>
      </c>
      <c r="AH12">
        <v>3</v>
      </c>
      <c r="AI12">
        <v>-1</v>
      </c>
      <c r="AJ12" t="s">
        <v>6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ROW(Source!A25)</f>
        <v>25</v>
      </c>
      <c r="B13">
        <v>16496626</v>
      </c>
      <c r="C13">
        <v>16496604</v>
      </c>
      <c r="D13">
        <v>15197780</v>
      </c>
      <c r="E13">
        <v>1</v>
      </c>
      <c r="F13">
        <v>1</v>
      </c>
      <c r="G13">
        <v>1</v>
      </c>
      <c r="H13">
        <v>3</v>
      </c>
      <c r="I13" t="s">
        <v>258</v>
      </c>
      <c r="J13" t="s">
        <v>259</v>
      </c>
      <c r="K13" t="s">
        <v>260</v>
      </c>
      <c r="L13">
        <v>1355</v>
      </c>
      <c r="N13">
        <v>1010</v>
      </c>
      <c r="O13" t="s">
        <v>261</v>
      </c>
      <c r="P13" t="s">
        <v>261</v>
      </c>
      <c r="Q13">
        <v>100</v>
      </c>
      <c r="X13">
        <v>8</v>
      </c>
      <c r="Y13">
        <v>50</v>
      </c>
      <c r="Z13">
        <v>0</v>
      </c>
      <c r="AA13">
        <v>0</v>
      </c>
      <c r="AB13">
        <v>0</v>
      </c>
      <c r="AC13">
        <v>0</v>
      </c>
      <c r="AD13">
        <v>1</v>
      </c>
      <c r="AE13">
        <v>0</v>
      </c>
      <c r="AF13" t="s">
        <v>6</v>
      </c>
      <c r="AG13">
        <v>8</v>
      </c>
      <c r="AH13">
        <v>2</v>
      </c>
      <c r="AI13">
        <v>16496614</v>
      </c>
      <c r="AJ13">
        <v>12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ROW(Source!A25)</f>
        <v>25</v>
      </c>
      <c r="B14">
        <v>16496627</v>
      </c>
      <c r="C14">
        <v>16496604</v>
      </c>
      <c r="D14">
        <v>15204239</v>
      </c>
      <c r="E14">
        <v>1</v>
      </c>
      <c r="F14">
        <v>1</v>
      </c>
      <c r="G14">
        <v>1</v>
      </c>
      <c r="H14">
        <v>3</v>
      </c>
      <c r="I14" t="s">
        <v>262</v>
      </c>
      <c r="J14" t="s">
        <v>263</v>
      </c>
      <c r="K14" t="s">
        <v>264</v>
      </c>
      <c r="L14">
        <v>1354</v>
      </c>
      <c r="N14">
        <v>1010</v>
      </c>
      <c r="O14" t="s">
        <v>265</v>
      </c>
      <c r="P14" t="s">
        <v>265</v>
      </c>
      <c r="Q14">
        <v>1</v>
      </c>
      <c r="X14">
        <v>71</v>
      </c>
      <c r="Y14">
        <v>67</v>
      </c>
      <c r="Z14">
        <v>0</v>
      </c>
      <c r="AA14">
        <v>0</v>
      </c>
      <c r="AB14">
        <v>0</v>
      </c>
      <c r="AC14">
        <v>0</v>
      </c>
      <c r="AD14">
        <v>1</v>
      </c>
      <c r="AE14">
        <v>0</v>
      </c>
      <c r="AF14" t="s">
        <v>6</v>
      </c>
      <c r="AG14">
        <v>71</v>
      </c>
      <c r="AH14">
        <v>2</v>
      </c>
      <c r="AI14">
        <v>16496615</v>
      </c>
      <c r="AJ14">
        <v>13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ROW(Source!A27)</f>
        <v>27</v>
      </c>
      <c r="B15">
        <v>16496638</v>
      </c>
      <c r="C15">
        <v>16496630</v>
      </c>
      <c r="D15">
        <v>15430767</v>
      </c>
      <c r="E15">
        <v>1</v>
      </c>
      <c r="F15">
        <v>1</v>
      </c>
      <c r="G15">
        <v>1</v>
      </c>
      <c r="H15">
        <v>1</v>
      </c>
      <c r="I15" t="s">
        <v>266</v>
      </c>
      <c r="J15" t="s">
        <v>6</v>
      </c>
      <c r="K15" t="s">
        <v>267</v>
      </c>
      <c r="L15">
        <v>1191</v>
      </c>
      <c r="N15">
        <v>1013</v>
      </c>
      <c r="O15" t="s">
        <v>233</v>
      </c>
      <c r="P15" t="s">
        <v>233</v>
      </c>
      <c r="Q15">
        <v>1</v>
      </c>
      <c r="X15">
        <v>21.38</v>
      </c>
      <c r="Y15">
        <v>0</v>
      </c>
      <c r="Z15">
        <v>0</v>
      </c>
      <c r="AA15">
        <v>0</v>
      </c>
      <c r="AB15">
        <v>8.5299999999999994</v>
      </c>
      <c r="AC15">
        <v>0</v>
      </c>
      <c r="AD15">
        <v>1</v>
      </c>
      <c r="AE15">
        <v>1</v>
      </c>
      <c r="AF15" t="s">
        <v>6</v>
      </c>
      <c r="AG15">
        <v>21.38</v>
      </c>
      <c r="AH15">
        <v>2</v>
      </c>
      <c r="AI15">
        <v>16496631</v>
      </c>
      <c r="AJ15">
        <v>15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ROW(Source!A27)</f>
        <v>27</v>
      </c>
      <c r="B16">
        <v>16496639</v>
      </c>
      <c r="C16">
        <v>16496630</v>
      </c>
      <c r="D16">
        <v>15430395</v>
      </c>
      <c r="E16">
        <v>1</v>
      </c>
      <c r="F16">
        <v>1</v>
      </c>
      <c r="G16">
        <v>1</v>
      </c>
      <c r="H16">
        <v>1</v>
      </c>
      <c r="I16" t="s">
        <v>234</v>
      </c>
      <c r="J16" t="s">
        <v>6</v>
      </c>
      <c r="K16" t="s">
        <v>235</v>
      </c>
      <c r="L16">
        <v>1191</v>
      </c>
      <c r="N16">
        <v>1013</v>
      </c>
      <c r="O16" t="s">
        <v>233</v>
      </c>
      <c r="P16" t="s">
        <v>233</v>
      </c>
      <c r="Q16">
        <v>1</v>
      </c>
      <c r="X16">
        <v>0.37</v>
      </c>
      <c r="Y16">
        <v>0</v>
      </c>
      <c r="Z16">
        <v>0</v>
      </c>
      <c r="AA16">
        <v>0</v>
      </c>
      <c r="AB16">
        <v>0</v>
      </c>
      <c r="AC16">
        <v>0</v>
      </c>
      <c r="AD16">
        <v>1</v>
      </c>
      <c r="AE16">
        <v>2</v>
      </c>
      <c r="AF16" t="s">
        <v>6</v>
      </c>
      <c r="AG16">
        <v>0.37</v>
      </c>
      <c r="AH16">
        <v>2</v>
      </c>
      <c r="AI16">
        <v>16496632</v>
      </c>
      <c r="AJ16">
        <v>16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ROW(Source!A27)</f>
        <v>27</v>
      </c>
      <c r="B17">
        <v>16496640</v>
      </c>
      <c r="C17">
        <v>16496630</v>
      </c>
      <c r="D17">
        <v>15247974</v>
      </c>
      <c r="E17">
        <v>1</v>
      </c>
      <c r="F17">
        <v>1</v>
      </c>
      <c r="G17">
        <v>1</v>
      </c>
      <c r="H17">
        <v>2</v>
      </c>
      <c r="I17" t="s">
        <v>236</v>
      </c>
      <c r="J17" t="s">
        <v>237</v>
      </c>
      <c r="K17" t="s">
        <v>238</v>
      </c>
      <c r="L17">
        <v>1368</v>
      </c>
      <c r="N17">
        <v>1011</v>
      </c>
      <c r="O17" t="s">
        <v>239</v>
      </c>
      <c r="P17" t="s">
        <v>239</v>
      </c>
      <c r="Q17">
        <v>1</v>
      </c>
      <c r="X17">
        <v>7.0000000000000007E-2</v>
      </c>
      <c r="Y17">
        <v>0</v>
      </c>
      <c r="Z17">
        <v>31.26</v>
      </c>
      <c r="AA17">
        <v>13.5</v>
      </c>
      <c r="AB17">
        <v>0</v>
      </c>
      <c r="AC17">
        <v>0</v>
      </c>
      <c r="AD17">
        <v>1</v>
      </c>
      <c r="AE17">
        <v>0</v>
      </c>
      <c r="AF17" t="s">
        <v>6</v>
      </c>
      <c r="AG17">
        <v>7.0000000000000007E-2</v>
      </c>
      <c r="AH17">
        <v>2</v>
      </c>
      <c r="AI17">
        <v>16496633</v>
      </c>
      <c r="AJ17">
        <v>17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ROW(Source!A27)</f>
        <v>27</v>
      </c>
      <c r="B18">
        <v>16496641</v>
      </c>
      <c r="C18">
        <v>16496630</v>
      </c>
      <c r="D18">
        <v>15249073</v>
      </c>
      <c r="E18">
        <v>1</v>
      </c>
      <c r="F18">
        <v>1</v>
      </c>
      <c r="G18">
        <v>1</v>
      </c>
      <c r="H18">
        <v>2</v>
      </c>
      <c r="I18" t="s">
        <v>242</v>
      </c>
      <c r="J18" t="s">
        <v>243</v>
      </c>
      <c r="K18" t="s">
        <v>244</v>
      </c>
      <c r="L18">
        <v>1368</v>
      </c>
      <c r="N18">
        <v>1011</v>
      </c>
      <c r="O18" t="s">
        <v>239</v>
      </c>
      <c r="P18" t="s">
        <v>239</v>
      </c>
      <c r="Q18">
        <v>1</v>
      </c>
      <c r="X18">
        <v>0.3</v>
      </c>
      <c r="Y18">
        <v>0</v>
      </c>
      <c r="Z18">
        <v>65.709999999999994</v>
      </c>
      <c r="AA18">
        <v>11.6</v>
      </c>
      <c r="AB18">
        <v>0</v>
      </c>
      <c r="AC18">
        <v>0</v>
      </c>
      <c r="AD18">
        <v>1</v>
      </c>
      <c r="AE18">
        <v>0</v>
      </c>
      <c r="AF18" t="s">
        <v>6</v>
      </c>
      <c r="AG18">
        <v>0.3</v>
      </c>
      <c r="AH18">
        <v>2</v>
      </c>
      <c r="AI18">
        <v>16496634</v>
      </c>
      <c r="AJ18">
        <v>18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ROW(Source!A27)</f>
        <v>27</v>
      </c>
      <c r="B19">
        <v>16496642</v>
      </c>
      <c r="C19">
        <v>16496630</v>
      </c>
      <c r="D19">
        <v>15162469</v>
      </c>
      <c r="E19">
        <v>17</v>
      </c>
      <c r="F19">
        <v>1</v>
      </c>
      <c r="G19">
        <v>1</v>
      </c>
      <c r="H19">
        <v>3</v>
      </c>
      <c r="I19" t="s">
        <v>284</v>
      </c>
      <c r="J19" t="s">
        <v>6</v>
      </c>
      <c r="K19" t="s">
        <v>285</v>
      </c>
      <c r="L19">
        <v>1301</v>
      </c>
      <c r="N19">
        <v>1003</v>
      </c>
      <c r="O19" t="s">
        <v>41</v>
      </c>
      <c r="P19" t="s">
        <v>41</v>
      </c>
      <c r="Q19">
        <v>1</v>
      </c>
      <c r="X19">
        <v>0</v>
      </c>
      <c r="Y19">
        <v>0</v>
      </c>
      <c r="Z19">
        <v>0</v>
      </c>
      <c r="AA19">
        <v>0</v>
      </c>
      <c r="AB19">
        <v>0</v>
      </c>
      <c r="AC19">
        <v>1</v>
      </c>
      <c r="AD19">
        <v>0</v>
      </c>
      <c r="AE19">
        <v>0</v>
      </c>
      <c r="AF19" t="s">
        <v>6</v>
      </c>
      <c r="AG19">
        <v>0</v>
      </c>
      <c r="AH19">
        <v>3</v>
      </c>
      <c r="AI19">
        <v>-1</v>
      </c>
      <c r="AJ19" t="s">
        <v>6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ROW(Source!A27)</f>
        <v>27</v>
      </c>
      <c r="B20">
        <v>16496643</v>
      </c>
      <c r="C20">
        <v>16496630</v>
      </c>
      <c r="D20">
        <v>15197780</v>
      </c>
      <c r="E20">
        <v>1</v>
      </c>
      <c r="F20">
        <v>1</v>
      </c>
      <c r="G20">
        <v>1</v>
      </c>
      <c r="H20">
        <v>3</v>
      </c>
      <c r="I20" t="s">
        <v>258</v>
      </c>
      <c r="J20" t="s">
        <v>259</v>
      </c>
      <c r="K20" t="s">
        <v>260</v>
      </c>
      <c r="L20">
        <v>1355</v>
      </c>
      <c r="N20">
        <v>1010</v>
      </c>
      <c r="O20" t="s">
        <v>261</v>
      </c>
      <c r="P20" t="s">
        <v>261</v>
      </c>
      <c r="Q20">
        <v>100</v>
      </c>
      <c r="X20">
        <v>4</v>
      </c>
      <c r="Y20">
        <v>50</v>
      </c>
      <c r="Z20">
        <v>0</v>
      </c>
      <c r="AA20">
        <v>0</v>
      </c>
      <c r="AB20">
        <v>0</v>
      </c>
      <c r="AC20">
        <v>0</v>
      </c>
      <c r="AD20">
        <v>1</v>
      </c>
      <c r="AE20">
        <v>0</v>
      </c>
      <c r="AF20" t="s">
        <v>6</v>
      </c>
      <c r="AG20">
        <v>4</v>
      </c>
      <c r="AH20">
        <v>2</v>
      </c>
      <c r="AI20">
        <v>16496635</v>
      </c>
      <c r="AJ20">
        <v>19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ROW(Source!A27)</f>
        <v>27</v>
      </c>
      <c r="B21">
        <v>16496644</v>
      </c>
      <c r="C21">
        <v>16496630</v>
      </c>
      <c r="D21">
        <v>15204239</v>
      </c>
      <c r="E21">
        <v>1</v>
      </c>
      <c r="F21">
        <v>1</v>
      </c>
      <c r="G21">
        <v>1</v>
      </c>
      <c r="H21">
        <v>3</v>
      </c>
      <c r="I21" t="s">
        <v>262</v>
      </c>
      <c r="J21" t="s">
        <v>263</v>
      </c>
      <c r="K21" t="s">
        <v>264</v>
      </c>
      <c r="L21">
        <v>1354</v>
      </c>
      <c r="N21">
        <v>1010</v>
      </c>
      <c r="O21" t="s">
        <v>265</v>
      </c>
      <c r="P21" t="s">
        <v>265</v>
      </c>
      <c r="Q21">
        <v>1</v>
      </c>
      <c r="X21">
        <v>90.7</v>
      </c>
      <c r="Y21">
        <v>67</v>
      </c>
      <c r="Z21">
        <v>0</v>
      </c>
      <c r="AA21">
        <v>0</v>
      </c>
      <c r="AB21">
        <v>0</v>
      </c>
      <c r="AC21">
        <v>0</v>
      </c>
      <c r="AD21">
        <v>1</v>
      </c>
      <c r="AE21">
        <v>0</v>
      </c>
      <c r="AF21" t="s">
        <v>6</v>
      </c>
      <c r="AG21">
        <v>90.7</v>
      </c>
      <c r="AH21">
        <v>2</v>
      </c>
      <c r="AI21">
        <v>16496636</v>
      </c>
      <c r="AJ21">
        <v>20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ROW(Source!A29)</f>
        <v>29</v>
      </c>
      <c r="B22">
        <v>16496657</v>
      </c>
      <c r="C22">
        <v>16496646</v>
      </c>
      <c r="D22">
        <v>15430767</v>
      </c>
      <c r="E22">
        <v>1</v>
      </c>
      <c r="F22">
        <v>1</v>
      </c>
      <c r="G22">
        <v>1</v>
      </c>
      <c r="H22">
        <v>1</v>
      </c>
      <c r="I22" t="s">
        <v>266</v>
      </c>
      <c r="J22" t="s">
        <v>6</v>
      </c>
      <c r="K22" t="s">
        <v>267</v>
      </c>
      <c r="L22">
        <v>1191</v>
      </c>
      <c r="N22">
        <v>1013</v>
      </c>
      <c r="O22" t="s">
        <v>233</v>
      </c>
      <c r="P22" t="s">
        <v>233</v>
      </c>
      <c r="Q22">
        <v>1</v>
      </c>
      <c r="X22">
        <v>41.41</v>
      </c>
      <c r="Y22">
        <v>0</v>
      </c>
      <c r="Z22">
        <v>0</v>
      </c>
      <c r="AA22">
        <v>0</v>
      </c>
      <c r="AB22">
        <v>8.5299999999999994</v>
      </c>
      <c r="AC22">
        <v>0</v>
      </c>
      <c r="AD22">
        <v>1</v>
      </c>
      <c r="AE22">
        <v>1</v>
      </c>
      <c r="AF22" t="s">
        <v>6</v>
      </c>
      <c r="AG22">
        <v>41.41</v>
      </c>
      <c r="AH22">
        <v>2</v>
      </c>
      <c r="AI22">
        <v>16496647</v>
      </c>
      <c r="AJ22">
        <v>22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ROW(Source!A29)</f>
        <v>29</v>
      </c>
      <c r="B23">
        <v>16496658</v>
      </c>
      <c r="C23">
        <v>16496646</v>
      </c>
      <c r="D23">
        <v>15430395</v>
      </c>
      <c r="E23">
        <v>1</v>
      </c>
      <c r="F23">
        <v>1</v>
      </c>
      <c r="G23">
        <v>1</v>
      </c>
      <c r="H23">
        <v>1</v>
      </c>
      <c r="I23" t="s">
        <v>234</v>
      </c>
      <c r="J23" t="s">
        <v>6</v>
      </c>
      <c r="K23" t="s">
        <v>235</v>
      </c>
      <c r="L23">
        <v>1191</v>
      </c>
      <c r="N23">
        <v>1013</v>
      </c>
      <c r="O23" t="s">
        <v>233</v>
      </c>
      <c r="P23" t="s">
        <v>233</v>
      </c>
      <c r="Q23">
        <v>1</v>
      </c>
      <c r="X23">
        <v>0.12</v>
      </c>
      <c r="Y23">
        <v>0</v>
      </c>
      <c r="Z23">
        <v>0</v>
      </c>
      <c r="AA23">
        <v>0</v>
      </c>
      <c r="AB23">
        <v>0</v>
      </c>
      <c r="AC23">
        <v>0</v>
      </c>
      <c r="AD23">
        <v>1</v>
      </c>
      <c r="AE23">
        <v>2</v>
      </c>
      <c r="AF23" t="s">
        <v>6</v>
      </c>
      <c r="AG23">
        <v>0.12</v>
      </c>
      <c r="AH23">
        <v>2</v>
      </c>
      <c r="AI23">
        <v>16496648</v>
      </c>
      <c r="AJ23">
        <v>23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ROW(Source!A29)</f>
        <v>29</v>
      </c>
      <c r="B24">
        <v>16496659</v>
      </c>
      <c r="C24">
        <v>16496646</v>
      </c>
      <c r="D24">
        <v>15247974</v>
      </c>
      <c r="E24">
        <v>1</v>
      </c>
      <c r="F24">
        <v>1</v>
      </c>
      <c r="G24">
        <v>1</v>
      </c>
      <c r="H24">
        <v>2</v>
      </c>
      <c r="I24" t="s">
        <v>236</v>
      </c>
      <c r="J24" t="s">
        <v>237</v>
      </c>
      <c r="K24" t="s">
        <v>238</v>
      </c>
      <c r="L24">
        <v>1368</v>
      </c>
      <c r="N24">
        <v>1011</v>
      </c>
      <c r="O24" t="s">
        <v>239</v>
      </c>
      <c r="P24" t="s">
        <v>239</v>
      </c>
      <c r="Q24">
        <v>1</v>
      </c>
      <c r="X24">
        <v>0.08</v>
      </c>
      <c r="Y24">
        <v>0</v>
      </c>
      <c r="Z24">
        <v>31.26</v>
      </c>
      <c r="AA24">
        <v>13.5</v>
      </c>
      <c r="AB24">
        <v>0</v>
      </c>
      <c r="AC24">
        <v>0</v>
      </c>
      <c r="AD24">
        <v>1</v>
      </c>
      <c r="AE24">
        <v>0</v>
      </c>
      <c r="AF24" t="s">
        <v>6</v>
      </c>
      <c r="AG24">
        <v>0.08</v>
      </c>
      <c r="AH24">
        <v>2</v>
      </c>
      <c r="AI24">
        <v>16496649</v>
      </c>
      <c r="AJ24">
        <v>24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ROW(Source!A29)</f>
        <v>29</v>
      </c>
      <c r="B25">
        <v>16496660</v>
      </c>
      <c r="C25">
        <v>16496646</v>
      </c>
      <c r="D25">
        <v>15249073</v>
      </c>
      <c r="E25">
        <v>1</v>
      </c>
      <c r="F25">
        <v>1</v>
      </c>
      <c r="G25">
        <v>1</v>
      </c>
      <c r="H25">
        <v>2</v>
      </c>
      <c r="I25" t="s">
        <v>242</v>
      </c>
      <c r="J25" t="s">
        <v>243</v>
      </c>
      <c r="K25" t="s">
        <v>244</v>
      </c>
      <c r="L25">
        <v>1368</v>
      </c>
      <c r="N25">
        <v>1011</v>
      </c>
      <c r="O25" t="s">
        <v>239</v>
      </c>
      <c r="P25" t="s">
        <v>239</v>
      </c>
      <c r="Q25">
        <v>1</v>
      </c>
      <c r="X25">
        <v>0.04</v>
      </c>
      <c r="Y25">
        <v>0</v>
      </c>
      <c r="Z25">
        <v>65.709999999999994</v>
      </c>
      <c r="AA25">
        <v>11.6</v>
      </c>
      <c r="AB25">
        <v>0</v>
      </c>
      <c r="AC25">
        <v>0</v>
      </c>
      <c r="AD25">
        <v>1</v>
      </c>
      <c r="AE25">
        <v>0</v>
      </c>
      <c r="AF25" t="s">
        <v>6</v>
      </c>
      <c r="AG25">
        <v>0.04</v>
      </c>
      <c r="AH25">
        <v>2</v>
      </c>
      <c r="AI25">
        <v>16496650</v>
      </c>
      <c r="AJ25">
        <v>25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ROW(Source!A29)</f>
        <v>29</v>
      </c>
      <c r="B26">
        <v>16496661</v>
      </c>
      <c r="C26">
        <v>16496646</v>
      </c>
      <c r="D26">
        <v>15164566</v>
      </c>
      <c r="E26">
        <v>17</v>
      </c>
      <c r="F26">
        <v>1</v>
      </c>
      <c r="G26">
        <v>1</v>
      </c>
      <c r="H26">
        <v>3</v>
      </c>
      <c r="I26" t="s">
        <v>286</v>
      </c>
      <c r="J26" t="s">
        <v>6</v>
      </c>
      <c r="K26" t="s">
        <v>287</v>
      </c>
      <c r="L26">
        <v>1348</v>
      </c>
      <c r="N26">
        <v>1009</v>
      </c>
      <c r="O26" t="s">
        <v>81</v>
      </c>
      <c r="P26" t="s">
        <v>81</v>
      </c>
      <c r="Q26">
        <v>1000</v>
      </c>
      <c r="X26">
        <v>0.224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 t="s">
        <v>6</v>
      </c>
      <c r="AG26">
        <v>0.224</v>
      </c>
      <c r="AH26">
        <v>3</v>
      </c>
      <c r="AI26">
        <v>-1</v>
      </c>
      <c r="AJ26" t="s">
        <v>6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ROW(Source!A29)</f>
        <v>29</v>
      </c>
      <c r="B27">
        <v>16496662</v>
      </c>
      <c r="C27">
        <v>16496646</v>
      </c>
      <c r="D27">
        <v>15170039</v>
      </c>
      <c r="E27">
        <v>1</v>
      </c>
      <c r="F27">
        <v>1</v>
      </c>
      <c r="G27">
        <v>1</v>
      </c>
      <c r="H27">
        <v>3</v>
      </c>
      <c r="I27" t="s">
        <v>268</v>
      </c>
      <c r="J27" t="s">
        <v>269</v>
      </c>
      <c r="K27" t="s">
        <v>270</v>
      </c>
      <c r="L27">
        <v>1348</v>
      </c>
      <c r="N27">
        <v>1009</v>
      </c>
      <c r="O27" t="s">
        <v>81</v>
      </c>
      <c r="P27" t="s">
        <v>81</v>
      </c>
      <c r="Q27">
        <v>1000</v>
      </c>
      <c r="X27">
        <v>4.0000000000000001E-3</v>
      </c>
      <c r="Y27">
        <v>11978</v>
      </c>
      <c r="Z27">
        <v>0</v>
      </c>
      <c r="AA27">
        <v>0</v>
      </c>
      <c r="AB27">
        <v>0</v>
      </c>
      <c r="AC27">
        <v>0</v>
      </c>
      <c r="AD27">
        <v>1</v>
      </c>
      <c r="AE27">
        <v>0</v>
      </c>
      <c r="AF27" t="s">
        <v>6</v>
      </c>
      <c r="AG27">
        <v>4.0000000000000001E-3</v>
      </c>
      <c r="AH27">
        <v>2</v>
      </c>
      <c r="AI27">
        <v>16496652</v>
      </c>
      <c r="AJ27">
        <v>26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ROW(Source!A29)</f>
        <v>29</v>
      </c>
      <c r="B28">
        <v>16496663</v>
      </c>
      <c r="C28">
        <v>16496646</v>
      </c>
      <c r="D28">
        <v>15191139</v>
      </c>
      <c r="E28">
        <v>1</v>
      </c>
      <c r="F28">
        <v>1</v>
      </c>
      <c r="G28">
        <v>1</v>
      </c>
      <c r="H28">
        <v>3</v>
      </c>
      <c r="I28" t="s">
        <v>271</v>
      </c>
      <c r="J28" t="s">
        <v>272</v>
      </c>
      <c r="K28" t="s">
        <v>273</v>
      </c>
      <c r="L28">
        <v>1348</v>
      </c>
      <c r="N28">
        <v>1009</v>
      </c>
      <c r="O28" t="s">
        <v>81</v>
      </c>
      <c r="P28" t="s">
        <v>81</v>
      </c>
      <c r="Q28">
        <v>1000</v>
      </c>
      <c r="X28">
        <v>6.0000000000000001E-3</v>
      </c>
      <c r="Y28">
        <v>8023</v>
      </c>
      <c r="Z28">
        <v>0</v>
      </c>
      <c r="AA28">
        <v>0</v>
      </c>
      <c r="AB28">
        <v>0</v>
      </c>
      <c r="AC28">
        <v>0</v>
      </c>
      <c r="AD28">
        <v>1</v>
      </c>
      <c r="AE28">
        <v>0</v>
      </c>
      <c r="AF28" t="s">
        <v>6</v>
      </c>
      <c r="AG28">
        <v>6.0000000000000001E-3</v>
      </c>
      <c r="AH28">
        <v>2</v>
      </c>
      <c r="AI28">
        <v>16496653</v>
      </c>
      <c r="AJ28">
        <v>27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ROW(Source!A29)</f>
        <v>29</v>
      </c>
      <c r="B29">
        <v>16496664</v>
      </c>
      <c r="C29">
        <v>16496646</v>
      </c>
      <c r="D29">
        <v>15164570</v>
      </c>
      <c r="E29">
        <v>17</v>
      </c>
      <c r="F29">
        <v>1</v>
      </c>
      <c r="G29">
        <v>1</v>
      </c>
      <c r="H29">
        <v>3</v>
      </c>
      <c r="I29" t="s">
        <v>288</v>
      </c>
      <c r="J29" t="s">
        <v>6</v>
      </c>
      <c r="K29" t="s">
        <v>289</v>
      </c>
      <c r="L29">
        <v>1348</v>
      </c>
      <c r="N29">
        <v>1009</v>
      </c>
      <c r="O29" t="s">
        <v>81</v>
      </c>
      <c r="P29" t="s">
        <v>81</v>
      </c>
      <c r="Q29">
        <v>1000</v>
      </c>
      <c r="X29">
        <v>0.184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 t="s">
        <v>6</v>
      </c>
      <c r="AG29">
        <v>0.184</v>
      </c>
      <c r="AH29">
        <v>3</v>
      </c>
      <c r="AI29">
        <v>-1</v>
      </c>
      <c r="AJ29" t="s">
        <v>6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ROW(Source!A31)</f>
        <v>31</v>
      </c>
      <c r="B30">
        <v>16496681</v>
      </c>
      <c r="C30">
        <v>16496669</v>
      </c>
      <c r="D30">
        <v>15438286</v>
      </c>
      <c r="E30">
        <v>1</v>
      </c>
      <c r="F30">
        <v>1</v>
      </c>
      <c r="G30">
        <v>1</v>
      </c>
      <c r="H30">
        <v>1</v>
      </c>
      <c r="I30" t="s">
        <v>274</v>
      </c>
      <c r="J30" t="s">
        <v>6</v>
      </c>
      <c r="K30" t="s">
        <v>275</v>
      </c>
      <c r="L30">
        <v>1191</v>
      </c>
      <c r="N30">
        <v>1013</v>
      </c>
      <c r="O30" t="s">
        <v>233</v>
      </c>
      <c r="P30" t="s">
        <v>233</v>
      </c>
      <c r="Q30">
        <v>1</v>
      </c>
      <c r="X30">
        <v>166.47</v>
      </c>
      <c r="Y30">
        <v>0</v>
      </c>
      <c r="Z30">
        <v>0</v>
      </c>
      <c r="AA30">
        <v>0</v>
      </c>
      <c r="AB30">
        <v>9.18</v>
      </c>
      <c r="AC30">
        <v>0</v>
      </c>
      <c r="AD30">
        <v>1</v>
      </c>
      <c r="AE30">
        <v>1</v>
      </c>
      <c r="AF30" t="s">
        <v>6</v>
      </c>
      <c r="AG30">
        <v>166.47</v>
      </c>
      <c r="AH30">
        <v>2</v>
      </c>
      <c r="AI30">
        <v>16496670</v>
      </c>
      <c r="AJ30">
        <v>29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ROW(Source!A31)</f>
        <v>31</v>
      </c>
      <c r="B31">
        <v>16496682</v>
      </c>
      <c r="C31">
        <v>16496669</v>
      </c>
      <c r="D31">
        <v>15430395</v>
      </c>
      <c r="E31">
        <v>1</v>
      </c>
      <c r="F31">
        <v>1</v>
      </c>
      <c r="G31">
        <v>1</v>
      </c>
      <c r="H31">
        <v>1</v>
      </c>
      <c r="I31" t="s">
        <v>234</v>
      </c>
      <c r="J31" t="s">
        <v>6</v>
      </c>
      <c r="K31" t="s">
        <v>235</v>
      </c>
      <c r="L31">
        <v>1191</v>
      </c>
      <c r="N31">
        <v>1013</v>
      </c>
      <c r="O31" t="s">
        <v>233</v>
      </c>
      <c r="P31" t="s">
        <v>233</v>
      </c>
      <c r="Q31">
        <v>1</v>
      </c>
      <c r="X31">
        <v>0.57999999999999996</v>
      </c>
      <c r="Y31">
        <v>0</v>
      </c>
      <c r="Z31">
        <v>0</v>
      </c>
      <c r="AA31">
        <v>0</v>
      </c>
      <c r="AB31">
        <v>0</v>
      </c>
      <c r="AC31">
        <v>0</v>
      </c>
      <c r="AD31">
        <v>1</v>
      </c>
      <c r="AE31">
        <v>2</v>
      </c>
      <c r="AF31" t="s">
        <v>6</v>
      </c>
      <c r="AG31">
        <v>0.57999999999999996</v>
      </c>
      <c r="AH31">
        <v>2</v>
      </c>
      <c r="AI31">
        <v>16496671</v>
      </c>
      <c r="AJ31">
        <v>30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ROW(Source!A31)</f>
        <v>31</v>
      </c>
      <c r="B32">
        <v>16496683</v>
      </c>
      <c r="C32">
        <v>16496669</v>
      </c>
      <c r="D32">
        <v>15247974</v>
      </c>
      <c r="E32">
        <v>1</v>
      </c>
      <c r="F32">
        <v>1</v>
      </c>
      <c r="G32">
        <v>1</v>
      </c>
      <c r="H32">
        <v>2</v>
      </c>
      <c r="I32" t="s">
        <v>236</v>
      </c>
      <c r="J32" t="s">
        <v>237</v>
      </c>
      <c r="K32" t="s">
        <v>238</v>
      </c>
      <c r="L32">
        <v>1368</v>
      </c>
      <c r="N32">
        <v>1011</v>
      </c>
      <c r="O32" t="s">
        <v>239</v>
      </c>
      <c r="P32" t="s">
        <v>239</v>
      </c>
      <c r="Q32">
        <v>1</v>
      </c>
      <c r="X32">
        <v>0.08</v>
      </c>
      <c r="Y32">
        <v>0</v>
      </c>
      <c r="Z32">
        <v>31.26</v>
      </c>
      <c r="AA32">
        <v>13.5</v>
      </c>
      <c r="AB32">
        <v>0</v>
      </c>
      <c r="AC32">
        <v>0</v>
      </c>
      <c r="AD32">
        <v>1</v>
      </c>
      <c r="AE32">
        <v>0</v>
      </c>
      <c r="AF32" t="s">
        <v>6</v>
      </c>
      <c r="AG32">
        <v>0.08</v>
      </c>
      <c r="AH32">
        <v>2</v>
      </c>
      <c r="AI32">
        <v>16496672</v>
      </c>
      <c r="AJ32">
        <v>31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ROW(Source!A31)</f>
        <v>31</v>
      </c>
      <c r="B33">
        <v>16496684</v>
      </c>
      <c r="C33">
        <v>16496669</v>
      </c>
      <c r="D33">
        <v>15249073</v>
      </c>
      <c r="E33">
        <v>1</v>
      </c>
      <c r="F33">
        <v>1</v>
      </c>
      <c r="G33">
        <v>1</v>
      </c>
      <c r="H33">
        <v>2</v>
      </c>
      <c r="I33" t="s">
        <v>242</v>
      </c>
      <c r="J33" t="s">
        <v>243</v>
      </c>
      <c r="K33" t="s">
        <v>244</v>
      </c>
      <c r="L33">
        <v>1368</v>
      </c>
      <c r="N33">
        <v>1011</v>
      </c>
      <c r="O33" t="s">
        <v>239</v>
      </c>
      <c r="P33" t="s">
        <v>239</v>
      </c>
      <c r="Q33">
        <v>1</v>
      </c>
      <c r="X33">
        <v>0.5</v>
      </c>
      <c r="Y33">
        <v>0</v>
      </c>
      <c r="Z33">
        <v>65.709999999999994</v>
      </c>
      <c r="AA33">
        <v>11.6</v>
      </c>
      <c r="AB33">
        <v>0</v>
      </c>
      <c r="AC33">
        <v>0</v>
      </c>
      <c r="AD33">
        <v>1</v>
      </c>
      <c r="AE33">
        <v>0</v>
      </c>
      <c r="AF33" t="s">
        <v>6</v>
      </c>
      <c r="AG33">
        <v>0.5</v>
      </c>
      <c r="AH33">
        <v>2</v>
      </c>
      <c r="AI33">
        <v>16496673</v>
      </c>
      <c r="AJ33">
        <v>32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ROW(Source!A31)</f>
        <v>31</v>
      </c>
      <c r="B34">
        <v>16496685</v>
      </c>
      <c r="C34">
        <v>16496669</v>
      </c>
      <c r="D34">
        <v>15162966</v>
      </c>
      <c r="E34">
        <v>17</v>
      </c>
      <c r="F34">
        <v>1</v>
      </c>
      <c r="G34">
        <v>1</v>
      </c>
      <c r="H34">
        <v>3</v>
      </c>
      <c r="I34" t="s">
        <v>60</v>
      </c>
      <c r="J34" t="s">
        <v>6</v>
      </c>
      <c r="K34" t="s">
        <v>61</v>
      </c>
      <c r="L34">
        <v>1327</v>
      </c>
      <c r="N34">
        <v>1005</v>
      </c>
      <c r="O34" t="s">
        <v>32</v>
      </c>
      <c r="P34" t="s">
        <v>32</v>
      </c>
      <c r="Q34">
        <v>1</v>
      </c>
      <c r="X34">
        <v>105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 t="s">
        <v>6</v>
      </c>
      <c r="AG34">
        <v>105</v>
      </c>
      <c r="AH34">
        <v>2</v>
      </c>
      <c r="AI34">
        <v>16496674</v>
      </c>
      <c r="AJ34">
        <v>33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ROW(Source!A31)</f>
        <v>31</v>
      </c>
      <c r="B35">
        <v>16496686</v>
      </c>
      <c r="C35">
        <v>16496669</v>
      </c>
      <c r="D35">
        <v>15171018</v>
      </c>
      <c r="E35">
        <v>1</v>
      </c>
      <c r="F35">
        <v>1</v>
      </c>
      <c r="G35">
        <v>1</v>
      </c>
      <c r="H35">
        <v>3</v>
      </c>
      <c r="I35" t="s">
        <v>276</v>
      </c>
      <c r="J35" t="s">
        <v>277</v>
      </c>
      <c r="K35" t="s">
        <v>278</v>
      </c>
      <c r="L35">
        <v>1346</v>
      </c>
      <c r="N35">
        <v>1009</v>
      </c>
      <c r="O35" t="s">
        <v>69</v>
      </c>
      <c r="P35" t="s">
        <v>69</v>
      </c>
      <c r="Q35">
        <v>1</v>
      </c>
      <c r="X35">
        <v>0.2</v>
      </c>
      <c r="Y35">
        <v>1.82</v>
      </c>
      <c r="Z35">
        <v>0</v>
      </c>
      <c r="AA35">
        <v>0</v>
      </c>
      <c r="AB35">
        <v>0</v>
      </c>
      <c r="AC35">
        <v>0</v>
      </c>
      <c r="AD35">
        <v>1</v>
      </c>
      <c r="AE35">
        <v>0</v>
      </c>
      <c r="AF35" t="s">
        <v>6</v>
      </c>
      <c r="AG35">
        <v>0.2</v>
      </c>
      <c r="AH35">
        <v>2</v>
      </c>
      <c r="AI35">
        <v>16496675</v>
      </c>
      <c r="AJ35">
        <v>34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ROW(Source!A31)</f>
        <v>31</v>
      </c>
      <c r="B36">
        <v>16496687</v>
      </c>
      <c r="C36">
        <v>16496669</v>
      </c>
      <c r="D36">
        <v>15162257</v>
      </c>
      <c r="E36">
        <v>17</v>
      </c>
      <c r="F36">
        <v>1</v>
      </c>
      <c r="G36">
        <v>1</v>
      </c>
      <c r="H36">
        <v>3</v>
      </c>
      <c r="I36" t="s">
        <v>67</v>
      </c>
      <c r="J36" t="s">
        <v>6</v>
      </c>
      <c r="K36" t="s">
        <v>68</v>
      </c>
      <c r="L36">
        <v>1346</v>
      </c>
      <c r="N36">
        <v>1009</v>
      </c>
      <c r="O36" t="s">
        <v>69</v>
      </c>
      <c r="P36" t="s">
        <v>69</v>
      </c>
      <c r="Q36">
        <v>1</v>
      </c>
      <c r="X36">
        <v>30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 t="s">
        <v>6</v>
      </c>
      <c r="AG36">
        <v>30</v>
      </c>
      <c r="AH36">
        <v>2</v>
      </c>
      <c r="AI36">
        <v>16496676</v>
      </c>
      <c r="AJ36">
        <v>37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ROW(Source!A31)</f>
        <v>31</v>
      </c>
      <c r="B37">
        <v>16496688</v>
      </c>
      <c r="C37">
        <v>16496669</v>
      </c>
      <c r="D37">
        <v>15162572</v>
      </c>
      <c r="E37">
        <v>17</v>
      </c>
      <c r="F37">
        <v>1</v>
      </c>
      <c r="G37">
        <v>1</v>
      </c>
      <c r="H37">
        <v>3</v>
      </c>
      <c r="I37" t="s">
        <v>79</v>
      </c>
      <c r="J37" t="s">
        <v>6</v>
      </c>
      <c r="K37" t="s">
        <v>80</v>
      </c>
      <c r="L37">
        <v>1348</v>
      </c>
      <c r="N37">
        <v>1009</v>
      </c>
      <c r="O37" t="s">
        <v>81</v>
      </c>
      <c r="P37" t="s">
        <v>81</v>
      </c>
      <c r="Q37">
        <v>1000</v>
      </c>
      <c r="X37">
        <v>8.8999999999999999E-3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 t="s">
        <v>6</v>
      </c>
      <c r="AG37">
        <v>8.8999999999999999E-3</v>
      </c>
      <c r="AH37">
        <v>2</v>
      </c>
      <c r="AI37">
        <v>16496677</v>
      </c>
      <c r="AJ37">
        <v>39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ROW(Source!A38)</f>
        <v>38</v>
      </c>
      <c r="B38">
        <v>16496700</v>
      </c>
      <c r="C38">
        <v>16496695</v>
      </c>
      <c r="D38">
        <v>15430767</v>
      </c>
      <c r="E38">
        <v>1</v>
      </c>
      <c r="F38">
        <v>1</v>
      </c>
      <c r="G38">
        <v>1</v>
      </c>
      <c r="H38">
        <v>1</v>
      </c>
      <c r="I38" t="s">
        <v>266</v>
      </c>
      <c r="J38" t="s">
        <v>6</v>
      </c>
      <c r="K38" t="s">
        <v>267</v>
      </c>
      <c r="L38">
        <v>1191</v>
      </c>
      <c r="N38">
        <v>1013</v>
      </c>
      <c r="O38" t="s">
        <v>233</v>
      </c>
      <c r="P38" t="s">
        <v>233</v>
      </c>
      <c r="Q38">
        <v>1</v>
      </c>
      <c r="X38">
        <v>6.7</v>
      </c>
      <c r="Y38">
        <v>0</v>
      </c>
      <c r="Z38">
        <v>0</v>
      </c>
      <c r="AA38">
        <v>0</v>
      </c>
      <c r="AB38">
        <v>8.5299999999999994</v>
      </c>
      <c r="AC38">
        <v>0</v>
      </c>
      <c r="AD38">
        <v>1</v>
      </c>
      <c r="AE38">
        <v>1</v>
      </c>
      <c r="AF38" t="s">
        <v>6</v>
      </c>
      <c r="AG38">
        <v>6.7</v>
      </c>
      <c r="AH38">
        <v>2</v>
      </c>
      <c r="AI38">
        <v>16496696</v>
      </c>
      <c r="AJ38">
        <v>40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ROW(Source!A38)</f>
        <v>38</v>
      </c>
      <c r="B39">
        <v>16496701</v>
      </c>
      <c r="C39">
        <v>16496695</v>
      </c>
      <c r="D39">
        <v>15162472</v>
      </c>
      <c r="E39">
        <v>17</v>
      </c>
      <c r="F39">
        <v>1</v>
      </c>
      <c r="G39">
        <v>1</v>
      </c>
      <c r="H39">
        <v>3</v>
      </c>
      <c r="I39" t="s">
        <v>87</v>
      </c>
      <c r="J39" t="s">
        <v>6</v>
      </c>
      <c r="K39" t="s">
        <v>88</v>
      </c>
      <c r="L39">
        <v>2233</v>
      </c>
      <c r="N39">
        <v>1013</v>
      </c>
      <c r="O39" t="s">
        <v>89</v>
      </c>
      <c r="P39" t="s">
        <v>89</v>
      </c>
      <c r="Q39">
        <v>1</v>
      </c>
      <c r="X39">
        <v>100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 t="s">
        <v>6</v>
      </c>
      <c r="AG39">
        <v>100</v>
      </c>
      <c r="AH39">
        <v>2</v>
      </c>
      <c r="AI39">
        <v>16496697</v>
      </c>
      <c r="AJ39">
        <v>41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ROW(Source!A38)</f>
        <v>38</v>
      </c>
      <c r="B40">
        <v>16496702</v>
      </c>
      <c r="C40">
        <v>16496695</v>
      </c>
      <c r="D40">
        <v>15202504</v>
      </c>
      <c r="E40">
        <v>1</v>
      </c>
      <c r="F40">
        <v>1</v>
      </c>
      <c r="G40">
        <v>1</v>
      </c>
      <c r="H40">
        <v>3</v>
      </c>
      <c r="I40" t="s">
        <v>279</v>
      </c>
      <c r="J40" t="s">
        <v>280</v>
      </c>
      <c r="K40" t="s">
        <v>281</v>
      </c>
      <c r="L40">
        <v>1346</v>
      </c>
      <c r="N40">
        <v>1009</v>
      </c>
      <c r="O40" t="s">
        <v>69</v>
      </c>
      <c r="P40" t="s">
        <v>69</v>
      </c>
      <c r="Q40">
        <v>1</v>
      </c>
      <c r="X40">
        <v>0.8</v>
      </c>
      <c r="Y40">
        <v>45</v>
      </c>
      <c r="Z40">
        <v>0</v>
      </c>
      <c r="AA40">
        <v>0</v>
      </c>
      <c r="AB40">
        <v>0</v>
      </c>
      <c r="AC40">
        <v>0</v>
      </c>
      <c r="AD40">
        <v>1</v>
      </c>
      <c r="AE40">
        <v>0</v>
      </c>
      <c r="AF40" t="s">
        <v>6</v>
      </c>
      <c r="AG40">
        <v>0.8</v>
      </c>
      <c r="AH40">
        <v>2</v>
      </c>
      <c r="AI40">
        <v>16496698</v>
      </c>
      <c r="AJ40">
        <v>43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4</vt:i4>
      </vt:variant>
    </vt:vector>
  </HeadingPairs>
  <TitlesOfParts>
    <vt:vector size="10" baseType="lpstr">
      <vt:lpstr>Смета 12 гр. по ФЕР</vt:lpstr>
      <vt:lpstr>Акт КС-2 c НР и СП</vt:lpstr>
      <vt:lpstr>Source</vt:lpstr>
      <vt:lpstr>SourceObSm</vt:lpstr>
      <vt:lpstr>SmtRes</vt:lpstr>
      <vt:lpstr>EtalonRes</vt:lpstr>
      <vt:lpstr>'Акт КС-2 c НР и СП'!Заголовки_для_печати</vt:lpstr>
      <vt:lpstr>'Смета 12 гр. по ФЕР'!Заголовки_для_печати</vt:lpstr>
      <vt:lpstr>'Акт КС-2 c НР и СП'!Область_печати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Ольга Л. Ситникова</cp:lastModifiedBy>
  <cp:lastPrinted>2018-02-02T09:02:02Z</cp:lastPrinted>
  <dcterms:created xsi:type="dcterms:W3CDTF">2018-02-02T08:23:50Z</dcterms:created>
  <dcterms:modified xsi:type="dcterms:W3CDTF">2018-09-26T05:38:05Z</dcterms:modified>
</cp:coreProperties>
</file>