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ФЕР'!$24:$24</definedName>
    <definedName name="_xlnm.Print_Area" localSheetId="1">'Акт КС-2 c НР и СП'!$A$1:$H$532</definedName>
    <definedName name="_xlnm.Print_Area" localSheetId="0">'Смета 12 гр. по ФЕР'!$A$1:$L$340</definedName>
  </definedNames>
  <calcPr calcId="145621"/>
</workbook>
</file>

<file path=xl/calcChain.xml><?xml version="1.0" encoding="utf-8"?>
<calcChain xmlns="http://schemas.openxmlformats.org/spreadsheetml/2006/main">
  <c r="G527" i="6" l="1"/>
  <c r="G522" i="6"/>
  <c r="C527" i="6"/>
  <c r="C522" i="6"/>
  <c r="C519" i="6"/>
  <c r="C518" i="6"/>
  <c r="C517" i="6"/>
  <c r="C513" i="6"/>
  <c r="C512" i="6"/>
  <c r="C511" i="6"/>
  <c r="C506" i="6"/>
  <c r="C505" i="6"/>
  <c r="C504" i="6"/>
  <c r="D499" i="6"/>
  <c r="F498" i="6"/>
  <c r="E498" i="6"/>
  <c r="C498" i="6"/>
  <c r="D498" i="6"/>
  <c r="B498" i="6"/>
  <c r="D497" i="6"/>
  <c r="F496" i="6"/>
  <c r="E496" i="6"/>
  <c r="C496" i="6"/>
  <c r="D496" i="6"/>
  <c r="B496" i="6"/>
  <c r="D495" i="6"/>
  <c r="E494" i="6"/>
  <c r="C494" i="6"/>
  <c r="D494" i="6"/>
  <c r="B494" i="6"/>
  <c r="H492" i="6"/>
  <c r="G492" i="6"/>
  <c r="F491" i="6"/>
  <c r="H490" i="6"/>
  <c r="G490" i="6"/>
  <c r="F489" i="6"/>
  <c r="D483" i="6"/>
  <c r="D482" i="6"/>
  <c r="D481" i="6"/>
  <c r="D480" i="6"/>
  <c r="E478" i="6"/>
  <c r="C478" i="6"/>
  <c r="D478" i="6"/>
  <c r="B478" i="6"/>
  <c r="D477" i="6"/>
  <c r="E476" i="6"/>
  <c r="C476" i="6"/>
  <c r="D476" i="6"/>
  <c r="B476" i="6"/>
  <c r="H474" i="6"/>
  <c r="G474" i="6"/>
  <c r="F473" i="6"/>
  <c r="H472" i="6"/>
  <c r="G472" i="6"/>
  <c r="F471" i="6"/>
  <c r="D465" i="6"/>
  <c r="D464" i="6"/>
  <c r="D463" i="6"/>
  <c r="D462" i="6"/>
  <c r="E460" i="6"/>
  <c r="C460" i="6"/>
  <c r="D460" i="6"/>
  <c r="B460" i="6"/>
  <c r="D459" i="6"/>
  <c r="E458" i="6"/>
  <c r="C458" i="6"/>
  <c r="D458" i="6"/>
  <c r="B458" i="6"/>
  <c r="H456" i="6"/>
  <c r="G456" i="6"/>
  <c r="F455" i="6"/>
  <c r="H454" i="6"/>
  <c r="G454" i="6"/>
  <c r="F453" i="6"/>
  <c r="D447" i="6"/>
  <c r="D446" i="6"/>
  <c r="D445" i="6"/>
  <c r="D444" i="6"/>
  <c r="E442" i="6"/>
  <c r="C442" i="6"/>
  <c r="D442" i="6"/>
  <c r="B442" i="6"/>
  <c r="D441" i="6"/>
  <c r="E440" i="6"/>
  <c r="C440" i="6"/>
  <c r="D440" i="6"/>
  <c r="B440" i="6"/>
  <c r="H438" i="6"/>
  <c r="G438" i="6"/>
  <c r="F437" i="6"/>
  <c r="H436" i="6"/>
  <c r="G436" i="6"/>
  <c r="F435" i="6"/>
  <c r="D429" i="6"/>
  <c r="D428" i="6"/>
  <c r="D427" i="6"/>
  <c r="D426" i="6"/>
  <c r="E424" i="6"/>
  <c r="C424" i="6"/>
  <c r="D424" i="6"/>
  <c r="B424" i="6"/>
  <c r="F422" i="6"/>
  <c r="F421" i="6"/>
  <c r="D420" i="6"/>
  <c r="D419" i="6"/>
  <c r="D418" i="6"/>
  <c r="D417" i="6"/>
  <c r="E415" i="6"/>
  <c r="C415" i="6"/>
  <c r="D415" i="6"/>
  <c r="B415" i="6"/>
  <c r="F413" i="6"/>
  <c r="F412" i="6"/>
  <c r="D411" i="6"/>
  <c r="D410" i="6"/>
  <c r="D409" i="6"/>
  <c r="D408" i="6"/>
  <c r="E406" i="6"/>
  <c r="C406" i="6"/>
  <c r="D406" i="6"/>
  <c r="B406" i="6"/>
  <c r="F404" i="6"/>
  <c r="F403" i="6"/>
  <c r="D402" i="6"/>
  <c r="D401" i="6"/>
  <c r="D400" i="6"/>
  <c r="D399" i="6"/>
  <c r="E397" i="6"/>
  <c r="C397" i="6"/>
  <c r="D397" i="6"/>
  <c r="B397" i="6"/>
  <c r="F395" i="6"/>
  <c r="F394" i="6"/>
  <c r="D393" i="6"/>
  <c r="D392" i="6"/>
  <c r="D391" i="6"/>
  <c r="D390" i="6"/>
  <c r="E388" i="6"/>
  <c r="C388" i="6"/>
  <c r="D388" i="6"/>
  <c r="B388" i="6"/>
  <c r="A387" i="6"/>
  <c r="C385" i="6"/>
  <c r="C384" i="6"/>
  <c r="C383" i="6"/>
  <c r="D378" i="6"/>
  <c r="E377" i="6"/>
  <c r="C377" i="6"/>
  <c r="D377" i="6"/>
  <c r="B377" i="6"/>
  <c r="D376" i="6"/>
  <c r="E375" i="6"/>
  <c r="C375" i="6"/>
  <c r="D375" i="6"/>
  <c r="B375" i="6"/>
  <c r="D374" i="6"/>
  <c r="E373" i="6"/>
  <c r="C373" i="6"/>
  <c r="D373" i="6"/>
  <c r="B373" i="6"/>
  <c r="H371" i="6"/>
  <c r="G371" i="6"/>
  <c r="F370" i="6"/>
  <c r="H369" i="6"/>
  <c r="G369" i="6"/>
  <c r="F368" i="6"/>
  <c r="D362" i="6"/>
  <c r="D361" i="6"/>
  <c r="D360" i="6"/>
  <c r="D359" i="6"/>
  <c r="F358" i="6"/>
  <c r="E358" i="6"/>
  <c r="C358" i="6"/>
  <c r="D358" i="6"/>
  <c r="B358" i="6"/>
  <c r="D357" i="6"/>
  <c r="E356" i="6"/>
  <c r="C356" i="6"/>
  <c r="D356" i="6"/>
  <c r="B356" i="6"/>
  <c r="H354" i="6"/>
  <c r="G354" i="6"/>
  <c r="F353" i="6"/>
  <c r="H352" i="6"/>
  <c r="G352" i="6"/>
  <c r="F351" i="6"/>
  <c r="D345" i="6"/>
  <c r="D344" i="6"/>
  <c r="D343" i="6"/>
  <c r="D342" i="6"/>
  <c r="F341" i="6"/>
  <c r="E341" i="6"/>
  <c r="C341" i="6"/>
  <c r="D341" i="6"/>
  <c r="B341" i="6"/>
  <c r="D340" i="6"/>
  <c r="E339" i="6"/>
  <c r="C339" i="6"/>
  <c r="D339" i="6"/>
  <c r="B339" i="6"/>
  <c r="D338" i="6"/>
  <c r="E337" i="6"/>
  <c r="C337" i="6"/>
  <c r="D337" i="6"/>
  <c r="B337" i="6"/>
  <c r="H335" i="6"/>
  <c r="G335" i="6"/>
  <c r="F334" i="6"/>
  <c r="H333" i="6"/>
  <c r="G333" i="6"/>
  <c r="F332" i="6"/>
  <c r="D326" i="6"/>
  <c r="D325" i="6"/>
  <c r="D324" i="6"/>
  <c r="D323" i="6"/>
  <c r="E321" i="6"/>
  <c r="C321" i="6"/>
  <c r="D321" i="6"/>
  <c r="B321" i="6"/>
  <c r="H319" i="6"/>
  <c r="G319" i="6"/>
  <c r="F318" i="6"/>
  <c r="H317" i="6"/>
  <c r="G317" i="6"/>
  <c r="F316" i="6"/>
  <c r="D315" i="6"/>
  <c r="D314" i="6"/>
  <c r="D313" i="6"/>
  <c r="D312" i="6"/>
  <c r="E310" i="6"/>
  <c r="C310" i="6"/>
  <c r="D310" i="6"/>
  <c r="B310" i="6"/>
  <c r="D309" i="6"/>
  <c r="E308" i="6"/>
  <c r="C308" i="6"/>
  <c r="D308" i="6"/>
  <c r="B308" i="6"/>
  <c r="H306" i="6"/>
  <c r="G306" i="6"/>
  <c r="F305" i="6"/>
  <c r="H304" i="6"/>
  <c r="G304" i="6"/>
  <c r="F303" i="6"/>
  <c r="D297" i="6"/>
  <c r="D296" i="6"/>
  <c r="D295" i="6"/>
  <c r="D294" i="6"/>
  <c r="E292" i="6"/>
  <c r="C292" i="6"/>
  <c r="D292" i="6"/>
  <c r="B292" i="6"/>
  <c r="D291" i="6"/>
  <c r="E290" i="6"/>
  <c r="C290" i="6"/>
  <c r="D290" i="6"/>
  <c r="B290" i="6"/>
  <c r="H288" i="6"/>
  <c r="G288" i="6"/>
  <c r="F287" i="6"/>
  <c r="H286" i="6"/>
  <c r="G286" i="6"/>
  <c r="F285" i="6"/>
  <c r="D279" i="6"/>
  <c r="D278" i="6"/>
  <c r="D277" i="6"/>
  <c r="D276" i="6"/>
  <c r="C275" i="6"/>
  <c r="F274" i="6"/>
  <c r="E274" i="6"/>
  <c r="C274" i="6"/>
  <c r="D274" i="6"/>
  <c r="B274" i="6"/>
  <c r="D273" i="6"/>
  <c r="E272" i="6"/>
  <c r="C272" i="6"/>
  <c r="D272" i="6"/>
  <c r="B272" i="6"/>
  <c r="D271" i="6"/>
  <c r="E270" i="6"/>
  <c r="C270" i="6"/>
  <c r="D270" i="6"/>
  <c r="B270" i="6"/>
  <c r="D269" i="6"/>
  <c r="E268" i="6"/>
  <c r="C268" i="6"/>
  <c r="D268" i="6"/>
  <c r="B268" i="6"/>
  <c r="D267" i="6"/>
  <c r="E266" i="6"/>
  <c r="C266" i="6"/>
  <c r="D266" i="6"/>
  <c r="B266" i="6"/>
  <c r="D265" i="6"/>
  <c r="E264" i="6"/>
  <c r="C264" i="6"/>
  <c r="D264" i="6"/>
  <c r="B264" i="6"/>
  <c r="D263" i="6"/>
  <c r="E262" i="6"/>
  <c r="C262" i="6"/>
  <c r="D262" i="6"/>
  <c r="B262" i="6"/>
  <c r="H260" i="6"/>
  <c r="G260" i="6"/>
  <c r="F259" i="6"/>
  <c r="H258" i="6"/>
  <c r="G258" i="6"/>
  <c r="F257" i="6"/>
  <c r="D251" i="6"/>
  <c r="D250" i="6"/>
  <c r="D249" i="6"/>
  <c r="D248" i="6"/>
  <c r="E246" i="6"/>
  <c r="C246" i="6"/>
  <c r="D246" i="6"/>
  <c r="B246" i="6"/>
  <c r="D245" i="6"/>
  <c r="E244" i="6"/>
  <c r="C244" i="6"/>
  <c r="D244" i="6"/>
  <c r="B244" i="6"/>
  <c r="D243" i="6"/>
  <c r="E242" i="6"/>
  <c r="C242" i="6"/>
  <c r="D242" i="6"/>
  <c r="B242" i="6"/>
  <c r="H240" i="6"/>
  <c r="G240" i="6"/>
  <c r="F239" i="6"/>
  <c r="H238" i="6"/>
  <c r="G238" i="6"/>
  <c r="F237" i="6"/>
  <c r="D231" i="6"/>
  <c r="D230" i="6"/>
  <c r="D229" i="6"/>
  <c r="D228" i="6"/>
  <c r="E226" i="6"/>
  <c r="C226" i="6"/>
  <c r="D226" i="6"/>
  <c r="B226" i="6"/>
  <c r="H224" i="6"/>
  <c r="G224" i="6"/>
  <c r="F223" i="6"/>
  <c r="H222" i="6"/>
  <c r="G222" i="6"/>
  <c r="F221" i="6"/>
  <c r="D220" i="6"/>
  <c r="D219" i="6"/>
  <c r="D218" i="6"/>
  <c r="D217" i="6"/>
  <c r="E215" i="6"/>
  <c r="C215" i="6"/>
  <c r="D215" i="6"/>
  <c r="B215" i="6"/>
  <c r="D214" i="6"/>
  <c r="E213" i="6"/>
  <c r="C213" i="6"/>
  <c r="D213" i="6"/>
  <c r="B213" i="6"/>
  <c r="D212" i="6"/>
  <c r="E211" i="6"/>
  <c r="C211" i="6"/>
  <c r="D211" i="6"/>
  <c r="B211" i="6"/>
  <c r="H209" i="6"/>
  <c r="G209" i="6"/>
  <c r="F208" i="6"/>
  <c r="H207" i="6"/>
  <c r="G207" i="6"/>
  <c r="F206" i="6"/>
  <c r="D200" i="6"/>
  <c r="D199" i="6"/>
  <c r="D198" i="6"/>
  <c r="D197" i="6"/>
  <c r="E195" i="6"/>
  <c r="C195" i="6"/>
  <c r="D195" i="6"/>
  <c r="B195" i="6"/>
  <c r="H193" i="6"/>
  <c r="G193" i="6"/>
  <c r="F192" i="6"/>
  <c r="H191" i="6"/>
  <c r="G191" i="6"/>
  <c r="F190" i="6"/>
  <c r="D189" i="6"/>
  <c r="D188" i="6"/>
  <c r="D187" i="6"/>
  <c r="D186" i="6"/>
  <c r="E184" i="6"/>
  <c r="C184" i="6"/>
  <c r="D184" i="6"/>
  <c r="B184" i="6"/>
  <c r="D183" i="6"/>
  <c r="E182" i="6"/>
  <c r="C182" i="6"/>
  <c r="D182" i="6"/>
  <c r="B182" i="6"/>
  <c r="H180" i="6"/>
  <c r="G180" i="6"/>
  <c r="F179" i="6"/>
  <c r="H178" i="6"/>
  <c r="G178" i="6"/>
  <c r="F177" i="6"/>
  <c r="D171" i="6"/>
  <c r="D170" i="6"/>
  <c r="D169" i="6"/>
  <c r="D168" i="6"/>
  <c r="E166" i="6"/>
  <c r="C166" i="6"/>
  <c r="D166" i="6"/>
  <c r="B166" i="6"/>
  <c r="D165" i="6"/>
  <c r="E164" i="6"/>
  <c r="C164" i="6"/>
  <c r="D164" i="6"/>
  <c r="B164" i="6"/>
  <c r="H162" i="6"/>
  <c r="G162" i="6"/>
  <c r="F161" i="6"/>
  <c r="H160" i="6"/>
  <c r="G160" i="6"/>
  <c r="F159" i="6"/>
  <c r="D153" i="6"/>
  <c r="D152" i="6"/>
  <c r="D151" i="6"/>
  <c r="D150" i="6"/>
  <c r="E148" i="6"/>
  <c r="C148" i="6"/>
  <c r="D148" i="6"/>
  <c r="B148" i="6"/>
  <c r="H146" i="6"/>
  <c r="G146" i="6"/>
  <c r="F145" i="6"/>
  <c r="H144" i="6"/>
  <c r="G144" i="6"/>
  <c r="F143" i="6"/>
  <c r="D142" i="6"/>
  <c r="D141" i="6"/>
  <c r="D140" i="6"/>
  <c r="D139" i="6"/>
  <c r="E137" i="6"/>
  <c r="C137" i="6"/>
  <c r="D137" i="6"/>
  <c r="B137" i="6"/>
  <c r="H135" i="6"/>
  <c r="G135" i="6"/>
  <c r="F134" i="6"/>
  <c r="H133" i="6"/>
  <c r="G133" i="6"/>
  <c r="F132" i="6"/>
  <c r="D125" i="6"/>
  <c r="D124" i="6"/>
  <c r="D123" i="6"/>
  <c r="D122" i="6"/>
  <c r="F121" i="6"/>
  <c r="E121" i="6"/>
  <c r="C121" i="6"/>
  <c r="D121" i="6"/>
  <c r="B121" i="6"/>
  <c r="H119" i="6"/>
  <c r="G119" i="6"/>
  <c r="F118" i="6"/>
  <c r="H117" i="6"/>
  <c r="G117" i="6"/>
  <c r="F116" i="6"/>
  <c r="D109" i="6"/>
  <c r="D108" i="6"/>
  <c r="D107" i="6"/>
  <c r="D106" i="6"/>
  <c r="F105" i="6"/>
  <c r="E105" i="6"/>
  <c r="C105" i="6"/>
  <c r="D105" i="6"/>
  <c r="B105" i="6"/>
  <c r="H103" i="6"/>
  <c r="G103" i="6"/>
  <c r="F102" i="6"/>
  <c r="H101" i="6"/>
  <c r="G101" i="6"/>
  <c r="F100" i="6"/>
  <c r="D99" i="6"/>
  <c r="D98" i="6"/>
  <c r="D97" i="6"/>
  <c r="D96" i="6"/>
  <c r="E94" i="6"/>
  <c r="C94" i="6"/>
  <c r="D94" i="6"/>
  <c r="B94" i="6"/>
  <c r="F92" i="6"/>
  <c r="F91" i="6"/>
  <c r="D90" i="6"/>
  <c r="D89" i="6"/>
  <c r="D88" i="6"/>
  <c r="D87" i="6"/>
  <c r="E85" i="6"/>
  <c r="C85" i="6"/>
  <c r="D85" i="6"/>
  <c r="B85" i="6"/>
  <c r="H83" i="6"/>
  <c r="G83" i="6"/>
  <c r="F82" i="6"/>
  <c r="H81" i="6"/>
  <c r="G81" i="6"/>
  <c r="F80" i="6"/>
  <c r="D79" i="6"/>
  <c r="D78" i="6"/>
  <c r="D77" i="6"/>
  <c r="D76" i="6"/>
  <c r="E74" i="6"/>
  <c r="C74" i="6"/>
  <c r="D74" i="6"/>
  <c r="B74" i="6"/>
  <c r="F72" i="6"/>
  <c r="F71" i="6"/>
  <c r="D70" i="6"/>
  <c r="D69" i="6"/>
  <c r="D68" i="6"/>
  <c r="D67" i="6"/>
  <c r="E65" i="6"/>
  <c r="C65" i="6"/>
  <c r="D65" i="6"/>
  <c r="B65" i="6"/>
  <c r="F63" i="6"/>
  <c r="F62" i="6"/>
  <c r="D61" i="6"/>
  <c r="D60" i="6"/>
  <c r="D59" i="6"/>
  <c r="D58" i="6"/>
  <c r="E56" i="6"/>
  <c r="C56" i="6"/>
  <c r="D56" i="6"/>
  <c r="B56" i="6"/>
  <c r="H54" i="6"/>
  <c r="G54" i="6"/>
  <c r="F53" i="6"/>
  <c r="H52" i="6"/>
  <c r="G52" i="6"/>
  <c r="F51" i="6"/>
  <c r="D45" i="6"/>
  <c r="D44" i="6"/>
  <c r="D43" i="6"/>
  <c r="D42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C337" i="5"/>
  <c r="C336" i="5"/>
  <c r="C335" i="5"/>
  <c r="Z332" i="5"/>
  <c r="Y332" i="5"/>
  <c r="X332" i="5"/>
  <c r="J331" i="5"/>
  <c r="G331" i="5"/>
  <c r="F331" i="5"/>
  <c r="U331" i="5"/>
  <c r="S331" i="5"/>
  <c r="E331" i="5"/>
  <c r="D331" i="5"/>
  <c r="I331" i="5"/>
  <c r="C331" i="5"/>
  <c r="B331" i="5"/>
  <c r="A331" i="5"/>
  <c r="Z330" i="5"/>
  <c r="Y330" i="5"/>
  <c r="X330" i="5"/>
  <c r="J329" i="5"/>
  <c r="G329" i="5"/>
  <c r="F329" i="5"/>
  <c r="U329" i="5"/>
  <c r="S329" i="5"/>
  <c r="E329" i="5"/>
  <c r="D329" i="5"/>
  <c r="I329" i="5"/>
  <c r="C329" i="5"/>
  <c r="B329" i="5"/>
  <c r="A329" i="5"/>
  <c r="Z328" i="5"/>
  <c r="Y328" i="5"/>
  <c r="X328" i="5"/>
  <c r="J327" i="5"/>
  <c r="Z327" i="5"/>
  <c r="Y327" i="5"/>
  <c r="X327" i="5"/>
  <c r="F327" i="5"/>
  <c r="D327" i="5"/>
  <c r="C327" i="5"/>
  <c r="B327" i="5"/>
  <c r="A327" i="5"/>
  <c r="G326" i="5"/>
  <c r="E326" i="5"/>
  <c r="J325" i="5"/>
  <c r="F325" i="5"/>
  <c r="E325" i="5"/>
  <c r="J324" i="5"/>
  <c r="F324" i="5"/>
  <c r="E324" i="5"/>
  <c r="J323" i="5"/>
  <c r="G323" i="5"/>
  <c r="F323" i="5"/>
  <c r="J322" i="5"/>
  <c r="G322" i="5"/>
  <c r="F322" i="5"/>
  <c r="F320" i="5"/>
  <c r="D320" i="5"/>
  <c r="I320" i="5"/>
  <c r="C320" i="5"/>
  <c r="B320" i="5"/>
  <c r="A320" i="5"/>
  <c r="Z319" i="5"/>
  <c r="Y319" i="5"/>
  <c r="X319" i="5"/>
  <c r="J318" i="5"/>
  <c r="Z318" i="5"/>
  <c r="Y318" i="5"/>
  <c r="X318" i="5"/>
  <c r="F318" i="5"/>
  <c r="D318" i="5"/>
  <c r="C318" i="5"/>
  <c r="B318" i="5"/>
  <c r="A318" i="5"/>
  <c r="G317" i="5"/>
  <c r="E317" i="5"/>
  <c r="J316" i="5"/>
  <c r="F316" i="5"/>
  <c r="E316" i="5"/>
  <c r="J315" i="5"/>
  <c r="F315" i="5"/>
  <c r="E315" i="5"/>
  <c r="J314" i="5"/>
  <c r="G314" i="5"/>
  <c r="F314" i="5"/>
  <c r="J313" i="5"/>
  <c r="G313" i="5"/>
  <c r="F313" i="5"/>
  <c r="J312" i="5"/>
  <c r="G312" i="5"/>
  <c r="F312" i="5"/>
  <c r="J311" i="5"/>
  <c r="G311" i="5"/>
  <c r="F311" i="5"/>
  <c r="F309" i="5"/>
  <c r="D309" i="5"/>
  <c r="I309" i="5"/>
  <c r="C309" i="5"/>
  <c r="B309" i="5"/>
  <c r="A309" i="5"/>
  <c r="Z308" i="5"/>
  <c r="Y308" i="5"/>
  <c r="X308" i="5"/>
  <c r="J307" i="5"/>
  <c r="Z307" i="5"/>
  <c r="Y307" i="5"/>
  <c r="X307" i="5"/>
  <c r="F307" i="5"/>
  <c r="D307" i="5"/>
  <c r="C307" i="5"/>
  <c r="B307" i="5"/>
  <c r="A307" i="5"/>
  <c r="G306" i="5"/>
  <c r="E306" i="5"/>
  <c r="J305" i="5"/>
  <c r="F305" i="5"/>
  <c r="E305" i="5"/>
  <c r="J304" i="5"/>
  <c r="F304" i="5"/>
  <c r="E304" i="5"/>
  <c r="J303" i="5"/>
  <c r="G303" i="5"/>
  <c r="F303" i="5"/>
  <c r="J302" i="5"/>
  <c r="G302" i="5"/>
  <c r="F302" i="5"/>
  <c r="J301" i="5"/>
  <c r="G301" i="5"/>
  <c r="F301" i="5"/>
  <c r="J300" i="5"/>
  <c r="G300" i="5"/>
  <c r="F300" i="5"/>
  <c r="F298" i="5"/>
  <c r="D298" i="5"/>
  <c r="I298" i="5"/>
  <c r="C298" i="5"/>
  <c r="B298" i="5"/>
  <c r="A298" i="5"/>
  <c r="Z297" i="5"/>
  <c r="Y297" i="5"/>
  <c r="X297" i="5"/>
  <c r="J296" i="5"/>
  <c r="Z296" i="5"/>
  <c r="Y296" i="5"/>
  <c r="X296" i="5"/>
  <c r="F296" i="5"/>
  <c r="D296" i="5"/>
  <c r="C296" i="5"/>
  <c r="B296" i="5"/>
  <c r="A296" i="5"/>
  <c r="G295" i="5"/>
  <c r="E295" i="5"/>
  <c r="J294" i="5"/>
  <c r="F294" i="5"/>
  <c r="E294" i="5"/>
  <c r="J293" i="5"/>
  <c r="F293" i="5"/>
  <c r="E293" i="5"/>
  <c r="J292" i="5"/>
  <c r="G292" i="5"/>
  <c r="F292" i="5"/>
  <c r="J291" i="5"/>
  <c r="G291" i="5"/>
  <c r="F291" i="5"/>
  <c r="J290" i="5"/>
  <c r="G290" i="5"/>
  <c r="F290" i="5"/>
  <c r="J289" i="5"/>
  <c r="G289" i="5"/>
  <c r="F289" i="5"/>
  <c r="F287" i="5"/>
  <c r="D287" i="5"/>
  <c r="I287" i="5"/>
  <c r="C287" i="5"/>
  <c r="B287" i="5"/>
  <c r="A287" i="5"/>
  <c r="Z286" i="5"/>
  <c r="Y286" i="5"/>
  <c r="X286" i="5"/>
  <c r="G285" i="5"/>
  <c r="E285" i="5"/>
  <c r="J284" i="5"/>
  <c r="E284" i="5"/>
  <c r="J283" i="5"/>
  <c r="E283" i="5"/>
  <c r="J282" i="5"/>
  <c r="G282" i="5"/>
  <c r="F282" i="5"/>
  <c r="J281" i="5"/>
  <c r="G281" i="5"/>
  <c r="F281" i="5"/>
  <c r="J280" i="5"/>
  <c r="G280" i="5"/>
  <c r="F280" i="5"/>
  <c r="F278" i="5"/>
  <c r="D278" i="5"/>
  <c r="I278" i="5"/>
  <c r="C278" i="5"/>
  <c r="B278" i="5"/>
  <c r="A278" i="5"/>
  <c r="Z277" i="5"/>
  <c r="Y277" i="5"/>
  <c r="X277" i="5"/>
  <c r="G276" i="5"/>
  <c r="E276" i="5"/>
  <c r="J275" i="5"/>
  <c r="E275" i="5"/>
  <c r="J274" i="5"/>
  <c r="E274" i="5"/>
  <c r="J273" i="5"/>
  <c r="G273" i="5"/>
  <c r="F273" i="5"/>
  <c r="J272" i="5"/>
  <c r="G272" i="5"/>
  <c r="F272" i="5"/>
  <c r="J271" i="5"/>
  <c r="G271" i="5"/>
  <c r="F271" i="5"/>
  <c r="F269" i="5"/>
  <c r="D269" i="5"/>
  <c r="I269" i="5"/>
  <c r="C269" i="5"/>
  <c r="B269" i="5"/>
  <c r="A269" i="5"/>
  <c r="Z268" i="5"/>
  <c r="Y268" i="5"/>
  <c r="X268" i="5"/>
  <c r="G267" i="5"/>
  <c r="E267" i="5"/>
  <c r="J266" i="5"/>
  <c r="E266" i="5"/>
  <c r="J265" i="5"/>
  <c r="E265" i="5"/>
  <c r="J264" i="5"/>
  <c r="G264" i="5"/>
  <c r="F264" i="5"/>
  <c r="J263" i="5"/>
  <c r="G263" i="5"/>
  <c r="F263" i="5"/>
  <c r="J262" i="5"/>
  <c r="G262" i="5"/>
  <c r="F262" i="5"/>
  <c r="F260" i="5"/>
  <c r="D260" i="5"/>
  <c r="I260" i="5"/>
  <c r="C260" i="5"/>
  <c r="B260" i="5"/>
  <c r="A260" i="5"/>
  <c r="Z259" i="5"/>
  <c r="Y259" i="5"/>
  <c r="X259" i="5"/>
  <c r="G258" i="5"/>
  <c r="E258" i="5"/>
  <c r="J257" i="5"/>
  <c r="E257" i="5"/>
  <c r="J256" i="5"/>
  <c r="E256" i="5"/>
  <c r="J255" i="5"/>
  <c r="G255" i="5"/>
  <c r="F255" i="5"/>
  <c r="J254" i="5"/>
  <c r="G254" i="5"/>
  <c r="F254" i="5"/>
  <c r="J253" i="5"/>
  <c r="G253" i="5"/>
  <c r="F253" i="5"/>
  <c r="J252" i="5"/>
  <c r="G252" i="5"/>
  <c r="F252" i="5"/>
  <c r="F250" i="5"/>
  <c r="D250" i="5"/>
  <c r="I250" i="5"/>
  <c r="C250" i="5"/>
  <c r="B250" i="5"/>
  <c r="A250" i="5"/>
  <c r="A249" i="5"/>
  <c r="Z245" i="5"/>
  <c r="Y245" i="5"/>
  <c r="X245" i="5"/>
  <c r="J244" i="5"/>
  <c r="Z244" i="5"/>
  <c r="Y244" i="5"/>
  <c r="X244" i="5"/>
  <c r="F244" i="5"/>
  <c r="D244" i="5"/>
  <c r="C244" i="5"/>
  <c r="B244" i="5"/>
  <c r="A244" i="5"/>
  <c r="J243" i="5"/>
  <c r="Z243" i="5"/>
  <c r="Y243" i="5"/>
  <c r="X243" i="5"/>
  <c r="F243" i="5"/>
  <c r="D243" i="5"/>
  <c r="C243" i="5"/>
  <c r="B243" i="5"/>
  <c r="A243" i="5"/>
  <c r="J242" i="5"/>
  <c r="Z242" i="5"/>
  <c r="Y242" i="5"/>
  <c r="X242" i="5"/>
  <c r="F242" i="5"/>
  <c r="D242" i="5"/>
  <c r="C242" i="5"/>
  <c r="B242" i="5"/>
  <c r="A242" i="5"/>
  <c r="G241" i="5"/>
  <c r="E241" i="5"/>
  <c r="J240" i="5"/>
  <c r="F240" i="5"/>
  <c r="E240" i="5"/>
  <c r="J239" i="5"/>
  <c r="F239" i="5"/>
  <c r="E239" i="5"/>
  <c r="J238" i="5"/>
  <c r="G238" i="5"/>
  <c r="F238" i="5"/>
  <c r="J237" i="5"/>
  <c r="G237" i="5"/>
  <c r="F237" i="5"/>
  <c r="J236" i="5"/>
  <c r="G236" i="5"/>
  <c r="F236" i="5"/>
  <c r="J235" i="5"/>
  <c r="G235" i="5"/>
  <c r="F235" i="5"/>
  <c r="F234" i="5"/>
  <c r="E234" i="5"/>
  <c r="D234" i="5"/>
  <c r="I234" i="5"/>
  <c r="C234" i="5"/>
  <c r="B234" i="5"/>
  <c r="A234" i="5"/>
  <c r="Z233" i="5"/>
  <c r="Y233" i="5"/>
  <c r="X233" i="5"/>
  <c r="J232" i="5"/>
  <c r="Z232" i="5"/>
  <c r="Y232" i="5"/>
  <c r="X232" i="5"/>
  <c r="F232" i="5"/>
  <c r="D232" i="5"/>
  <c r="C232" i="5"/>
  <c r="B232" i="5"/>
  <c r="A232" i="5"/>
  <c r="G231" i="5"/>
  <c r="E231" i="5"/>
  <c r="J230" i="5"/>
  <c r="F230" i="5"/>
  <c r="E230" i="5"/>
  <c r="J229" i="5"/>
  <c r="F229" i="5"/>
  <c r="E229" i="5"/>
  <c r="J228" i="5"/>
  <c r="G228" i="5"/>
  <c r="F228" i="5"/>
  <c r="J227" i="5"/>
  <c r="G227" i="5"/>
  <c r="F227" i="5"/>
  <c r="J226" i="5"/>
  <c r="G226" i="5"/>
  <c r="F226" i="5"/>
  <c r="J225" i="5"/>
  <c r="G225" i="5"/>
  <c r="F225" i="5"/>
  <c r="F224" i="5"/>
  <c r="E224" i="5"/>
  <c r="D224" i="5"/>
  <c r="I224" i="5"/>
  <c r="C224" i="5"/>
  <c r="B224" i="5"/>
  <c r="A224" i="5"/>
  <c r="Z223" i="5"/>
  <c r="Y223" i="5"/>
  <c r="X223" i="5"/>
  <c r="J222" i="5"/>
  <c r="Z222" i="5"/>
  <c r="Y222" i="5"/>
  <c r="X222" i="5"/>
  <c r="F222" i="5"/>
  <c r="D222" i="5"/>
  <c r="C222" i="5"/>
  <c r="B222" i="5"/>
  <c r="A222" i="5"/>
  <c r="J221" i="5"/>
  <c r="Z221" i="5"/>
  <c r="Y221" i="5"/>
  <c r="X221" i="5"/>
  <c r="F221" i="5"/>
  <c r="D221" i="5"/>
  <c r="C221" i="5"/>
  <c r="B221" i="5"/>
  <c r="A221" i="5"/>
  <c r="G220" i="5"/>
  <c r="E220" i="5"/>
  <c r="J219" i="5"/>
  <c r="F219" i="5"/>
  <c r="E219" i="5"/>
  <c r="J218" i="5"/>
  <c r="F218" i="5"/>
  <c r="E218" i="5"/>
  <c r="J217" i="5"/>
  <c r="G217" i="5"/>
  <c r="F217" i="5"/>
  <c r="J216" i="5"/>
  <c r="G216" i="5"/>
  <c r="F216" i="5"/>
  <c r="J215" i="5"/>
  <c r="G215" i="5"/>
  <c r="F215" i="5"/>
  <c r="J214" i="5"/>
  <c r="G214" i="5"/>
  <c r="F214" i="5"/>
  <c r="F212" i="5"/>
  <c r="D212" i="5"/>
  <c r="I212" i="5"/>
  <c r="C212" i="5"/>
  <c r="B212" i="5"/>
  <c r="A212" i="5"/>
  <c r="Z211" i="5"/>
  <c r="Y211" i="5"/>
  <c r="X211" i="5"/>
  <c r="G210" i="5"/>
  <c r="E210" i="5"/>
  <c r="J209" i="5"/>
  <c r="F209" i="5"/>
  <c r="E209" i="5"/>
  <c r="J208" i="5"/>
  <c r="F208" i="5"/>
  <c r="E208" i="5"/>
  <c r="J207" i="5"/>
  <c r="G207" i="5"/>
  <c r="F207" i="5"/>
  <c r="J206" i="5"/>
  <c r="G206" i="5"/>
  <c r="F206" i="5"/>
  <c r="J205" i="5"/>
  <c r="G205" i="5"/>
  <c r="F205" i="5"/>
  <c r="J204" i="5"/>
  <c r="G204" i="5"/>
  <c r="F204" i="5"/>
  <c r="F202" i="5"/>
  <c r="D202" i="5"/>
  <c r="I202" i="5"/>
  <c r="C202" i="5"/>
  <c r="B202" i="5"/>
  <c r="A202" i="5"/>
  <c r="Z201" i="5"/>
  <c r="Y201" i="5"/>
  <c r="X201" i="5"/>
  <c r="J200" i="5"/>
  <c r="Z200" i="5"/>
  <c r="Y200" i="5"/>
  <c r="X200" i="5"/>
  <c r="F200" i="5"/>
  <c r="D200" i="5"/>
  <c r="C200" i="5"/>
  <c r="B200" i="5"/>
  <c r="A200" i="5"/>
  <c r="G199" i="5"/>
  <c r="E199" i="5"/>
  <c r="J198" i="5"/>
  <c r="F198" i="5"/>
  <c r="E198" i="5"/>
  <c r="J197" i="5"/>
  <c r="F197" i="5"/>
  <c r="E197" i="5"/>
  <c r="J196" i="5"/>
  <c r="G196" i="5"/>
  <c r="F196" i="5"/>
  <c r="J195" i="5"/>
  <c r="G195" i="5"/>
  <c r="F195" i="5"/>
  <c r="J194" i="5"/>
  <c r="G194" i="5"/>
  <c r="F194" i="5"/>
  <c r="J193" i="5"/>
  <c r="G193" i="5"/>
  <c r="F193" i="5"/>
  <c r="F191" i="5"/>
  <c r="D191" i="5"/>
  <c r="I191" i="5"/>
  <c r="C191" i="5"/>
  <c r="B191" i="5"/>
  <c r="A191" i="5"/>
  <c r="Z190" i="5"/>
  <c r="Y190" i="5"/>
  <c r="X190" i="5"/>
  <c r="J189" i="5"/>
  <c r="Z189" i="5"/>
  <c r="Y189" i="5"/>
  <c r="X189" i="5"/>
  <c r="F189" i="5"/>
  <c r="D189" i="5"/>
  <c r="C189" i="5"/>
  <c r="B189" i="5"/>
  <c r="A189" i="5"/>
  <c r="G188" i="5"/>
  <c r="E188" i="5"/>
  <c r="J187" i="5"/>
  <c r="F187" i="5"/>
  <c r="E187" i="5"/>
  <c r="J186" i="5"/>
  <c r="F186" i="5"/>
  <c r="E186" i="5"/>
  <c r="J185" i="5"/>
  <c r="G185" i="5"/>
  <c r="F185" i="5"/>
  <c r="J184" i="5"/>
  <c r="G184" i="5"/>
  <c r="F184" i="5"/>
  <c r="C183" i="5"/>
  <c r="F182" i="5"/>
  <c r="E182" i="5"/>
  <c r="D182" i="5"/>
  <c r="I182" i="5"/>
  <c r="C182" i="5"/>
  <c r="B182" i="5"/>
  <c r="A182" i="5"/>
  <c r="Z181" i="5"/>
  <c r="Y181" i="5"/>
  <c r="X181" i="5"/>
  <c r="J180" i="5"/>
  <c r="Z180" i="5"/>
  <c r="Y180" i="5"/>
  <c r="X180" i="5"/>
  <c r="F180" i="5"/>
  <c r="D180" i="5"/>
  <c r="C180" i="5"/>
  <c r="B180" i="5"/>
  <c r="A180" i="5"/>
  <c r="J179" i="5"/>
  <c r="Z179" i="5"/>
  <c r="Y179" i="5"/>
  <c r="X179" i="5"/>
  <c r="F179" i="5"/>
  <c r="D179" i="5"/>
  <c r="C179" i="5"/>
  <c r="B179" i="5"/>
  <c r="A179" i="5"/>
  <c r="J178" i="5"/>
  <c r="Z178" i="5"/>
  <c r="Y178" i="5"/>
  <c r="X178" i="5"/>
  <c r="F178" i="5"/>
  <c r="D178" i="5"/>
  <c r="C178" i="5"/>
  <c r="B178" i="5"/>
  <c r="A178" i="5"/>
  <c r="J177" i="5"/>
  <c r="Z177" i="5"/>
  <c r="Y177" i="5"/>
  <c r="X177" i="5"/>
  <c r="F177" i="5"/>
  <c r="D177" i="5"/>
  <c r="C177" i="5"/>
  <c r="B177" i="5"/>
  <c r="A177" i="5"/>
  <c r="J176" i="5"/>
  <c r="Z176" i="5"/>
  <c r="Y176" i="5"/>
  <c r="X176" i="5"/>
  <c r="F176" i="5"/>
  <c r="D176" i="5"/>
  <c r="C176" i="5"/>
  <c r="B176" i="5"/>
  <c r="A176" i="5"/>
  <c r="J175" i="5"/>
  <c r="Z175" i="5"/>
  <c r="Y175" i="5"/>
  <c r="X175" i="5"/>
  <c r="F175" i="5"/>
  <c r="D175" i="5"/>
  <c r="C175" i="5"/>
  <c r="B175" i="5"/>
  <c r="A175" i="5"/>
  <c r="G174" i="5"/>
  <c r="E174" i="5"/>
  <c r="J173" i="5"/>
  <c r="F173" i="5"/>
  <c r="E173" i="5"/>
  <c r="J172" i="5"/>
  <c r="F172" i="5"/>
  <c r="E172" i="5"/>
  <c r="J171" i="5"/>
  <c r="G171" i="5"/>
  <c r="F171" i="5"/>
  <c r="J170" i="5"/>
  <c r="G170" i="5"/>
  <c r="F170" i="5"/>
  <c r="J169" i="5"/>
  <c r="G169" i="5"/>
  <c r="F169" i="5"/>
  <c r="J168" i="5"/>
  <c r="G168" i="5"/>
  <c r="F168" i="5"/>
  <c r="F166" i="5"/>
  <c r="D166" i="5"/>
  <c r="I166" i="5"/>
  <c r="C166" i="5"/>
  <c r="B166" i="5"/>
  <c r="A166" i="5"/>
  <c r="Z165" i="5"/>
  <c r="Y165" i="5"/>
  <c r="X165" i="5"/>
  <c r="J164" i="5"/>
  <c r="Z164" i="5"/>
  <c r="Y164" i="5"/>
  <c r="X164" i="5"/>
  <c r="F164" i="5"/>
  <c r="D164" i="5"/>
  <c r="C164" i="5"/>
  <c r="B164" i="5"/>
  <c r="A164" i="5"/>
  <c r="J163" i="5"/>
  <c r="Z163" i="5"/>
  <c r="Y163" i="5"/>
  <c r="X163" i="5"/>
  <c r="F163" i="5"/>
  <c r="D163" i="5"/>
  <c r="C163" i="5"/>
  <c r="B163" i="5"/>
  <c r="A163" i="5"/>
  <c r="G162" i="5"/>
  <c r="E162" i="5"/>
  <c r="J161" i="5"/>
  <c r="F161" i="5"/>
  <c r="E161" i="5"/>
  <c r="J160" i="5"/>
  <c r="F160" i="5"/>
  <c r="E160" i="5"/>
  <c r="J159" i="5"/>
  <c r="G159" i="5"/>
  <c r="F159" i="5"/>
  <c r="J158" i="5"/>
  <c r="G158" i="5"/>
  <c r="F158" i="5"/>
  <c r="J157" i="5"/>
  <c r="G157" i="5"/>
  <c r="F157" i="5"/>
  <c r="F155" i="5"/>
  <c r="D155" i="5"/>
  <c r="I155" i="5"/>
  <c r="C155" i="5"/>
  <c r="B155" i="5"/>
  <c r="A155" i="5"/>
  <c r="Z154" i="5"/>
  <c r="Y154" i="5"/>
  <c r="X154" i="5"/>
  <c r="G153" i="5"/>
  <c r="E153" i="5"/>
  <c r="J152" i="5"/>
  <c r="F152" i="5"/>
  <c r="E152" i="5"/>
  <c r="J151" i="5"/>
  <c r="F151" i="5"/>
  <c r="E151" i="5"/>
  <c r="J150" i="5"/>
  <c r="G150" i="5"/>
  <c r="F150" i="5"/>
  <c r="J149" i="5"/>
  <c r="G149" i="5"/>
  <c r="F149" i="5"/>
  <c r="J148" i="5"/>
  <c r="G148" i="5"/>
  <c r="F148" i="5"/>
  <c r="J147" i="5"/>
  <c r="G147" i="5"/>
  <c r="F147" i="5"/>
  <c r="F145" i="5"/>
  <c r="D145" i="5"/>
  <c r="I145" i="5"/>
  <c r="C145" i="5"/>
  <c r="B145" i="5"/>
  <c r="A145" i="5"/>
  <c r="Z144" i="5"/>
  <c r="Y144" i="5"/>
  <c r="X144" i="5"/>
  <c r="J143" i="5"/>
  <c r="Z143" i="5"/>
  <c r="Y143" i="5"/>
  <c r="X143" i="5"/>
  <c r="F143" i="5"/>
  <c r="D143" i="5"/>
  <c r="C143" i="5"/>
  <c r="B143" i="5"/>
  <c r="A143" i="5"/>
  <c r="J142" i="5"/>
  <c r="Z142" i="5"/>
  <c r="Y142" i="5"/>
  <c r="X142" i="5"/>
  <c r="F142" i="5"/>
  <c r="D142" i="5"/>
  <c r="C142" i="5"/>
  <c r="B142" i="5"/>
  <c r="A142" i="5"/>
  <c r="G141" i="5"/>
  <c r="E141" i="5"/>
  <c r="J140" i="5"/>
  <c r="F140" i="5"/>
  <c r="E140" i="5"/>
  <c r="J139" i="5"/>
  <c r="F139" i="5"/>
  <c r="E139" i="5"/>
  <c r="J138" i="5"/>
  <c r="G138" i="5"/>
  <c r="F138" i="5"/>
  <c r="J137" i="5"/>
  <c r="G137" i="5"/>
  <c r="F137" i="5"/>
  <c r="J136" i="5"/>
  <c r="G136" i="5"/>
  <c r="F136" i="5"/>
  <c r="J135" i="5"/>
  <c r="G135" i="5"/>
  <c r="F135" i="5"/>
  <c r="F133" i="5"/>
  <c r="D133" i="5"/>
  <c r="I133" i="5"/>
  <c r="C133" i="5"/>
  <c r="B133" i="5"/>
  <c r="A133" i="5"/>
  <c r="Z132" i="5"/>
  <c r="Y132" i="5"/>
  <c r="X132" i="5"/>
  <c r="G131" i="5"/>
  <c r="E131" i="5"/>
  <c r="J130" i="5"/>
  <c r="F130" i="5"/>
  <c r="E130" i="5"/>
  <c r="J129" i="5"/>
  <c r="F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3" i="5"/>
  <c r="D123" i="5"/>
  <c r="I123" i="5"/>
  <c r="C123" i="5"/>
  <c r="B123" i="5"/>
  <c r="A123" i="5"/>
  <c r="Z122" i="5"/>
  <c r="Y122" i="5"/>
  <c r="X122" i="5"/>
  <c r="J121" i="5"/>
  <c r="Z121" i="5"/>
  <c r="Y121" i="5"/>
  <c r="X121" i="5"/>
  <c r="F121" i="5"/>
  <c r="D121" i="5"/>
  <c r="C121" i="5"/>
  <c r="B121" i="5"/>
  <c r="A121" i="5"/>
  <c r="G120" i="5"/>
  <c r="E120" i="5"/>
  <c r="J119" i="5"/>
  <c r="F119" i="5"/>
  <c r="E119" i="5"/>
  <c r="J118" i="5"/>
  <c r="F118" i="5"/>
  <c r="E118" i="5"/>
  <c r="J117" i="5"/>
  <c r="G117" i="5"/>
  <c r="F117" i="5"/>
  <c r="J116" i="5"/>
  <c r="G116" i="5"/>
  <c r="F116" i="5"/>
  <c r="J115" i="5"/>
  <c r="G115" i="5"/>
  <c r="F115" i="5"/>
  <c r="J114" i="5"/>
  <c r="G114" i="5"/>
  <c r="F114" i="5"/>
  <c r="F112" i="5"/>
  <c r="D112" i="5"/>
  <c r="I112" i="5"/>
  <c r="C112" i="5"/>
  <c r="B112" i="5"/>
  <c r="A112" i="5"/>
  <c r="Z111" i="5"/>
  <c r="Y111" i="5"/>
  <c r="X111" i="5"/>
  <c r="J110" i="5"/>
  <c r="Z110" i="5"/>
  <c r="Y110" i="5"/>
  <c r="X110" i="5"/>
  <c r="F110" i="5"/>
  <c r="D110" i="5"/>
  <c r="C110" i="5"/>
  <c r="B110" i="5"/>
  <c r="A110" i="5"/>
  <c r="G109" i="5"/>
  <c r="E109" i="5"/>
  <c r="J108" i="5"/>
  <c r="F108" i="5"/>
  <c r="E108" i="5"/>
  <c r="J107" i="5"/>
  <c r="F107" i="5"/>
  <c r="E107" i="5"/>
  <c r="J106" i="5"/>
  <c r="G106" i="5"/>
  <c r="F106" i="5"/>
  <c r="J105" i="5"/>
  <c r="G105" i="5"/>
  <c r="F105" i="5"/>
  <c r="J104" i="5"/>
  <c r="G104" i="5"/>
  <c r="F104" i="5"/>
  <c r="J103" i="5"/>
  <c r="G103" i="5"/>
  <c r="F103" i="5"/>
  <c r="F101" i="5"/>
  <c r="D101" i="5"/>
  <c r="I101" i="5"/>
  <c r="C101" i="5"/>
  <c r="B101" i="5"/>
  <c r="A101" i="5"/>
  <c r="Z100" i="5"/>
  <c r="Y100" i="5"/>
  <c r="X100" i="5"/>
  <c r="G99" i="5"/>
  <c r="E99" i="5"/>
  <c r="J98" i="5"/>
  <c r="F98" i="5"/>
  <c r="E98" i="5"/>
  <c r="J97" i="5"/>
  <c r="F97" i="5"/>
  <c r="E97" i="5"/>
  <c r="J96" i="5"/>
  <c r="G96" i="5"/>
  <c r="F96" i="5"/>
  <c r="F94" i="5"/>
  <c r="D94" i="5"/>
  <c r="I94" i="5"/>
  <c r="C94" i="5"/>
  <c r="B94" i="5"/>
  <c r="A94" i="5"/>
  <c r="Z93" i="5"/>
  <c r="Y93" i="5"/>
  <c r="X93" i="5"/>
  <c r="G92" i="5"/>
  <c r="E92" i="5"/>
  <c r="J91" i="5"/>
  <c r="F91" i="5"/>
  <c r="E91" i="5"/>
  <c r="J90" i="5"/>
  <c r="F90" i="5"/>
  <c r="E90" i="5"/>
  <c r="J89" i="5"/>
  <c r="G89" i="5"/>
  <c r="F89" i="5"/>
  <c r="J88" i="5"/>
  <c r="G88" i="5"/>
  <c r="F88" i="5"/>
  <c r="J87" i="5"/>
  <c r="G87" i="5"/>
  <c r="F87" i="5"/>
  <c r="F86" i="5"/>
  <c r="E86" i="5"/>
  <c r="D86" i="5"/>
  <c r="I86" i="5"/>
  <c r="C86" i="5"/>
  <c r="B86" i="5"/>
  <c r="A86" i="5"/>
  <c r="Z85" i="5"/>
  <c r="Y85" i="5"/>
  <c r="X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F78" i="5"/>
  <c r="E78" i="5"/>
  <c r="D78" i="5"/>
  <c r="I78" i="5"/>
  <c r="C78" i="5"/>
  <c r="B78" i="5"/>
  <c r="A78" i="5"/>
  <c r="Z77" i="5"/>
  <c r="Y77" i="5"/>
  <c r="X77" i="5"/>
  <c r="G76" i="5"/>
  <c r="E76" i="5"/>
  <c r="J75" i="5"/>
  <c r="F75" i="5"/>
  <c r="E75" i="5"/>
  <c r="J74" i="5"/>
  <c r="F74" i="5"/>
  <c r="E74" i="5"/>
  <c r="J73" i="5"/>
  <c r="G73" i="5"/>
  <c r="F73" i="5"/>
  <c r="J72" i="5"/>
  <c r="G72" i="5"/>
  <c r="F72" i="5"/>
  <c r="J71" i="5"/>
  <c r="G71" i="5"/>
  <c r="F71" i="5"/>
  <c r="F69" i="5"/>
  <c r="D69" i="5"/>
  <c r="I69" i="5"/>
  <c r="C69" i="5"/>
  <c r="B69" i="5"/>
  <c r="A69" i="5"/>
  <c r="Z68" i="5"/>
  <c r="Y68" i="5"/>
  <c r="X68" i="5"/>
  <c r="G67" i="5"/>
  <c r="E67" i="5"/>
  <c r="J66" i="5"/>
  <c r="E66" i="5"/>
  <c r="J65" i="5"/>
  <c r="E65" i="5"/>
  <c r="J64" i="5"/>
  <c r="G64" i="5"/>
  <c r="F64" i="5"/>
  <c r="J63" i="5"/>
  <c r="G63" i="5"/>
  <c r="F63" i="5"/>
  <c r="F61" i="5"/>
  <c r="D61" i="5"/>
  <c r="I61" i="5"/>
  <c r="C61" i="5"/>
  <c r="B61" i="5"/>
  <c r="A61" i="5"/>
  <c r="Z60" i="5"/>
  <c r="Y60" i="5"/>
  <c r="X60" i="5"/>
  <c r="G59" i="5"/>
  <c r="E59" i="5"/>
  <c r="J58" i="5"/>
  <c r="F58" i="5"/>
  <c r="E58" i="5"/>
  <c r="J57" i="5"/>
  <c r="F57" i="5"/>
  <c r="E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X52" i="5"/>
  <c r="G51" i="5"/>
  <c r="E51" i="5"/>
  <c r="J50" i="5"/>
  <c r="E50" i="5"/>
  <c r="J49" i="5"/>
  <c r="E49" i="5"/>
  <c r="J48" i="5"/>
  <c r="G48" i="5"/>
  <c r="F48" i="5"/>
  <c r="F46" i="5"/>
  <c r="D46" i="5"/>
  <c r="I46" i="5"/>
  <c r="C46" i="5"/>
  <c r="B46" i="5"/>
  <c r="A46" i="5"/>
  <c r="Z45" i="5"/>
  <c r="Y45" i="5"/>
  <c r="X45" i="5"/>
  <c r="G44" i="5"/>
  <c r="E44" i="5"/>
  <c r="J43" i="5"/>
  <c r="E43" i="5"/>
  <c r="J42" i="5"/>
  <c r="E42" i="5"/>
  <c r="J41" i="5"/>
  <c r="G41" i="5"/>
  <c r="F41" i="5"/>
  <c r="J40" i="5"/>
  <c r="G40" i="5"/>
  <c r="F40" i="5"/>
  <c r="J39" i="5"/>
  <c r="G39" i="5"/>
  <c r="F39" i="5"/>
  <c r="F37" i="5"/>
  <c r="D37" i="5"/>
  <c r="I37" i="5"/>
  <c r="C37" i="5"/>
  <c r="B37" i="5"/>
  <c r="A37" i="5"/>
  <c r="Z36" i="5"/>
  <c r="Y36" i="5"/>
  <c r="G17" i="5" s="1"/>
  <c r="X36" i="5"/>
  <c r="G35" i="5"/>
  <c r="E35" i="5"/>
  <c r="J34" i="5"/>
  <c r="F34" i="5"/>
  <c r="E34" i="5"/>
  <c r="J33" i="5"/>
  <c r="F33" i="5"/>
  <c r="E33" i="5"/>
  <c r="J32" i="5"/>
  <c r="G32" i="5"/>
  <c r="F32" i="5"/>
  <c r="J31" i="5"/>
  <c r="G31" i="5"/>
  <c r="F31" i="5"/>
  <c r="J30" i="5"/>
  <c r="G30" i="5"/>
  <c r="F30" i="5"/>
  <c r="J29" i="5"/>
  <c r="G29" i="5"/>
  <c r="F29" i="5"/>
  <c r="F27" i="5"/>
  <c r="D27" i="5"/>
  <c r="I27" i="5"/>
  <c r="C27" i="5"/>
  <c r="B27" i="5"/>
  <c r="A27" i="5"/>
  <c r="A26" i="5"/>
  <c r="A1" i="5"/>
  <c r="G18" i="5"/>
  <c r="G1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/>
  <c r="P28" i="1" s="1"/>
  <c r="AE28" i="1"/>
  <c r="AD28" i="1" s="1"/>
  <c r="CR28" i="1" s="1"/>
  <c r="Q28" i="1" s="1"/>
  <c r="AF28" i="1"/>
  <c r="CT28" i="1" s="1"/>
  <c r="S28" i="1" s="1"/>
  <c r="AG28" i="1"/>
  <c r="CU28" i="1" s="1"/>
  <c r="T28" i="1" s="1"/>
  <c r="AH28" i="1"/>
  <c r="CV28" i="1" s="1"/>
  <c r="U28" i="1" s="1"/>
  <c r="AI28" i="1"/>
  <c r="CW28" i="1" s="1"/>
  <c r="V28" i="1" s="1"/>
  <c r="AJ28" i="1"/>
  <c r="CS28" i="1"/>
  <c r="R28" i="1" s="1"/>
  <c r="GK28" i="1" s="1"/>
  <c r="CX28" i="1"/>
  <c r="W28" i="1" s="1"/>
  <c r="FR28" i="1"/>
  <c r="GL28" i="1"/>
  <c r="GO28" i="1"/>
  <c r="GP28" i="1"/>
  <c r="GV28" i="1"/>
  <c r="GX28" i="1"/>
  <c r="C29" i="1"/>
  <c r="D29" i="1"/>
  <c r="I29" i="1"/>
  <c r="AC29" i="1"/>
  <c r="AE29" i="1"/>
  <c r="AF29" i="1"/>
  <c r="AG29" i="1"/>
  <c r="CU29" i="1"/>
  <c r="T29" i="1"/>
  <c r="AH29" i="1"/>
  <c r="CV29" i="1" s="1"/>
  <c r="U29" i="1" s="1"/>
  <c r="AI29" i="1"/>
  <c r="CW29" i="1" s="1"/>
  <c r="V29" i="1" s="1"/>
  <c r="Z40" i="6" s="1"/>
  <c r="AJ29" i="1"/>
  <c r="CQ29" i="1"/>
  <c r="P29" i="1" s="1"/>
  <c r="CX29" i="1"/>
  <c r="W29" i="1" s="1"/>
  <c r="FR29" i="1"/>
  <c r="GL29" i="1"/>
  <c r="GO29" i="1"/>
  <c r="GP29" i="1"/>
  <c r="GV29" i="1"/>
  <c r="GX29" i="1"/>
  <c r="C30" i="1"/>
  <c r="D30" i="1"/>
  <c r="I30" i="1"/>
  <c r="V30" i="1"/>
  <c r="AC30" i="1"/>
  <c r="AE30" i="1"/>
  <c r="AD30" i="1" s="1"/>
  <c r="AF30" i="1"/>
  <c r="CT30" i="1" s="1"/>
  <c r="S30" i="1" s="1"/>
  <c r="AG30" i="1"/>
  <c r="CU30" i="1"/>
  <c r="T30" i="1" s="1"/>
  <c r="AH30" i="1"/>
  <c r="AI30" i="1"/>
  <c r="AJ30" i="1"/>
  <c r="CQ30" i="1"/>
  <c r="P30" i="1" s="1"/>
  <c r="CS30" i="1"/>
  <c r="R30" i="1" s="1"/>
  <c r="GK30" i="1" s="1"/>
  <c r="CV30" i="1"/>
  <c r="U30" i="1" s="1"/>
  <c r="CW30" i="1"/>
  <c r="CX30" i="1"/>
  <c r="W30" i="1" s="1"/>
  <c r="FR30" i="1"/>
  <c r="GL30" i="1"/>
  <c r="GO30" i="1"/>
  <c r="GP30" i="1"/>
  <c r="GV30" i="1"/>
  <c r="GX30" i="1"/>
  <c r="C31" i="1"/>
  <c r="D31" i="1"/>
  <c r="I31" i="1"/>
  <c r="AC31" i="1"/>
  <c r="AE31" i="1"/>
  <c r="H41" i="5" s="1"/>
  <c r="R41" i="5" s="1"/>
  <c r="AF31" i="1"/>
  <c r="AG31" i="1"/>
  <c r="CU31" i="1" s="1"/>
  <c r="T31" i="1" s="1"/>
  <c r="AH31" i="1"/>
  <c r="CV31" i="1"/>
  <c r="U31" i="1" s="1"/>
  <c r="AI31" i="1"/>
  <c r="AJ31" i="1"/>
  <c r="CQ31" i="1"/>
  <c r="P31" i="1" s="1"/>
  <c r="CS31" i="1"/>
  <c r="R31" i="1" s="1"/>
  <c r="CT31" i="1"/>
  <c r="S31" i="1"/>
  <c r="CW31" i="1"/>
  <c r="V31" i="1" s="1"/>
  <c r="Z56" i="6" s="1"/>
  <c r="CX31" i="1"/>
  <c r="W31" i="1" s="1"/>
  <c r="FR31" i="1"/>
  <c r="GL31" i="1"/>
  <c r="GO31" i="1"/>
  <c r="GP31" i="1"/>
  <c r="GV31" i="1"/>
  <c r="GX31" i="1" s="1"/>
  <c r="C32" i="1"/>
  <c r="D32" i="1"/>
  <c r="I32" i="1"/>
  <c r="CX15" i="3" s="1"/>
  <c r="P32" i="1"/>
  <c r="AC32" i="1"/>
  <c r="AE32" i="1"/>
  <c r="CS32" i="1" s="1"/>
  <c r="R32" i="1" s="1"/>
  <c r="GK32" i="1" s="1"/>
  <c r="AF32" i="1"/>
  <c r="AG32" i="1"/>
  <c r="AH32" i="1"/>
  <c r="AI32" i="1"/>
  <c r="CW32" i="1"/>
  <c r="V32" i="1" s="1"/>
  <c r="AJ32" i="1"/>
  <c r="CX32" i="1" s="1"/>
  <c r="W32" i="1" s="1"/>
  <c r="CQ32" i="1"/>
  <c r="CT32" i="1"/>
  <c r="S32" i="1" s="1"/>
  <c r="CU32" i="1"/>
  <c r="T32" i="1" s="1"/>
  <c r="CV32" i="1"/>
  <c r="U32" i="1" s="1"/>
  <c r="FR32" i="1"/>
  <c r="GL32" i="1"/>
  <c r="GO32" i="1"/>
  <c r="GP32" i="1"/>
  <c r="GV32" i="1"/>
  <c r="GX32" i="1" s="1"/>
  <c r="C33" i="1"/>
  <c r="D33" i="1"/>
  <c r="I33" i="1"/>
  <c r="CX16" i="3" s="1"/>
  <c r="V33" i="1"/>
  <c r="Z65" i="6" s="1"/>
  <c r="AC33" i="1"/>
  <c r="AE33" i="1"/>
  <c r="AD33" i="1" s="1"/>
  <c r="AF33" i="1"/>
  <c r="CT33" i="1"/>
  <c r="AG33" i="1"/>
  <c r="AH33" i="1"/>
  <c r="CV33" i="1" s="1"/>
  <c r="U33" i="1" s="1"/>
  <c r="AI33" i="1"/>
  <c r="AJ33" i="1"/>
  <c r="CX33" i="1"/>
  <c r="CQ33" i="1"/>
  <c r="P33" i="1" s="1"/>
  <c r="U65" i="6" s="1"/>
  <c r="CU33" i="1"/>
  <c r="T33" i="1" s="1"/>
  <c r="CW33" i="1"/>
  <c r="FR33" i="1"/>
  <c r="GL33" i="1"/>
  <c r="GO33" i="1"/>
  <c r="GP33" i="1"/>
  <c r="GV33" i="1"/>
  <c r="GX33" i="1" s="1"/>
  <c r="C34" i="1"/>
  <c r="D34" i="1"/>
  <c r="I34" i="1"/>
  <c r="AC34" i="1"/>
  <c r="CQ34" i="1" s="1"/>
  <c r="P34" i="1" s="1"/>
  <c r="AE34" i="1"/>
  <c r="CS34" i="1" s="1"/>
  <c r="R34" i="1" s="1"/>
  <c r="GK34" i="1" s="1"/>
  <c r="AF34" i="1"/>
  <c r="AG34" i="1"/>
  <c r="CU34" i="1"/>
  <c r="AH34" i="1"/>
  <c r="AI34" i="1"/>
  <c r="AJ34" i="1"/>
  <c r="CT34" i="1"/>
  <c r="S34" i="1" s="1"/>
  <c r="CV34" i="1"/>
  <c r="U34" i="1"/>
  <c r="CW34" i="1"/>
  <c r="V34" i="1" s="1"/>
  <c r="CX34" i="1"/>
  <c r="W34" i="1"/>
  <c r="FR34" i="1"/>
  <c r="GL34" i="1"/>
  <c r="GO34" i="1"/>
  <c r="GP34" i="1"/>
  <c r="GV34" i="1"/>
  <c r="GX34" i="1" s="1"/>
  <c r="C35" i="1"/>
  <c r="D35" i="1"/>
  <c r="I35" i="1"/>
  <c r="AC35" i="1"/>
  <c r="AE35" i="1"/>
  <c r="AD35" i="1" s="1"/>
  <c r="AF35" i="1"/>
  <c r="AG35" i="1"/>
  <c r="AH35" i="1"/>
  <c r="CV35" i="1" s="1"/>
  <c r="U35" i="1" s="1"/>
  <c r="AI35" i="1"/>
  <c r="AJ35" i="1"/>
  <c r="CX35" i="1" s="1"/>
  <c r="W35" i="1" s="1"/>
  <c r="CS35" i="1"/>
  <c r="R35" i="1" s="1"/>
  <c r="CT35" i="1"/>
  <c r="S35" i="1" s="1"/>
  <c r="CU35" i="1"/>
  <c r="T35" i="1"/>
  <c r="CW35" i="1"/>
  <c r="V35" i="1" s="1"/>
  <c r="Z74" i="6" s="1"/>
  <c r="FR35" i="1"/>
  <c r="GL35" i="1"/>
  <c r="GO35" i="1"/>
  <c r="GP35" i="1"/>
  <c r="GV35" i="1"/>
  <c r="GX35" i="1" s="1"/>
  <c r="C36" i="1"/>
  <c r="D36" i="1"/>
  <c r="I36" i="1"/>
  <c r="AC36" i="1"/>
  <c r="AE36" i="1"/>
  <c r="AD36" i="1" s="1"/>
  <c r="CR36" i="1" s="1"/>
  <c r="Q36" i="1" s="1"/>
  <c r="AF36" i="1"/>
  <c r="CT36" i="1" s="1"/>
  <c r="S36" i="1" s="1"/>
  <c r="AG36" i="1"/>
  <c r="AH36" i="1"/>
  <c r="AI36" i="1"/>
  <c r="CW36" i="1"/>
  <c r="V36" i="1" s="1"/>
  <c r="AJ36" i="1"/>
  <c r="CQ36" i="1"/>
  <c r="P36" i="1"/>
  <c r="CU36" i="1"/>
  <c r="T36" i="1" s="1"/>
  <c r="CV36" i="1"/>
  <c r="U36" i="1" s="1"/>
  <c r="CX36" i="1"/>
  <c r="W36" i="1" s="1"/>
  <c r="FR36" i="1"/>
  <c r="GL36" i="1"/>
  <c r="GO36" i="1"/>
  <c r="GP36" i="1"/>
  <c r="GV36" i="1"/>
  <c r="GX36" i="1" s="1"/>
  <c r="C37" i="1"/>
  <c r="D37" i="1"/>
  <c r="I37" i="1"/>
  <c r="AC37" i="1"/>
  <c r="AB37" i="1" s="1"/>
  <c r="G85" i="6" s="1"/>
  <c r="AD37" i="1"/>
  <c r="AE37" i="1"/>
  <c r="AF37" i="1"/>
  <c r="CT37" i="1" s="1"/>
  <c r="AG37" i="1"/>
  <c r="AH37" i="1"/>
  <c r="CV37" i="1"/>
  <c r="U37" i="1" s="1"/>
  <c r="AI37" i="1"/>
  <c r="AJ37" i="1"/>
  <c r="CX37" i="1"/>
  <c r="CQ37" i="1"/>
  <c r="P37" i="1" s="1"/>
  <c r="U85" i="6" s="1"/>
  <c r="CS37" i="1"/>
  <c r="R37" i="1" s="1"/>
  <c r="CU37" i="1"/>
  <c r="T37" i="1" s="1"/>
  <c r="CW37" i="1"/>
  <c r="V37" i="1"/>
  <c r="Z85" i="6" s="1"/>
  <c r="FR37" i="1"/>
  <c r="GL37" i="1"/>
  <c r="GO37" i="1"/>
  <c r="GP37" i="1"/>
  <c r="GV37" i="1"/>
  <c r="GX37" i="1" s="1"/>
  <c r="C38" i="1"/>
  <c r="D38" i="1"/>
  <c r="I38" i="1"/>
  <c r="AC38" i="1"/>
  <c r="CQ38" i="1" s="1"/>
  <c r="P38" i="1" s="1"/>
  <c r="AE38" i="1"/>
  <c r="AD38" i="1" s="1"/>
  <c r="CR38" i="1" s="1"/>
  <c r="Q38" i="1" s="1"/>
  <c r="AF38" i="1"/>
  <c r="CT38" i="1" s="1"/>
  <c r="S38" i="1" s="1"/>
  <c r="AG38" i="1"/>
  <c r="CU38" i="1" s="1"/>
  <c r="AH38" i="1"/>
  <c r="CV38" i="1" s="1"/>
  <c r="U38" i="1" s="1"/>
  <c r="AI38" i="1"/>
  <c r="CW38" i="1" s="1"/>
  <c r="V38" i="1" s="1"/>
  <c r="AJ38" i="1"/>
  <c r="CS38" i="1"/>
  <c r="R38" i="1" s="1"/>
  <c r="GK38" i="1" s="1"/>
  <c r="CX38" i="1"/>
  <c r="W38" i="1"/>
  <c r="FR38" i="1"/>
  <c r="GL38" i="1"/>
  <c r="GO38" i="1"/>
  <c r="GP38" i="1"/>
  <c r="GV38" i="1"/>
  <c r="GX38" i="1" s="1"/>
  <c r="C39" i="1"/>
  <c r="D39" i="1"/>
  <c r="I39" i="1"/>
  <c r="AC39" i="1"/>
  <c r="AE39" i="1"/>
  <c r="H73" i="5" s="1"/>
  <c r="R73" i="5" s="1"/>
  <c r="AF39" i="1"/>
  <c r="AG39" i="1"/>
  <c r="AH39" i="1"/>
  <c r="CV39" i="1"/>
  <c r="U39" i="1" s="1"/>
  <c r="AI39" i="1"/>
  <c r="AJ39" i="1"/>
  <c r="CX39" i="1" s="1"/>
  <c r="W39" i="1" s="1"/>
  <c r="CQ39" i="1"/>
  <c r="P39" i="1" s="1"/>
  <c r="CS39" i="1"/>
  <c r="R39" i="1" s="1"/>
  <c r="CT39" i="1"/>
  <c r="S39" i="1" s="1"/>
  <c r="CU39" i="1"/>
  <c r="T39" i="1"/>
  <c r="CW39" i="1"/>
  <c r="V39" i="1" s="1"/>
  <c r="Z94" i="6" s="1"/>
  <c r="FR39" i="1"/>
  <c r="GL39" i="1"/>
  <c r="GO39" i="1"/>
  <c r="GP39" i="1"/>
  <c r="GV39" i="1"/>
  <c r="GX39" i="1" s="1"/>
  <c r="C40" i="1"/>
  <c r="D40" i="1"/>
  <c r="AC40" i="1"/>
  <c r="AE40" i="1"/>
  <c r="AD40" i="1"/>
  <c r="AF40" i="1"/>
  <c r="CT40" i="1" s="1"/>
  <c r="S40" i="1" s="1"/>
  <c r="AG40" i="1"/>
  <c r="AH40" i="1"/>
  <c r="CV40" i="1" s="1"/>
  <c r="U40" i="1" s="1"/>
  <c r="AI40" i="1"/>
  <c r="CW40" i="1" s="1"/>
  <c r="V40" i="1" s="1"/>
  <c r="AJ40" i="1"/>
  <c r="CX40" i="1"/>
  <c r="W40" i="1" s="1"/>
  <c r="CQ40" i="1"/>
  <c r="P40" i="1" s="1"/>
  <c r="CS40" i="1"/>
  <c r="R40" i="1"/>
  <c r="CU40" i="1"/>
  <c r="T40" i="1" s="1"/>
  <c r="FR40" i="1"/>
  <c r="GL40" i="1"/>
  <c r="GO40" i="1"/>
  <c r="GP40" i="1"/>
  <c r="GV40" i="1"/>
  <c r="GX40" i="1"/>
  <c r="C41" i="1"/>
  <c r="D41" i="1"/>
  <c r="AC41" i="1"/>
  <c r="CQ41" i="1" s="1"/>
  <c r="P41" i="1" s="1"/>
  <c r="U105" i="6" s="1"/>
  <c r="AE41" i="1"/>
  <c r="H81" i="5" s="1"/>
  <c r="R81" i="5" s="1"/>
  <c r="AF41" i="1"/>
  <c r="AG41" i="1"/>
  <c r="AH41" i="1"/>
  <c r="CV41" i="1" s="1"/>
  <c r="U41" i="1" s="1"/>
  <c r="AI41" i="1"/>
  <c r="AJ41" i="1"/>
  <c r="CX41" i="1" s="1"/>
  <c r="W41" i="1" s="1"/>
  <c r="CS41" i="1"/>
  <c r="R41" i="1"/>
  <c r="GK41" i="1" s="1"/>
  <c r="CT41" i="1"/>
  <c r="S41" i="1" s="1"/>
  <c r="CU41" i="1"/>
  <c r="T41" i="1" s="1"/>
  <c r="CW41" i="1"/>
  <c r="V41" i="1" s="1"/>
  <c r="Z105" i="6" s="1"/>
  <c r="FR41" i="1"/>
  <c r="GL41" i="1"/>
  <c r="GO41" i="1"/>
  <c r="GP41" i="1"/>
  <c r="GV41" i="1"/>
  <c r="GX41" i="1" s="1"/>
  <c r="C42" i="1"/>
  <c r="D42" i="1"/>
  <c r="AC42" i="1"/>
  <c r="AE42" i="1"/>
  <c r="AD42" i="1" s="1"/>
  <c r="AF42" i="1"/>
  <c r="CT42" i="1" s="1"/>
  <c r="S42" i="1" s="1"/>
  <c r="AG42" i="1"/>
  <c r="AH42" i="1"/>
  <c r="AI42" i="1"/>
  <c r="AJ42" i="1"/>
  <c r="CX42" i="1" s="1"/>
  <c r="W42" i="1" s="1"/>
  <c r="CQ42" i="1"/>
  <c r="P42" i="1"/>
  <c r="CS42" i="1"/>
  <c r="R42" i="1" s="1"/>
  <c r="GK42" i="1" s="1"/>
  <c r="CU42" i="1"/>
  <c r="T42" i="1"/>
  <c r="CV42" i="1"/>
  <c r="U42" i="1"/>
  <c r="CW42" i="1"/>
  <c r="V42" i="1" s="1"/>
  <c r="FR42" i="1"/>
  <c r="GL42" i="1"/>
  <c r="GO42" i="1"/>
  <c r="GP42" i="1"/>
  <c r="GV42" i="1"/>
  <c r="GX42" i="1" s="1"/>
  <c r="C43" i="1"/>
  <c r="D43" i="1"/>
  <c r="AC43" i="1"/>
  <c r="AE43" i="1"/>
  <c r="H89" i="5" s="1"/>
  <c r="R89" i="5" s="1"/>
  <c r="AF43" i="1"/>
  <c r="AG43" i="1"/>
  <c r="AH43" i="1"/>
  <c r="CV43" i="1"/>
  <c r="U43" i="1" s="1"/>
  <c r="AI43" i="1"/>
  <c r="AJ43" i="1"/>
  <c r="CQ43" i="1"/>
  <c r="P43" i="1" s="1"/>
  <c r="CS43" i="1"/>
  <c r="R43" i="1" s="1"/>
  <c r="CT43" i="1"/>
  <c r="S43" i="1" s="1"/>
  <c r="CU43" i="1"/>
  <c r="T43" i="1" s="1"/>
  <c r="CW43" i="1"/>
  <c r="V43" i="1" s="1"/>
  <c r="Z121" i="6" s="1"/>
  <c r="CX43" i="1"/>
  <c r="W43" i="1" s="1"/>
  <c r="FR43" i="1"/>
  <c r="GL43" i="1"/>
  <c r="GO43" i="1"/>
  <c r="GP43" i="1"/>
  <c r="GV43" i="1"/>
  <c r="GX43" i="1" s="1"/>
  <c r="C44" i="1"/>
  <c r="D44" i="1"/>
  <c r="I44" i="1"/>
  <c r="CX91" i="3" s="1"/>
  <c r="AC44" i="1"/>
  <c r="AE44" i="1"/>
  <c r="AD44" i="1" s="1"/>
  <c r="CR44" i="1" s="1"/>
  <c r="Q44" i="1" s="1"/>
  <c r="CS44" i="1"/>
  <c r="R44" i="1"/>
  <c r="AF44" i="1"/>
  <c r="AG44" i="1"/>
  <c r="AH44" i="1"/>
  <c r="AI44" i="1"/>
  <c r="CW44" i="1" s="1"/>
  <c r="V44" i="1" s="1"/>
  <c r="AJ44" i="1"/>
  <c r="CQ44" i="1"/>
  <c r="P44" i="1" s="1"/>
  <c r="CT44" i="1"/>
  <c r="S44" i="1" s="1"/>
  <c r="CU44" i="1"/>
  <c r="T44" i="1"/>
  <c r="CV44" i="1"/>
  <c r="U44" i="1" s="1"/>
  <c r="CX44" i="1"/>
  <c r="W44" i="1" s="1"/>
  <c r="FR44" i="1"/>
  <c r="GK44" i="1"/>
  <c r="GL44" i="1"/>
  <c r="GO44" i="1"/>
  <c r="GP44" i="1"/>
  <c r="GV44" i="1"/>
  <c r="GX44" i="1"/>
  <c r="C45" i="1"/>
  <c r="D45" i="1"/>
  <c r="I45" i="1"/>
  <c r="CX92" i="3"/>
  <c r="AC45" i="1"/>
  <c r="CQ45" i="1" s="1"/>
  <c r="P45" i="1" s="1"/>
  <c r="U137" i="6" s="1"/>
  <c r="AE45" i="1"/>
  <c r="AD45" i="1" s="1"/>
  <c r="CR45" i="1" s="1"/>
  <c r="Q45" i="1" s="1"/>
  <c r="W137" i="6" s="1"/>
  <c r="AF45" i="1"/>
  <c r="CT45" i="1" s="1"/>
  <c r="AG45" i="1"/>
  <c r="AH45" i="1"/>
  <c r="CV45" i="1"/>
  <c r="U45" i="1" s="1"/>
  <c r="AI45" i="1"/>
  <c r="AJ45" i="1"/>
  <c r="CX45" i="1"/>
  <c r="CS45" i="1"/>
  <c r="R45" i="1" s="1"/>
  <c r="CU45" i="1"/>
  <c r="T45" i="1" s="1"/>
  <c r="CW45" i="1"/>
  <c r="V45" i="1"/>
  <c r="Z137" i="6" s="1"/>
  <c r="FR45" i="1"/>
  <c r="GL45" i="1"/>
  <c r="GO45" i="1"/>
  <c r="GP45" i="1"/>
  <c r="GV45" i="1"/>
  <c r="GX45" i="1" s="1"/>
  <c r="C46" i="1"/>
  <c r="D46" i="1"/>
  <c r="I46" i="1"/>
  <c r="AC46" i="1"/>
  <c r="CQ46" i="1" s="1"/>
  <c r="P46" i="1" s="1"/>
  <c r="AE46" i="1"/>
  <c r="AD46" i="1" s="1"/>
  <c r="CR46" i="1" s="1"/>
  <c r="Q46" i="1" s="1"/>
  <c r="AF46" i="1"/>
  <c r="AG46" i="1"/>
  <c r="CU46" i="1" s="1"/>
  <c r="AH46" i="1"/>
  <c r="CV46" i="1" s="1"/>
  <c r="U46" i="1" s="1"/>
  <c r="AI46" i="1"/>
  <c r="CW46" i="1" s="1"/>
  <c r="V46" i="1" s="1"/>
  <c r="AJ46" i="1"/>
  <c r="CS46" i="1"/>
  <c r="R46" i="1" s="1"/>
  <c r="GK46" i="1" s="1"/>
  <c r="CT46" i="1"/>
  <c r="S46" i="1"/>
  <c r="CX46" i="1"/>
  <c r="W46" i="1"/>
  <c r="FR46" i="1"/>
  <c r="GL46" i="1"/>
  <c r="GO46" i="1"/>
  <c r="GP46" i="1"/>
  <c r="GV46" i="1"/>
  <c r="GX46" i="1" s="1"/>
  <c r="C47" i="1"/>
  <c r="D47" i="1"/>
  <c r="I47" i="1"/>
  <c r="AC47" i="1"/>
  <c r="H106" i="5" s="1"/>
  <c r="AE47" i="1"/>
  <c r="H105" i="5" s="1"/>
  <c r="R105" i="5" s="1"/>
  <c r="AF47" i="1"/>
  <c r="AG47" i="1"/>
  <c r="AH47" i="1"/>
  <c r="CV47" i="1" s="1"/>
  <c r="U47" i="1" s="1"/>
  <c r="AI47" i="1"/>
  <c r="AJ47" i="1"/>
  <c r="CX47" i="1" s="1"/>
  <c r="W47" i="1" s="1"/>
  <c r="CQ47" i="1"/>
  <c r="P47" i="1" s="1"/>
  <c r="CS47" i="1"/>
  <c r="R47" i="1" s="1"/>
  <c r="CT47" i="1"/>
  <c r="S47" i="1" s="1"/>
  <c r="CU47" i="1"/>
  <c r="T47" i="1"/>
  <c r="CW47" i="1"/>
  <c r="V47" i="1" s="1"/>
  <c r="Z148" i="6" s="1"/>
  <c r="FR47" i="1"/>
  <c r="GL47" i="1"/>
  <c r="GO47" i="1"/>
  <c r="GP47" i="1"/>
  <c r="GV47" i="1"/>
  <c r="GX47" i="1" s="1"/>
  <c r="I48" i="1"/>
  <c r="AC48" i="1"/>
  <c r="AB48" i="1" s="1"/>
  <c r="AE48" i="1"/>
  <c r="AD48" i="1"/>
  <c r="CR48" i="1" s="1"/>
  <c r="Q48" i="1" s="1"/>
  <c r="AF48" i="1"/>
  <c r="AG48" i="1"/>
  <c r="CU48" i="1" s="1"/>
  <c r="T48" i="1" s="1"/>
  <c r="AH48" i="1"/>
  <c r="CV48" i="1" s="1"/>
  <c r="U48" i="1" s="1"/>
  <c r="AI48" i="1"/>
  <c r="AJ48" i="1"/>
  <c r="CX48" i="1"/>
  <c r="W48" i="1" s="1"/>
  <c r="CS48" i="1"/>
  <c r="R48" i="1" s="1"/>
  <c r="GK48" i="1" s="1"/>
  <c r="CT48" i="1"/>
  <c r="S48" i="1" s="1"/>
  <c r="CW48" i="1"/>
  <c r="V48" i="1" s="1"/>
  <c r="FR48" i="1"/>
  <c r="GL48" i="1"/>
  <c r="GO48" i="1"/>
  <c r="GP48" i="1"/>
  <c r="GV48" i="1"/>
  <c r="GX48" i="1"/>
  <c r="I49" i="1"/>
  <c r="T49" i="1"/>
  <c r="AC49" i="1"/>
  <c r="AE49" i="1"/>
  <c r="AD49" i="1" s="1"/>
  <c r="CR49" i="1" s="1"/>
  <c r="Q49" i="1" s="1"/>
  <c r="W164" i="6" s="1"/>
  <c r="AF49" i="1"/>
  <c r="AG49" i="1"/>
  <c r="AH49" i="1"/>
  <c r="CV49" i="1" s="1"/>
  <c r="U49" i="1" s="1"/>
  <c r="Y164" i="6" s="1"/>
  <c r="AI49" i="1"/>
  <c r="AJ49" i="1"/>
  <c r="CX49" i="1" s="1"/>
  <c r="CU49" i="1"/>
  <c r="CW49" i="1"/>
  <c r="V49" i="1" s="1"/>
  <c r="Z164" i="6" s="1"/>
  <c r="FR49" i="1"/>
  <c r="GL49" i="1"/>
  <c r="GO49" i="1"/>
  <c r="GP49" i="1"/>
  <c r="GV49" i="1"/>
  <c r="GX49" i="1" s="1"/>
  <c r="C50" i="1"/>
  <c r="D50" i="1"/>
  <c r="I50" i="1"/>
  <c r="I52" i="1" s="1"/>
  <c r="W50" i="1"/>
  <c r="AC50" i="1"/>
  <c r="CQ50" i="1" s="1"/>
  <c r="AE50" i="1"/>
  <c r="AD50" i="1"/>
  <c r="CR50" i="1" s="1"/>
  <c r="Q50" i="1" s="1"/>
  <c r="AF50" i="1"/>
  <c r="AG50" i="1"/>
  <c r="CU50" i="1" s="1"/>
  <c r="AH50" i="1"/>
  <c r="AI50" i="1"/>
  <c r="CW50" i="1"/>
  <c r="V50" i="1" s="1"/>
  <c r="AJ50" i="1"/>
  <c r="CS50" i="1"/>
  <c r="R50" i="1"/>
  <c r="GK50" i="1" s="1"/>
  <c r="CT50" i="1"/>
  <c r="S50" i="1"/>
  <c r="CV50" i="1"/>
  <c r="U50" i="1" s="1"/>
  <c r="CX50" i="1"/>
  <c r="FR50" i="1"/>
  <c r="GL50" i="1"/>
  <c r="GO50" i="1"/>
  <c r="GP50" i="1"/>
  <c r="GV50" i="1"/>
  <c r="GX50" i="1"/>
  <c r="C51" i="1"/>
  <c r="D51" i="1"/>
  <c r="I51" i="1"/>
  <c r="AC51" i="1"/>
  <c r="AE51" i="1"/>
  <c r="H116" i="5" s="1"/>
  <c r="R116" i="5" s="1"/>
  <c r="AF51" i="1"/>
  <c r="AG51" i="1"/>
  <c r="CU51" i="1" s="1"/>
  <c r="T51" i="1" s="1"/>
  <c r="AH51" i="1"/>
  <c r="CV51" i="1"/>
  <c r="U51" i="1" s="1"/>
  <c r="AI51" i="1"/>
  <c r="AJ51" i="1"/>
  <c r="CQ51" i="1"/>
  <c r="P51" i="1" s="1"/>
  <c r="CS51" i="1"/>
  <c r="R51" i="1" s="1"/>
  <c r="CT51" i="1"/>
  <c r="S51" i="1" s="1"/>
  <c r="CW51" i="1"/>
  <c r="V51" i="1" s="1"/>
  <c r="Z166" i="6" s="1"/>
  <c r="CX51" i="1"/>
  <c r="W51" i="1" s="1"/>
  <c r="FR51" i="1"/>
  <c r="GL51" i="1"/>
  <c r="GO51" i="1"/>
  <c r="GP51" i="1"/>
  <c r="GV51" i="1"/>
  <c r="GX51" i="1"/>
  <c r="AC52" i="1"/>
  <c r="AB52" i="1" s="1"/>
  <c r="AE52" i="1"/>
  <c r="AD52" i="1" s="1"/>
  <c r="CR52" i="1" s="1"/>
  <c r="AF52" i="1"/>
  <c r="AG52" i="1"/>
  <c r="AH52" i="1"/>
  <c r="CV52" i="1" s="1"/>
  <c r="U52" i="1" s="1"/>
  <c r="AI52" i="1"/>
  <c r="CW52" i="1"/>
  <c r="AJ52" i="1"/>
  <c r="CQ52" i="1"/>
  <c r="CT52" i="1"/>
  <c r="CU52" i="1"/>
  <c r="CX52" i="1"/>
  <c r="FR52" i="1"/>
  <c r="GL52" i="1"/>
  <c r="GO52" i="1"/>
  <c r="GP52" i="1"/>
  <c r="GV52" i="1"/>
  <c r="GX52" i="1" s="1"/>
  <c r="I53" i="1"/>
  <c r="AC53" i="1"/>
  <c r="AE53" i="1"/>
  <c r="AD53" i="1" s="1"/>
  <c r="CR53" i="1" s="1"/>
  <c r="Q53" i="1" s="1"/>
  <c r="W182" i="6" s="1"/>
  <c r="AF53" i="1"/>
  <c r="AG53" i="1"/>
  <c r="CU53" i="1" s="1"/>
  <c r="T53" i="1" s="1"/>
  <c r="AH53" i="1"/>
  <c r="CV53" i="1"/>
  <c r="U53" i="1" s="1"/>
  <c r="Y182" i="6" s="1"/>
  <c r="AI53" i="1"/>
  <c r="AJ53" i="1"/>
  <c r="CS53" i="1"/>
  <c r="R53" i="1" s="1"/>
  <c r="CT53" i="1"/>
  <c r="S53" i="1" s="1"/>
  <c r="V182" i="6" s="1"/>
  <c r="CW53" i="1"/>
  <c r="V53" i="1" s="1"/>
  <c r="Z182" i="6" s="1"/>
  <c r="CX53" i="1"/>
  <c r="W53" i="1" s="1"/>
  <c r="FR53" i="1"/>
  <c r="GL53" i="1"/>
  <c r="GO53" i="1"/>
  <c r="GP53" i="1"/>
  <c r="GV53" i="1"/>
  <c r="GX53" i="1" s="1"/>
  <c r="C54" i="1"/>
  <c r="D54" i="1"/>
  <c r="I54" i="1"/>
  <c r="AC54" i="1"/>
  <c r="AE54" i="1"/>
  <c r="AD54" i="1" s="1"/>
  <c r="CR54" i="1" s="1"/>
  <c r="Q54" i="1" s="1"/>
  <c r="AF54" i="1"/>
  <c r="AG54" i="1"/>
  <c r="AH54" i="1"/>
  <c r="AI54" i="1"/>
  <c r="CW54" i="1" s="1"/>
  <c r="V54" i="1" s="1"/>
  <c r="AJ54" i="1"/>
  <c r="CQ54" i="1"/>
  <c r="P54" i="1" s="1"/>
  <c r="CT54" i="1"/>
  <c r="S54" i="1" s="1"/>
  <c r="CU54" i="1"/>
  <c r="T54" i="1" s="1"/>
  <c r="CV54" i="1"/>
  <c r="U54" i="1" s="1"/>
  <c r="CX54" i="1"/>
  <c r="W54" i="1" s="1"/>
  <c r="FR54" i="1"/>
  <c r="GL54" i="1"/>
  <c r="GO54" i="1"/>
  <c r="GP54" i="1"/>
  <c r="GV54" i="1"/>
  <c r="GX54" i="1" s="1"/>
  <c r="C55" i="1"/>
  <c r="D55" i="1"/>
  <c r="I55" i="1"/>
  <c r="AC55" i="1"/>
  <c r="H128" i="5" s="1"/>
  <c r="AE55" i="1"/>
  <c r="H127" i="5" s="1"/>
  <c r="R127" i="5" s="1"/>
  <c r="AF55" i="1"/>
  <c r="CT55" i="1" s="1"/>
  <c r="AG55" i="1"/>
  <c r="AH55" i="1"/>
  <c r="CV55" i="1"/>
  <c r="U55" i="1" s="1"/>
  <c r="AI55" i="1"/>
  <c r="AJ55" i="1"/>
  <c r="CX55" i="1"/>
  <c r="CQ55" i="1"/>
  <c r="P55" i="1" s="1"/>
  <c r="CS55" i="1"/>
  <c r="R55" i="1" s="1"/>
  <c r="CU55" i="1"/>
  <c r="T55" i="1" s="1"/>
  <c r="CW55" i="1"/>
  <c r="V55" i="1"/>
  <c r="Z184" i="6" s="1"/>
  <c r="FR55" i="1"/>
  <c r="GL55" i="1"/>
  <c r="GO55" i="1"/>
  <c r="GP55" i="1"/>
  <c r="GV55" i="1"/>
  <c r="GX55" i="1" s="1"/>
  <c r="C56" i="1"/>
  <c r="D56" i="1"/>
  <c r="I56" i="1"/>
  <c r="AC56" i="1"/>
  <c r="CQ56" i="1"/>
  <c r="P56" i="1"/>
  <c r="AE56" i="1"/>
  <c r="AD56" i="1" s="1"/>
  <c r="CR56" i="1" s="1"/>
  <c r="Q56" i="1" s="1"/>
  <c r="AF56" i="1"/>
  <c r="AG56" i="1"/>
  <c r="CU56" i="1" s="1"/>
  <c r="AH56" i="1"/>
  <c r="CV56" i="1" s="1"/>
  <c r="U56" i="1" s="1"/>
  <c r="AI56" i="1"/>
  <c r="CW56" i="1" s="1"/>
  <c r="V56" i="1" s="1"/>
  <c r="AJ56" i="1"/>
  <c r="CS56" i="1"/>
  <c r="R56" i="1" s="1"/>
  <c r="GK56" i="1" s="1"/>
  <c r="CT56" i="1"/>
  <c r="S56" i="1" s="1"/>
  <c r="CX56" i="1"/>
  <c r="W56" i="1" s="1"/>
  <c r="FR56" i="1"/>
  <c r="GL56" i="1"/>
  <c r="GO56" i="1"/>
  <c r="GP56" i="1"/>
  <c r="GV56" i="1"/>
  <c r="GX56" i="1" s="1"/>
  <c r="C57" i="1"/>
  <c r="D57" i="1"/>
  <c r="I57" i="1"/>
  <c r="AC57" i="1"/>
  <c r="H138" i="5" s="1"/>
  <c r="AE57" i="1"/>
  <c r="H137" i="5" s="1"/>
  <c r="R137" i="5" s="1"/>
  <c r="AF57" i="1"/>
  <c r="AG57" i="1"/>
  <c r="AH57" i="1"/>
  <c r="CV57" i="1"/>
  <c r="U57" i="1" s="1"/>
  <c r="AI57" i="1"/>
  <c r="AJ57" i="1"/>
  <c r="CX57" i="1" s="1"/>
  <c r="W57" i="1" s="1"/>
  <c r="CQ57" i="1"/>
  <c r="P57" i="1" s="1"/>
  <c r="CS57" i="1"/>
  <c r="R57" i="1" s="1"/>
  <c r="CT57" i="1"/>
  <c r="S57" i="1" s="1"/>
  <c r="CU57" i="1"/>
  <c r="T57" i="1"/>
  <c r="CW57" i="1"/>
  <c r="V57" i="1" s="1"/>
  <c r="Z195" i="6" s="1"/>
  <c r="FR57" i="1"/>
  <c r="GL57" i="1"/>
  <c r="GO57" i="1"/>
  <c r="GP57" i="1"/>
  <c r="GV57" i="1"/>
  <c r="GX57" i="1" s="1"/>
  <c r="I58" i="1"/>
  <c r="AC58" i="1"/>
  <c r="AB58" i="1" s="1"/>
  <c r="AE58" i="1"/>
  <c r="AD58" i="1" s="1"/>
  <c r="CR58" i="1" s="1"/>
  <c r="Q58" i="1" s="1"/>
  <c r="AF58" i="1"/>
  <c r="CT58" i="1" s="1"/>
  <c r="S58" i="1" s="1"/>
  <c r="AG58" i="1"/>
  <c r="CU58" i="1" s="1"/>
  <c r="T58" i="1" s="1"/>
  <c r="AH58" i="1"/>
  <c r="AI58" i="1"/>
  <c r="AJ58" i="1"/>
  <c r="CX58" i="1" s="1"/>
  <c r="W58" i="1" s="1"/>
  <c r="CS58" i="1"/>
  <c r="R58" i="1"/>
  <c r="GK58" i="1" s="1"/>
  <c r="CV58" i="1"/>
  <c r="U58" i="1" s="1"/>
  <c r="CW58" i="1"/>
  <c r="V58" i="1" s="1"/>
  <c r="FR58" i="1"/>
  <c r="GL58" i="1"/>
  <c r="GO58" i="1"/>
  <c r="GP58" i="1"/>
  <c r="GV58" i="1"/>
  <c r="GX58" i="1" s="1"/>
  <c r="I59" i="1"/>
  <c r="AC59" i="1"/>
  <c r="AE59" i="1"/>
  <c r="AD59" i="1" s="1"/>
  <c r="AF59" i="1"/>
  <c r="AG59" i="1"/>
  <c r="AH59" i="1"/>
  <c r="CV59" i="1"/>
  <c r="U59" i="1" s="1"/>
  <c r="Y211" i="6" s="1"/>
  <c r="AI59" i="1"/>
  <c r="CW59" i="1" s="1"/>
  <c r="V59" i="1" s="1"/>
  <c r="Z211" i="6" s="1"/>
  <c r="AJ59" i="1"/>
  <c r="CX59" i="1"/>
  <c r="CQ59" i="1"/>
  <c r="P59" i="1"/>
  <c r="U211" i="6" s="1"/>
  <c r="CS59" i="1"/>
  <c r="R59" i="1" s="1"/>
  <c r="CU59" i="1"/>
  <c r="T59" i="1" s="1"/>
  <c r="FR59" i="1"/>
  <c r="GL59" i="1"/>
  <c r="GO59" i="1"/>
  <c r="GP59" i="1"/>
  <c r="GV59" i="1"/>
  <c r="GX59" i="1"/>
  <c r="AC60" i="1"/>
  <c r="AB60" i="1" s="1"/>
  <c r="AE60" i="1"/>
  <c r="AD60" i="1" s="1"/>
  <c r="CR60" i="1" s="1"/>
  <c r="AF60" i="1"/>
  <c r="AG60" i="1"/>
  <c r="CU60" i="1" s="1"/>
  <c r="AH60" i="1"/>
  <c r="AI60" i="1"/>
  <c r="CW60" i="1" s="1"/>
  <c r="AJ60" i="1"/>
  <c r="CT60" i="1"/>
  <c r="CV60" i="1"/>
  <c r="CX60" i="1"/>
  <c r="FR60" i="1"/>
  <c r="GL60" i="1"/>
  <c r="GO60" i="1"/>
  <c r="GP60" i="1"/>
  <c r="GV60" i="1"/>
  <c r="I61" i="1"/>
  <c r="AC61" i="1"/>
  <c r="AD61" i="1"/>
  <c r="CR61" i="1" s="1"/>
  <c r="AE61" i="1"/>
  <c r="AF61" i="1"/>
  <c r="AG61" i="1"/>
  <c r="CU61" i="1" s="1"/>
  <c r="T61" i="1" s="1"/>
  <c r="AH61" i="1"/>
  <c r="CV61" i="1"/>
  <c r="AI61" i="1"/>
  <c r="AJ61" i="1"/>
  <c r="CX61" i="1" s="1"/>
  <c r="W61" i="1" s="1"/>
  <c r="CQ61" i="1"/>
  <c r="P61" i="1"/>
  <c r="U213" i="6" s="1"/>
  <c r="CS61" i="1"/>
  <c r="R61" i="1"/>
  <c r="X213" i="6" s="1"/>
  <c r="CT61" i="1"/>
  <c r="S61" i="1" s="1"/>
  <c r="CW61" i="1"/>
  <c r="V61" i="1" s="1"/>
  <c r="Z213" i="6" s="1"/>
  <c r="FR61" i="1"/>
  <c r="GL61" i="1"/>
  <c r="GO61" i="1"/>
  <c r="GP61" i="1"/>
  <c r="GV61" i="1"/>
  <c r="C62" i="1"/>
  <c r="D62" i="1"/>
  <c r="I62" i="1"/>
  <c r="AC62" i="1"/>
  <c r="CQ62" i="1" s="1"/>
  <c r="P62" i="1" s="1"/>
  <c r="AE62" i="1"/>
  <c r="CS62" i="1" s="1"/>
  <c r="R62" i="1" s="1"/>
  <c r="GK62" i="1" s="1"/>
  <c r="AF62" i="1"/>
  <c r="CT62" i="1" s="1"/>
  <c r="S62" i="1" s="1"/>
  <c r="AG62" i="1"/>
  <c r="AH62" i="1"/>
  <c r="AI62" i="1"/>
  <c r="CW62" i="1"/>
  <c r="V62" i="1" s="1"/>
  <c r="AJ62" i="1"/>
  <c r="CU62" i="1"/>
  <c r="T62" i="1" s="1"/>
  <c r="CV62" i="1"/>
  <c r="U62" i="1"/>
  <c r="CX62" i="1"/>
  <c r="W62" i="1" s="1"/>
  <c r="FR62" i="1"/>
  <c r="GL62" i="1"/>
  <c r="GO62" i="1"/>
  <c r="GP62" i="1"/>
  <c r="GV62" i="1"/>
  <c r="GX62" i="1" s="1"/>
  <c r="C63" i="1"/>
  <c r="D63" i="1"/>
  <c r="I63" i="1"/>
  <c r="AC63" i="1"/>
  <c r="AE63" i="1"/>
  <c r="H149" i="5" s="1"/>
  <c r="R149" i="5" s="1"/>
  <c r="AF63" i="1"/>
  <c r="CT63" i="1"/>
  <c r="AG63" i="1"/>
  <c r="CU63" i="1" s="1"/>
  <c r="T63" i="1" s="1"/>
  <c r="AH63" i="1"/>
  <c r="CV63" i="1" s="1"/>
  <c r="U63" i="1" s="1"/>
  <c r="AI63" i="1"/>
  <c r="CW63" i="1" s="1"/>
  <c r="V63" i="1" s="1"/>
  <c r="Z215" i="6" s="1"/>
  <c r="AJ63" i="1"/>
  <c r="CX63" i="1"/>
  <c r="CQ63" i="1"/>
  <c r="P63" i="1" s="1"/>
  <c r="FR63" i="1"/>
  <c r="GL63" i="1"/>
  <c r="GO63" i="1"/>
  <c r="GP63" i="1"/>
  <c r="GV63" i="1"/>
  <c r="GX63" i="1"/>
  <c r="C64" i="1"/>
  <c r="D64" i="1"/>
  <c r="I64" i="1"/>
  <c r="I66" i="1"/>
  <c r="AC64" i="1"/>
  <c r="CQ64" i="1"/>
  <c r="AE64" i="1"/>
  <c r="AD64" i="1"/>
  <c r="AB64" i="1" s="1"/>
  <c r="AF64" i="1"/>
  <c r="AG64" i="1"/>
  <c r="CU64" i="1"/>
  <c r="AH64" i="1"/>
  <c r="AI64" i="1"/>
  <c r="CW64" i="1"/>
  <c r="V64" i="1"/>
  <c r="AJ64" i="1"/>
  <c r="CX64" i="1"/>
  <c r="W64" i="1"/>
  <c r="CS64" i="1"/>
  <c r="R64" i="1" s="1"/>
  <c r="GK64" i="1" s="1"/>
  <c r="CT64" i="1"/>
  <c r="S64" i="1"/>
  <c r="CV64" i="1"/>
  <c r="U64" i="1"/>
  <c r="FR64" i="1"/>
  <c r="GL64" i="1"/>
  <c r="GO64" i="1"/>
  <c r="GP64" i="1"/>
  <c r="GV64" i="1"/>
  <c r="GX64" i="1"/>
  <c r="C65" i="1"/>
  <c r="D65" i="1"/>
  <c r="I65" i="1"/>
  <c r="AC65" i="1"/>
  <c r="CQ65" i="1" s="1"/>
  <c r="P65" i="1" s="1"/>
  <c r="U226" i="6" s="1"/>
  <c r="AE65" i="1"/>
  <c r="H159" i="5" s="1"/>
  <c r="R159" i="5" s="1"/>
  <c r="AF65" i="1"/>
  <c r="AG65" i="1"/>
  <c r="AH65" i="1"/>
  <c r="CV65" i="1"/>
  <c r="AI65" i="1"/>
  <c r="CW65" i="1" s="1"/>
  <c r="V65" i="1" s="1"/>
  <c r="Z226" i="6" s="1"/>
  <c r="AJ65" i="1"/>
  <c r="CS65" i="1"/>
  <c r="R65" i="1" s="1"/>
  <c r="CT65" i="1"/>
  <c r="S65" i="1" s="1"/>
  <c r="CU65" i="1"/>
  <c r="T65" i="1" s="1"/>
  <c r="CX65" i="1"/>
  <c r="W65" i="1"/>
  <c r="FR65" i="1"/>
  <c r="GL65" i="1"/>
  <c r="GO65" i="1"/>
  <c r="GP65" i="1"/>
  <c r="GV65" i="1"/>
  <c r="AC66" i="1"/>
  <c r="CQ66" i="1"/>
  <c r="AE66" i="1"/>
  <c r="AD66" i="1" s="1"/>
  <c r="CR66" i="1" s="1"/>
  <c r="AF66" i="1"/>
  <c r="AG66" i="1"/>
  <c r="CU66" i="1"/>
  <c r="AH66" i="1"/>
  <c r="AI66" i="1"/>
  <c r="AJ66" i="1"/>
  <c r="CX66" i="1" s="1"/>
  <c r="CT66" i="1"/>
  <c r="S66" i="1"/>
  <c r="CV66" i="1"/>
  <c r="CW66" i="1"/>
  <c r="FR66" i="1"/>
  <c r="GL66" i="1"/>
  <c r="GO66" i="1"/>
  <c r="GP66" i="1"/>
  <c r="GV66" i="1"/>
  <c r="GX66" i="1" s="1"/>
  <c r="I67" i="1"/>
  <c r="AC67" i="1"/>
  <c r="CQ67" i="1" s="1"/>
  <c r="P67" i="1" s="1"/>
  <c r="U242" i="6" s="1"/>
  <c r="AE67" i="1"/>
  <c r="AD67" i="1" s="1"/>
  <c r="AF67" i="1"/>
  <c r="CT67" i="1"/>
  <c r="AG67" i="1"/>
  <c r="CU67" i="1" s="1"/>
  <c r="T67" i="1" s="1"/>
  <c r="AH67" i="1"/>
  <c r="CV67" i="1"/>
  <c r="U67" i="1"/>
  <c r="Y242" i="6" s="1"/>
  <c r="AI67" i="1"/>
  <c r="CW67" i="1" s="1"/>
  <c r="V67" i="1" s="1"/>
  <c r="Z242" i="6" s="1"/>
  <c r="AJ67" i="1"/>
  <c r="CX67" i="1" s="1"/>
  <c r="FR67" i="1"/>
  <c r="GL67" i="1"/>
  <c r="GO67" i="1"/>
  <c r="GP67" i="1"/>
  <c r="GV67" i="1"/>
  <c r="GX67" i="1"/>
  <c r="AC68" i="1"/>
  <c r="AE68" i="1"/>
  <c r="CS68" i="1" s="1"/>
  <c r="AF68" i="1"/>
  <c r="AG68" i="1"/>
  <c r="AH68" i="1"/>
  <c r="CV68" i="1" s="1"/>
  <c r="AI68" i="1"/>
  <c r="CW68" i="1" s="1"/>
  <c r="AJ68" i="1"/>
  <c r="CQ68" i="1"/>
  <c r="CT68" i="1"/>
  <c r="CU68" i="1"/>
  <c r="CX68" i="1"/>
  <c r="FR68" i="1"/>
  <c r="GL68" i="1"/>
  <c r="GO68" i="1"/>
  <c r="GP68" i="1"/>
  <c r="GV68" i="1"/>
  <c r="AC69" i="1"/>
  <c r="CQ69" i="1" s="1"/>
  <c r="AD69" i="1"/>
  <c r="CR69" i="1" s="1"/>
  <c r="AE69" i="1"/>
  <c r="CS69" i="1" s="1"/>
  <c r="AF69" i="1"/>
  <c r="AB69" i="1"/>
  <c r="G244" i="6" s="1"/>
  <c r="AG69" i="1"/>
  <c r="AH69" i="1"/>
  <c r="CV69" i="1" s="1"/>
  <c r="AI69" i="1"/>
  <c r="CW69" i="1" s="1"/>
  <c r="AJ69" i="1"/>
  <c r="CX69" i="1" s="1"/>
  <c r="CT69" i="1"/>
  <c r="CU69" i="1"/>
  <c r="FR69" i="1"/>
  <c r="GL69" i="1"/>
  <c r="GO69" i="1"/>
  <c r="GP69" i="1"/>
  <c r="GV69" i="1"/>
  <c r="C70" i="1"/>
  <c r="D70" i="1"/>
  <c r="I70" i="1"/>
  <c r="AC70" i="1"/>
  <c r="CQ70" i="1" s="1"/>
  <c r="P70" i="1" s="1"/>
  <c r="AE70" i="1"/>
  <c r="CS70" i="1" s="1"/>
  <c r="R70" i="1" s="1"/>
  <c r="GK70" i="1" s="1"/>
  <c r="AF70" i="1"/>
  <c r="AG70" i="1"/>
  <c r="CU70" i="1" s="1"/>
  <c r="T70" i="1" s="1"/>
  <c r="AH70" i="1"/>
  <c r="AI70" i="1"/>
  <c r="CW70" i="1" s="1"/>
  <c r="V70" i="1"/>
  <c r="AJ70" i="1"/>
  <c r="CX70" i="1" s="1"/>
  <c r="W70" i="1" s="1"/>
  <c r="CT70" i="1"/>
  <c r="S70" i="1" s="1"/>
  <c r="CV70" i="1"/>
  <c r="U70" i="1" s="1"/>
  <c r="FR70" i="1"/>
  <c r="GL70" i="1"/>
  <c r="GO70" i="1"/>
  <c r="GP70" i="1"/>
  <c r="GV70" i="1"/>
  <c r="GX70" i="1" s="1"/>
  <c r="C71" i="1"/>
  <c r="D71" i="1"/>
  <c r="I71" i="1"/>
  <c r="AC71" i="1"/>
  <c r="AE71" i="1"/>
  <c r="AD71" i="1" s="1"/>
  <c r="AF71" i="1"/>
  <c r="CT71" i="1" s="1"/>
  <c r="S71" i="1" s="1"/>
  <c r="AG71" i="1"/>
  <c r="AH71" i="1"/>
  <c r="CV71" i="1" s="1"/>
  <c r="U71" i="1" s="1"/>
  <c r="AI71" i="1"/>
  <c r="CW71" i="1" s="1"/>
  <c r="V71" i="1" s="1"/>
  <c r="Z246" i="6" s="1"/>
  <c r="AJ71" i="1"/>
  <c r="CX71" i="1" s="1"/>
  <c r="W71" i="1" s="1"/>
  <c r="CS71" i="1"/>
  <c r="R71" i="1"/>
  <c r="CU71" i="1"/>
  <c r="FR71" i="1"/>
  <c r="GL71" i="1"/>
  <c r="GO71" i="1"/>
  <c r="GP71" i="1"/>
  <c r="GV71" i="1"/>
  <c r="GX71" i="1"/>
  <c r="I72" i="1"/>
  <c r="AC72" i="1"/>
  <c r="AD72" i="1"/>
  <c r="CR72" i="1"/>
  <c r="Q72" i="1" s="1"/>
  <c r="AE72" i="1"/>
  <c r="CS72" i="1"/>
  <c r="R72" i="1"/>
  <c r="GK72" i="1" s="1"/>
  <c r="AF72" i="1"/>
  <c r="AG72" i="1"/>
  <c r="AH72" i="1"/>
  <c r="AI72" i="1"/>
  <c r="CW72" i="1" s="1"/>
  <c r="V72" i="1" s="1"/>
  <c r="AJ72" i="1"/>
  <c r="CX72" i="1" s="1"/>
  <c r="W72" i="1" s="1"/>
  <c r="CQ72" i="1"/>
  <c r="P72" i="1" s="1"/>
  <c r="CP72" i="1" s="1"/>
  <c r="O72" i="1" s="1"/>
  <c r="CT72" i="1"/>
  <c r="S72" i="1" s="1"/>
  <c r="CU72" i="1"/>
  <c r="T72" i="1" s="1"/>
  <c r="CV72" i="1"/>
  <c r="U72" i="1"/>
  <c r="FR72" i="1"/>
  <c r="GL72" i="1"/>
  <c r="GO72" i="1"/>
  <c r="GP72" i="1"/>
  <c r="GV72" i="1"/>
  <c r="GX72" i="1" s="1"/>
  <c r="I73" i="1"/>
  <c r="AC73" i="1"/>
  <c r="CQ73" i="1" s="1"/>
  <c r="P73" i="1" s="1"/>
  <c r="U262" i="6" s="1"/>
  <c r="AE73" i="1"/>
  <c r="AD73" i="1"/>
  <c r="AF73" i="1"/>
  <c r="CT73" i="1" s="1"/>
  <c r="S73" i="1" s="1"/>
  <c r="V262" i="6" s="1"/>
  <c r="AG73" i="1"/>
  <c r="CU73" i="1" s="1"/>
  <c r="T73" i="1" s="1"/>
  <c r="AH73" i="1"/>
  <c r="AI73" i="1"/>
  <c r="CW73" i="1" s="1"/>
  <c r="V73" i="1" s="1"/>
  <c r="Z262" i="6" s="1"/>
  <c r="AJ73" i="1"/>
  <c r="CX73" i="1" s="1"/>
  <c r="W73" i="1" s="1"/>
  <c r="CS73" i="1"/>
  <c r="R73" i="1" s="1"/>
  <c r="CV73" i="1"/>
  <c r="U73" i="1"/>
  <c r="Y262" i="6" s="1"/>
  <c r="FR73" i="1"/>
  <c r="GL73" i="1"/>
  <c r="GO73" i="1"/>
  <c r="GP73" i="1"/>
  <c r="GV73" i="1"/>
  <c r="GX73" i="1"/>
  <c r="I74" i="1"/>
  <c r="AC74" i="1"/>
  <c r="AE74" i="1"/>
  <c r="AD74" i="1"/>
  <c r="AF74" i="1"/>
  <c r="CT74" i="1" s="1"/>
  <c r="S74" i="1" s="1"/>
  <c r="AG74" i="1"/>
  <c r="CU74" i="1" s="1"/>
  <c r="T74" i="1" s="1"/>
  <c r="AH74" i="1"/>
  <c r="AI74" i="1"/>
  <c r="CW74" i="1"/>
  <c r="V74" i="1"/>
  <c r="AJ74" i="1"/>
  <c r="CX74" i="1" s="1"/>
  <c r="W74" i="1" s="1"/>
  <c r="CQ74" i="1"/>
  <c r="P74" i="1" s="1"/>
  <c r="CV74" i="1"/>
  <c r="U74" i="1" s="1"/>
  <c r="FR74" i="1"/>
  <c r="GL74" i="1"/>
  <c r="GO74" i="1"/>
  <c r="GP74" i="1"/>
  <c r="GV74" i="1"/>
  <c r="GX74" i="1"/>
  <c r="AC75" i="1"/>
  <c r="AB75" i="1" s="1"/>
  <c r="G264" i="6" s="1"/>
  <c r="AE75" i="1"/>
  <c r="AD75" i="1" s="1"/>
  <c r="CR75" i="1" s="1"/>
  <c r="AF75" i="1"/>
  <c r="AG75" i="1"/>
  <c r="AH75" i="1"/>
  <c r="CV75" i="1"/>
  <c r="AI75" i="1"/>
  <c r="CW75" i="1"/>
  <c r="AJ75" i="1"/>
  <c r="CT75" i="1"/>
  <c r="CU75" i="1"/>
  <c r="CX75" i="1"/>
  <c r="FR75" i="1"/>
  <c r="GL75" i="1"/>
  <c r="GO75" i="1"/>
  <c r="GP75" i="1"/>
  <c r="GV75" i="1"/>
  <c r="I76" i="1"/>
  <c r="AC76" i="1"/>
  <c r="AB76" i="1" s="1"/>
  <c r="AD76" i="1"/>
  <c r="CR76" i="1"/>
  <c r="Q76" i="1" s="1"/>
  <c r="AE76" i="1"/>
  <c r="AF76" i="1"/>
  <c r="AG76" i="1"/>
  <c r="CU76" i="1" s="1"/>
  <c r="T76" i="1" s="1"/>
  <c r="AH76" i="1"/>
  <c r="CV76" i="1"/>
  <c r="U76" i="1" s="1"/>
  <c r="AI76" i="1"/>
  <c r="AJ76" i="1"/>
  <c r="CS76" i="1"/>
  <c r="R76" i="1" s="1"/>
  <c r="GK76" i="1" s="1"/>
  <c r="CT76" i="1"/>
  <c r="S76" i="1"/>
  <c r="CW76" i="1"/>
  <c r="V76" i="1" s="1"/>
  <c r="CX76" i="1"/>
  <c r="W76" i="1"/>
  <c r="FR76" i="1"/>
  <c r="GL76" i="1"/>
  <c r="GO76" i="1"/>
  <c r="GP76" i="1"/>
  <c r="GV76" i="1"/>
  <c r="GX76" i="1" s="1"/>
  <c r="I77" i="1"/>
  <c r="AC77" i="1"/>
  <c r="CQ77" i="1" s="1"/>
  <c r="P77" i="1" s="1"/>
  <c r="U266" i="6" s="1"/>
  <c r="AE77" i="1"/>
  <c r="AD77" i="1"/>
  <c r="AF77" i="1"/>
  <c r="CT77" i="1" s="1"/>
  <c r="S77" i="1" s="1"/>
  <c r="V266" i="6" s="1"/>
  <c r="AG77" i="1"/>
  <c r="CU77" i="1" s="1"/>
  <c r="T77" i="1" s="1"/>
  <c r="AH77" i="1"/>
  <c r="AI77" i="1"/>
  <c r="CW77" i="1" s="1"/>
  <c r="V77" i="1" s="1"/>
  <c r="Z266" i="6" s="1"/>
  <c r="AJ77" i="1"/>
  <c r="CX77" i="1" s="1"/>
  <c r="W77" i="1" s="1"/>
  <c r="CS77" i="1"/>
  <c r="R77" i="1" s="1"/>
  <c r="CV77" i="1"/>
  <c r="U77" i="1"/>
  <c r="Y266" i="6" s="1"/>
  <c r="FR77" i="1"/>
  <c r="GL77" i="1"/>
  <c r="GO77" i="1"/>
  <c r="GP77" i="1"/>
  <c r="GV77" i="1"/>
  <c r="GX77" i="1"/>
  <c r="I78" i="1"/>
  <c r="AC78" i="1"/>
  <c r="AE78" i="1"/>
  <c r="AD78" i="1"/>
  <c r="AF78" i="1"/>
  <c r="CT78" i="1" s="1"/>
  <c r="S78" i="1" s="1"/>
  <c r="AG78" i="1"/>
  <c r="CU78" i="1" s="1"/>
  <c r="T78" i="1" s="1"/>
  <c r="AH78" i="1"/>
  <c r="AI78" i="1"/>
  <c r="CW78" i="1"/>
  <c r="V78" i="1"/>
  <c r="AJ78" i="1"/>
  <c r="CX78" i="1" s="1"/>
  <c r="W78" i="1" s="1"/>
  <c r="CQ78" i="1"/>
  <c r="P78" i="1" s="1"/>
  <c r="CV78" i="1"/>
  <c r="U78" i="1" s="1"/>
  <c r="FR78" i="1"/>
  <c r="GL78" i="1"/>
  <c r="GO78" i="1"/>
  <c r="GP78" i="1"/>
  <c r="GV78" i="1"/>
  <c r="GX78" i="1"/>
  <c r="AC79" i="1"/>
  <c r="AE79" i="1"/>
  <c r="CS79" i="1" s="1"/>
  <c r="AF79" i="1"/>
  <c r="AG79" i="1"/>
  <c r="AH79" i="1"/>
  <c r="CV79" i="1" s="1"/>
  <c r="AI79" i="1"/>
  <c r="CW79" i="1"/>
  <c r="AJ79" i="1"/>
  <c r="CT79" i="1"/>
  <c r="CU79" i="1"/>
  <c r="CX79" i="1"/>
  <c r="FR79" i="1"/>
  <c r="GL79" i="1"/>
  <c r="GO79" i="1"/>
  <c r="GP79" i="1"/>
  <c r="GV79" i="1"/>
  <c r="I80" i="1"/>
  <c r="AC80" i="1"/>
  <c r="AD80" i="1"/>
  <c r="CR80" i="1" s="1"/>
  <c r="Q80" i="1" s="1"/>
  <c r="AE80" i="1"/>
  <c r="CS80" i="1" s="1"/>
  <c r="R80" i="1" s="1"/>
  <c r="GK80" i="1" s="1"/>
  <c r="AF80" i="1"/>
  <c r="CT80" i="1" s="1"/>
  <c r="S80" i="1" s="1"/>
  <c r="AG80" i="1"/>
  <c r="CU80" i="1" s="1"/>
  <c r="T80" i="1" s="1"/>
  <c r="AH80" i="1"/>
  <c r="CV80" i="1" s="1"/>
  <c r="U80" i="1" s="1"/>
  <c r="AI80" i="1"/>
  <c r="CW80" i="1" s="1"/>
  <c r="V80" i="1" s="1"/>
  <c r="AJ80" i="1"/>
  <c r="CX80" i="1" s="1"/>
  <c r="W80" i="1" s="1"/>
  <c r="FR80" i="1"/>
  <c r="GL80" i="1"/>
  <c r="GO80" i="1"/>
  <c r="GP80" i="1"/>
  <c r="GV80" i="1"/>
  <c r="GX80" i="1"/>
  <c r="I81" i="1"/>
  <c r="AC81" i="1"/>
  <c r="CQ81" i="1"/>
  <c r="P81" i="1"/>
  <c r="U270" i="6" s="1"/>
  <c r="AE81" i="1"/>
  <c r="AD81" i="1"/>
  <c r="CR81" i="1"/>
  <c r="AF81" i="1"/>
  <c r="CT81" i="1" s="1"/>
  <c r="AG81" i="1"/>
  <c r="CU81" i="1"/>
  <c r="AH81" i="1"/>
  <c r="CV81" i="1" s="1"/>
  <c r="U81" i="1" s="1"/>
  <c r="Y270" i="6" s="1"/>
  <c r="AI81" i="1"/>
  <c r="AJ81" i="1"/>
  <c r="CX81" i="1"/>
  <c r="CS81" i="1"/>
  <c r="R81" i="1" s="1"/>
  <c r="CW81" i="1"/>
  <c r="V81" i="1" s="1"/>
  <c r="Z270" i="6" s="1"/>
  <c r="FR81" i="1"/>
  <c r="GL81" i="1"/>
  <c r="GO81" i="1"/>
  <c r="GP81" i="1"/>
  <c r="GV81" i="1"/>
  <c r="I82" i="1"/>
  <c r="P82" i="1" s="1"/>
  <c r="AC82" i="1"/>
  <c r="AE82" i="1"/>
  <c r="AF82" i="1"/>
  <c r="CT82" i="1"/>
  <c r="S82" i="1" s="1"/>
  <c r="AG82" i="1"/>
  <c r="AH82" i="1"/>
  <c r="CV82" i="1" s="1"/>
  <c r="U82" i="1" s="1"/>
  <c r="AI82" i="1"/>
  <c r="CW82" i="1" s="1"/>
  <c r="V82" i="1" s="1"/>
  <c r="AJ82" i="1"/>
  <c r="CX82" i="1"/>
  <c r="W82" i="1" s="1"/>
  <c r="CQ82" i="1"/>
  <c r="CU82" i="1"/>
  <c r="T82" i="1" s="1"/>
  <c r="FR82" i="1"/>
  <c r="GL82" i="1"/>
  <c r="GO82" i="1"/>
  <c r="GP82" i="1"/>
  <c r="GV82" i="1"/>
  <c r="GX82" i="1" s="1"/>
  <c r="AC83" i="1"/>
  <c r="AD83" i="1"/>
  <c r="AB83" i="1" s="1"/>
  <c r="G272" i="6" s="1"/>
  <c r="AE83" i="1"/>
  <c r="CS83" i="1"/>
  <c r="AF83" i="1"/>
  <c r="AG83" i="1"/>
  <c r="AH83" i="1"/>
  <c r="CV83" i="1"/>
  <c r="AI83" i="1"/>
  <c r="CW83" i="1" s="1"/>
  <c r="AJ83" i="1"/>
  <c r="CQ83" i="1"/>
  <c r="CT83" i="1"/>
  <c r="CU83" i="1"/>
  <c r="CX83" i="1"/>
  <c r="FR83" i="1"/>
  <c r="GL83" i="1"/>
  <c r="GO83" i="1"/>
  <c r="GP83" i="1"/>
  <c r="GV83" i="1"/>
  <c r="C84" i="1"/>
  <c r="D84" i="1"/>
  <c r="AC84" i="1"/>
  <c r="CQ84" i="1" s="1"/>
  <c r="P84" i="1" s="1"/>
  <c r="AE84" i="1"/>
  <c r="AF84" i="1"/>
  <c r="CT84" i="1" s="1"/>
  <c r="S84" i="1" s="1"/>
  <c r="AG84" i="1"/>
  <c r="CU84" i="1" s="1"/>
  <c r="T84" i="1" s="1"/>
  <c r="AH84" i="1"/>
  <c r="CV84" i="1" s="1"/>
  <c r="U84" i="1" s="1"/>
  <c r="AI84" i="1"/>
  <c r="CW84" i="1" s="1"/>
  <c r="V84" i="1" s="1"/>
  <c r="AJ84" i="1"/>
  <c r="CX84" i="1"/>
  <c r="W84" i="1" s="1"/>
  <c r="FR84" i="1"/>
  <c r="GL84" i="1"/>
  <c r="GO84" i="1"/>
  <c r="GP84" i="1"/>
  <c r="GV84" i="1"/>
  <c r="GX84" i="1" s="1"/>
  <c r="C85" i="1"/>
  <c r="D85" i="1"/>
  <c r="AC85" i="1"/>
  <c r="H185" i="5" s="1"/>
  <c r="AE85" i="1"/>
  <c r="AD85" i="1"/>
  <c r="AF85" i="1"/>
  <c r="CT85" i="1" s="1"/>
  <c r="S85" i="1" s="1"/>
  <c r="AG85" i="1"/>
  <c r="CU85" i="1" s="1"/>
  <c r="AH85" i="1"/>
  <c r="AI85" i="1"/>
  <c r="CW85" i="1" s="1"/>
  <c r="V85" i="1" s="1"/>
  <c r="Z274" i="6" s="1"/>
  <c r="AJ85" i="1"/>
  <c r="CX85" i="1" s="1"/>
  <c r="W85" i="1" s="1"/>
  <c r="CR85" i="1"/>
  <c r="Q85" i="1" s="1"/>
  <c r="W274" i="6" s="1"/>
  <c r="CS85" i="1"/>
  <c r="R85" i="1"/>
  <c r="CV85" i="1"/>
  <c r="U85" i="1"/>
  <c r="FR85" i="1"/>
  <c r="GL85" i="1"/>
  <c r="GO85" i="1"/>
  <c r="GP85" i="1"/>
  <c r="GV85" i="1"/>
  <c r="GX85" i="1" s="1"/>
  <c r="I86" i="1"/>
  <c r="T86" i="1"/>
  <c r="AC86" i="1"/>
  <c r="CQ86" i="1" s="1"/>
  <c r="P86" i="1" s="1"/>
  <c r="AE86" i="1"/>
  <c r="AD86" i="1" s="1"/>
  <c r="AF86" i="1"/>
  <c r="CT86" i="1"/>
  <c r="AG86" i="1"/>
  <c r="AH86" i="1"/>
  <c r="AI86" i="1"/>
  <c r="CW86" i="1"/>
  <c r="AJ86" i="1"/>
  <c r="CX86" i="1" s="1"/>
  <c r="CU86" i="1"/>
  <c r="CV86" i="1"/>
  <c r="FR86" i="1"/>
  <c r="GL86" i="1"/>
  <c r="GO86" i="1"/>
  <c r="GP86" i="1"/>
  <c r="GV86" i="1"/>
  <c r="GX86" i="1"/>
  <c r="AC87" i="1"/>
  <c r="AE87" i="1"/>
  <c r="CS87" i="1" s="1"/>
  <c r="AF87" i="1"/>
  <c r="AG87" i="1"/>
  <c r="CU87" i="1" s="1"/>
  <c r="AH87" i="1"/>
  <c r="CV87" i="1" s="1"/>
  <c r="AI87" i="1"/>
  <c r="CW87" i="1" s="1"/>
  <c r="AJ87" i="1"/>
  <c r="CQ87" i="1"/>
  <c r="CT87" i="1"/>
  <c r="CX87" i="1"/>
  <c r="FR87" i="1"/>
  <c r="GL87" i="1"/>
  <c r="GO87" i="1"/>
  <c r="GP87" i="1"/>
  <c r="GV87" i="1"/>
  <c r="C88" i="1"/>
  <c r="D88" i="1"/>
  <c r="I88" i="1"/>
  <c r="AC88" i="1"/>
  <c r="CQ88" i="1" s="1"/>
  <c r="P88" i="1" s="1"/>
  <c r="AE88" i="1"/>
  <c r="AD88" i="1" s="1"/>
  <c r="CR88" i="1" s="1"/>
  <c r="Q88" i="1" s="1"/>
  <c r="AF88" i="1"/>
  <c r="CT88" i="1" s="1"/>
  <c r="S88" i="1" s="1"/>
  <c r="AG88" i="1"/>
  <c r="AH88" i="1"/>
  <c r="CV88" i="1"/>
  <c r="U88" i="1"/>
  <c r="AI88" i="1"/>
  <c r="AJ88" i="1"/>
  <c r="CX88" i="1"/>
  <c r="W88" i="1"/>
  <c r="CS88" i="1"/>
  <c r="R88" i="1" s="1"/>
  <c r="CU88" i="1"/>
  <c r="T88" i="1" s="1"/>
  <c r="CW88" i="1"/>
  <c r="V88" i="1"/>
  <c r="FR88" i="1"/>
  <c r="GL88" i="1"/>
  <c r="GO88" i="1"/>
  <c r="GP88" i="1"/>
  <c r="GV88" i="1"/>
  <c r="GX88" i="1" s="1"/>
  <c r="C89" i="1"/>
  <c r="D89" i="1"/>
  <c r="I89" i="1"/>
  <c r="AC89" i="1"/>
  <c r="H196" i="5" s="1"/>
  <c r="CQ89" i="1"/>
  <c r="P89" i="1" s="1"/>
  <c r="AE89" i="1"/>
  <c r="H195" i="5" s="1"/>
  <c r="R195" i="5" s="1"/>
  <c r="AD89" i="1"/>
  <c r="H194" i="5" s="1"/>
  <c r="AF89" i="1"/>
  <c r="AG89" i="1"/>
  <c r="CU89" i="1"/>
  <c r="T89" i="1"/>
  <c r="AH89" i="1"/>
  <c r="CV89" i="1" s="1"/>
  <c r="U89" i="1" s="1"/>
  <c r="AI89" i="1"/>
  <c r="CW89" i="1"/>
  <c r="V89" i="1"/>
  <c r="Z292" i="6" s="1"/>
  <c r="AJ89" i="1"/>
  <c r="CS89" i="1"/>
  <c r="R89" i="1"/>
  <c r="GK89" i="1"/>
  <c r="CT89" i="1"/>
  <c r="S89" i="1" s="1"/>
  <c r="CX89" i="1"/>
  <c r="W89" i="1" s="1"/>
  <c r="FR89" i="1"/>
  <c r="GL89" i="1"/>
  <c r="GO89" i="1"/>
  <c r="GP89" i="1"/>
  <c r="GV89" i="1"/>
  <c r="GX89" i="1"/>
  <c r="I90" i="1"/>
  <c r="GX90" i="1" s="1"/>
  <c r="P90" i="1"/>
  <c r="AC90" i="1"/>
  <c r="AD90" i="1"/>
  <c r="AE90" i="1"/>
  <c r="AF90" i="1"/>
  <c r="CT90" i="1"/>
  <c r="S90" i="1"/>
  <c r="AG90" i="1"/>
  <c r="AH90" i="1"/>
  <c r="CV90" i="1" s="1"/>
  <c r="U90" i="1" s="1"/>
  <c r="AI90" i="1"/>
  <c r="CW90" i="1" s="1"/>
  <c r="V90" i="1" s="1"/>
  <c r="AJ90" i="1"/>
  <c r="CX90" i="1" s="1"/>
  <c r="W90" i="1" s="1"/>
  <c r="CQ90" i="1"/>
  <c r="CR90" i="1"/>
  <c r="Q90" i="1" s="1"/>
  <c r="CS90" i="1"/>
  <c r="R90" i="1" s="1"/>
  <c r="GK90" i="1" s="1"/>
  <c r="CU90" i="1"/>
  <c r="T90" i="1"/>
  <c r="FR90" i="1"/>
  <c r="GL90" i="1"/>
  <c r="GO90" i="1"/>
  <c r="GP90" i="1"/>
  <c r="GV90" i="1"/>
  <c r="AC91" i="1"/>
  <c r="CQ91" i="1"/>
  <c r="AE91" i="1"/>
  <c r="AF91" i="1"/>
  <c r="AG91" i="1"/>
  <c r="CU91" i="1" s="1"/>
  <c r="AH91" i="1"/>
  <c r="CV91" i="1" s="1"/>
  <c r="AI91" i="1"/>
  <c r="CW91" i="1"/>
  <c r="AJ91" i="1"/>
  <c r="CT91" i="1"/>
  <c r="CX91" i="1"/>
  <c r="FR91" i="1"/>
  <c r="GL91" i="1"/>
  <c r="GO91" i="1"/>
  <c r="GP91" i="1"/>
  <c r="GV91" i="1"/>
  <c r="C92" i="1"/>
  <c r="D92" i="1"/>
  <c r="I92" i="1"/>
  <c r="GX92" i="1" s="1"/>
  <c r="T92" i="1"/>
  <c r="AC92" i="1"/>
  <c r="AE92" i="1"/>
  <c r="AD92" i="1"/>
  <c r="AF92" i="1"/>
  <c r="CT92" i="1" s="1"/>
  <c r="AG92" i="1"/>
  <c r="AH92" i="1"/>
  <c r="AI92" i="1"/>
  <c r="CW92" i="1" s="1"/>
  <c r="V92" i="1" s="1"/>
  <c r="AJ92" i="1"/>
  <c r="CX92" i="1"/>
  <c r="CQ92" i="1"/>
  <c r="P92" i="1" s="1"/>
  <c r="CU92" i="1"/>
  <c r="CV92" i="1"/>
  <c r="FR92" i="1"/>
  <c r="GL92" i="1"/>
  <c r="GO92" i="1"/>
  <c r="GP92" i="1"/>
  <c r="GV92" i="1"/>
  <c r="C93" i="1"/>
  <c r="D93" i="1"/>
  <c r="I93" i="1"/>
  <c r="AC93" i="1"/>
  <c r="H207" i="5" s="1"/>
  <c r="CQ93" i="1"/>
  <c r="AE93" i="1"/>
  <c r="H206" i="5" s="1"/>
  <c r="R206" i="5" s="1"/>
  <c r="AF93" i="1"/>
  <c r="CT93" i="1"/>
  <c r="S93" i="1"/>
  <c r="AG93" i="1"/>
  <c r="CU93" i="1"/>
  <c r="AH93" i="1"/>
  <c r="CV93" i="1" s="1"/>
  <c r="U93" i="1" s="1"/>
  <c r="AI93" i="1"/>
  <c r="CW93" i="1" s="1"/>
  <c r="V93" i="1" s="1"/>
  <c r="Z310" i="6" s="1"/>
  <c r="AJ93" i="1"/>
  <c r="CX93" i="1"/>
  <c r="W93" i="1"/>
  <c r="FR93" i="1"/>
  <c r="GL93" i="1"/>
  <c r="GO93" i="1"/>
  <c r="GP93" i="1"/>
  <c r="GV93" i="1"/>
  <c r="GX93" i="1"/>
  <c r="C94" i="1"/>
  <c r="D94" i="1"/>
  <c r="I94" i="1"/>
  <c r="AC94" i="1"/>
  <c r="CQ94" i="1"/>
  <c r="P94" i="1" s="1"/>
  <c r="AE94" i="1"/>
  <c r="CS94" i="1" s="1"/>
  <c r="R94" i="1" s="1"/>
  <c r="GK94" i="1" s="1"/>
  <c r="AF94" i="1"/>
  <c r="AG94" i="1"/>
  <c r="AH94" i="1"/>
  <c r="CV94" i="1"/>
  <c r="AI94" i="1"/>
  <c r="AJ94" i="1"/>
  <c r="CT94" i="1"/>
  <c r="S94" i="1" s="1"/>
  <c r="CU94" i="1"/>
  <c r="T94" i="1"/>
  <c r="CW94" i="1"/>
  <c r="CX94" i="1"/>
  <c r="W94" i="1"/>
  <c r="FR94" i="1"/>
  <c r="GL94" i="1"/>
  <c r="GO94" i="1"/>
  <c r="GP94" i="1"/>
  <c r="GV94" i="1"/>
  <c r="C95" i="1"/>
  <c r="D95" i="1"/>
  <c r="I95" i="1"/>
  <c r="I97" i="1" s="1"/>
  <c r="S95" i="1"/>
  <c r="AC95" i="1"/>
  <c r="CQ95" i="1"/>
  <c r="P95" i="1"/>
  <c r="AE95" i="1"/>
  <c r="AF95" i="1"/>
  <c r="AG95" i="1"/>
  <c r="CU95" i="1" s="1"/>
  <c r="T95" i="1" s="1"/>
  <c r="AH95" i="1"/>
  <c r="AI95" i="1"/>
  <c r="CW95" i="1" s="1"/>
  <c r="V95" i="1" s="1"/>
  <c r="Z321" i="6" s="1"/>
  <c r="AJ95" i="1"/>
  <c r="CX95" i="1" s="1"/>
  <c r="W95" i="1" s="1"/>
  <c r="CT95" i="1"/>
  <c r="CV95" i="1"/>
  <c r="U95" i="1" s="1"/>
  <c r="FR95" i="1"/>
  <c r="GL95" i="1"/>
  <c r="GO95" i="1"/>
  <c r="GP95" i="1"/>
  <c r="GV95" i="1"/>
  <c r="GX95" i="1"/>
  <c r="I96" i="1"/>
  <c r="AC96" i="1"/>
  <c r="AE96" i="1"/>
  <c r="CS96" i="1" s="1"/>
  <c r="R96" i="1" s="1"/>
  <c r="GK96" i="1" s="1"/>
  <c r="AF96" i="1"/>
  <c r="AG96" i="1"/>
  <c r="CU96" i="1"/>
  <c r="T96" i="1"/>
  <c r="AH96" i="1"/>
  <c r="CV96" i="1" s="1"/>
  <c r="AI96" i="1"/>
  <c r="CW96" i="1" s="1"/>
  <c r="V96" i="1" s="1"/>
  <c r="AJ96" i="1"/>
  <c r="CX96" i="1" s="1"/>
  <c r="W96" i="1" s="1"/>
  <c r="CT96" i="1"/>
  <c r="S96" i="1" s="1"/>
  <c r="FR96" i="1"/>
  <c r="GL96" i="1"/>
  <c r="GO96" i="1"/>
  <c r="GP96" i="1"/>
  <c r="GV96" i="1"/>
  <c r="GX96" i="1" s="1"/>
  <c r="AC97" i="1"/>
  <c r="AE97" i="1"/>
  <c r="AD97" i="1" s="1"/>
  <c r="CR97" i="1" s="1"/>
  <c r="Q97" i="1" s="1"/>
  <c r="W337" i="6" s="1"/>
  <c r="AF97" i="1"/>
  <c r="CT97" i="1"/>
  <c r="S97" i="1" s="1"/>
  <c r="AG97" i="1"/>
  <c r="CU97" i="1"/>
  <c r="AH97" i="1"/>
  <c r="AI97" i="1"/>
  <c r="AJ97" i="1"/>
  <c r="CX97" i="1"/>
  <c r="CS97" i="1"/>
  <c r="CV97" i="1"/>
  <c r="U97" i="1" s="1"/>
  <c r="Y337" i="6" s="1"/>
  <c r="CW97" i="1"/>
  <c r="FR97" i="1"/>
  <c r="GL97" i="1"/>
  <c r="GO97" i="1"/>
  <c r="GP97" i="1"/>
  <c r="GV97" i="1"/>
  <c r="GX97" i="1" s="1"/>
  <c r="I98" i="1"/>
  <c r="T98" i="1"/>
  <c r="AC98" i="1"/>
  <c r="AE98" i="1"/>
  <c r="AD98" i="1" s="1"/>
  <c r="AF98" i="1"/>
  <c r="CT98" i="1"/>
  <c r="AG98" i="1"/>
  <c r="AH98" i="1"/>
  <c r="AI98" i="1"/>
  <c r="CW98" i="1"/>
  <c r="V98" i="1" s="1"/>
  <c r="AJ98" i="1"/>
  <c r="CX98" i="1"/>
  <c r="CQ98" i="1"/>
  <c r="P98" i="1" s="1"/>
  <c r="CU98" i="1"/>
  <c r="CV98" i="1"/>
  <c r="FR98" i="1"/>
  <c r="GL98" i="1"/>
  <c r="GO98" i="1"/>
  <c r="GP98" i="1"/>
  <c r="GV98" i="1"/>
  <c r="GX98" i="1" s="1"/>
  <c r="AC99" i="1"/>
  <c r="AE99" i="1"/>
  <c r="AF99" i="1"/>
  <c r="CT99" i="1" s="1"/>
  <c r="AG99" i="1"/>
  <c r="CU99" i="1" s="1"/>
  <c r="AH99" i="1"/>
  <c r="AI99" i="1"/>
  <c r="CW99" i="1"/>
  <c r="AJ99" i="1"/>
  <c r="CX99" i="1" s="1"/>
  <c r="CV99" i="1"/>
  <c r="FR99" i="1"/>
  <c r="GL99" i="1"/>
  <c r="GO99" i="1"/>
  <c r="GP99" i="1"/>
  <c r="GV99" i="1"/>
  <c r="C100" i="1"/>
  <c r="D100" i="1"/>
  <c r="W100" i="1"/>
  <c r="AC100" i="1"/>
  <c r="CQ100" i="1" s="1"/>
  <c r="P100" i="1" s="1"/>
  <c r="AE100" i="1"/>
  <c r="CS100" i="1" s="1"/>
  <c r="R100" i="1" s="1"/>
  <c r="GK100" i="1" s="1"/>
  <c r="AF100" i="1"/>
  <c r="AG100" i="1"/>
  <c r="CU100" i="1"/>
  <c r="T100" i="1" s="1"/>
  <c r="AH100" i="1"/>
  <c r="AI100" i="1"/>
  <c r="CW100" i="1"/>
  <c r="V100" i="1" s="1"/>
  <c r="AJ100" i="1"/>
  <c r="CT100" i="1"/>
  <c r="S100" i="1"/>
  <c r="CV100" i="1"/>
  <c r="U100" i="1" s="1"/>
  <c r="CX100" i="1"/>
  <c r="FR100" i="1"/>
  <c r="GL100" i="1"/>
  <c r="BZ113" i="1" s="1"/>
  <c r="GO100" i="1"/>
  <c r="GP100" i="1"/>
  <c r="GV100" i="1"/>
  <c r="GX100" i="1"/>
  <c r="C101" i="1"/>
  <c r="D101" i="1"/>
  <c r="AC101" i="1"/>
  <c r="H228" i="5" s="1"/>
  <c r="AE101" i="1"/>
  <c r="H227" i="5" s="1"/>
  <c r="R227" i="5" s="1"/>
  <c r="AF101" i="1"/>
  <c r="AG101" i="1"/>
  <c r="CU101" i="1" s="1"/>
  <c r="T101" i="1" s="1"/>
  <c r="AH101" i="1"/>
  <c r="CV101" i="1" s="1"/>
  <c r="U101" i="1" s="1"/>
  <c r="AI101" i="1"/>
  <c r="CW101" i="1" s="1"/>
  <c r="V101" i="1" s="1"/>
  <c r="Z341" i="6" s="1"/>
  <c r="AJ101" i="1"/>
  <c r="CX101" i="1" s="1"/>
  <c r="W101" i="1" s="1"/>
  <c r="CT101" i="1"/>
  <c r="S101" i="1" s="1"/>
  <c r="FR101" i="1"/>
  <c r="GL101" i="1"/>
  <c r="GO101" i="1"/>
  <c r="GP101" i="1"/>
  <c r="GV101" i="1"/>
  <c r="GX101" i="1" s="1"/>
  <c r="I102" i="1"/>
  <c r="AC102" i="1"/>
  <c r="AE102" i="1"/>
  <c r="AD102" i="1" s="1"/>
  <c r="CR102" i="1" s="1"/>
  <c r="AF102" i="1"/>
  <c r="CT102" i="1" s="1"/>
  <c r="AG102" i="1"/>
  <c r="AH102" i="1"/>
  <c r="CV102" i="1"/>
  <c r="AI102" i="1"/>
  <c r="CW102" i="1" s="1"/>
  <c r="AJ102" i="1"/>
  <c r="CU102" i="1"/>
  <c r="T102" i="1" s="1"/>
  <c r="CX102" i="1"/>
  <c r="FR102" i="1"/>
  <c r="GL102" i="1"/>
  <c r="GO102" i="1"/>
  <c r="GP102" i="1"/>
  <c r="GV102" i="1"/>
  <c r="GX102" i="1" s="1"/>
  <c r="I103" i="1"/>
  <c r="AC103" i="1"/>
  <c r="AE103" i="1"/>
  <c r="CS103" i="1" s="1"/>
  <c r="AD103" i="1"/>
  <c r="AF103" i="1"/>
  <c r="AG103" i="1"/>
  <c r="CU103" i="1"/>
  <c r="AH103" i="1"/>
  <c r="CV103" i="1" s="1"/>
  <c r="AI103" i="1"/>
  <c r="AJ103" i="1"/>
  <c r="CX103" i="1"/>
  <c r="CR103" i="1"/>
  <c r="Q103" i="1" s="1"/>
  <c r="W356" i="6" s="1"/>
  <c r="CT103" i="1"/>
  <c r="S103" i="1"/>
  <c r="V356" i="6" s="1"/>
  <c r="CW103" i="1"/>
  <c r="V103" i="1"/>
  <c r="Z356" i="6" s="1"/>
  <c r="FR103" i="1"/>
  <c r="FQ113" i="1" s="1"/>
  <c r="EH113" i="1" s="1"/>
  <c r="GL103" i="1"/>
  <c r="GO103" i="1"/>
  <c r="GP103" i="1"/>
  <c r="GV103" i="1"/>
  <c r="GX103" i="1" s="1"/>
  <c r="C104" i="1"/>
  <c r="D104" i="1"/>
  <c r="AC104" i="1"/>
  <c r="CQ104" i="1" s="1"/>
  <c r="P104" i="1" s="1"/>
  <c r="AE104" i="1"/>
  <c r="AD104" i="1" s="1"/>
  <c r="CR104" i="1" s="1"/>
  <c r="Q104" i="1" s="1"/>
  <c r="CS104" i="1"/>
  <c r="R104" i="1" s="1"/>
  <c r="AF104" i="1"/>
  <c r="AG104" i="1"/>
  <c r="AH104" i="1"/>
  <c r="CV104" i="1" s="1"/>
  <c r="U104" i="1" s="1"/>
  <c r="AI104" i="1"/>
  <c r="CW104" i="1"/>
  <c r="V104" i="1"/>
  <c r="AJ104" i="1"/>
  <c r="CX104" i="1" s="1"/>
  <c r="W104" i="1" s="1"/>
  <c r="CT104" i="1"/>
  <c r="S104" i="1"/>
  <c r="CU104" i="1"/>
  <c r="T104" i="1" s="1"/>
  <c r="FR104" i="1"/>
  <c r="GL104" i="1"/>
  <c r="GO104" i="1"/>
  <c r="GP104" i="1"/>
  <c r="GV104" i="1"/>
  <c r="GX104" i="1"/>
  <c r="C105" i="1"/>
  <c r="D105" i="1"/>
  <c r="AC105" i="1"/>
  <c r="H238" i="5" s="1"/>
  <c r="AE105" i="1"/>
  <c r="H237" i="5" s="1"/>
  <c r="R237" i="5" s="1"/>
  <c r="AD105" i="1"/>
  <c r="H236" i="5" s="1"/>
  <c r="AF105" i="1"/>
  <c r="CT105" i="1" s="1"/>
  <c r="S105" i="1" s="1"/>
  <c r="AG105" i="1"/>
  <c r="CU105" i="1"/>
  <c r="T105" i="1" s="1"/>
  <c r="AH105" i="1"/>
  <c r="AI105" i="1"/>
  <c r="AJ105" i="1"/>
  <c r="CX105" i="1" s="1"/>
  <c r="W105" i="1" s="1"/>
  <c r="CR105" i="1"/>
  <c r="Q105" i="1" s="1"/>
  <c r="CS105" i="1"/>
  <c r="R105" i="1" s="1"/>
  <c r="CV105" i="1"/>
  <c r="U105" i="1"/>
  <c r="CW105" i="1"/>
  <c r="V105" i="1" s="1"/>
  <c r="Z358" i="6" s="1"/>
  <c r="FR105" i="1"/>
  <c r="GL105" i="1"/>
  <c r="GO105" i="1"/>
  <c r="FU113" i="1" s="1"/>
  <c r="FU26" i="1" s="1"/>
  <c r="GP105" i="1"/>
  <c r="GV105" i="1"/>
  <c r="GX105" i="1"/>
  <c r="I106" i="1"/>
  <c r="U106" i="1" s="1"/>
  <c r="R106" i="1"/>
  <c r="GK106" i="1" s="1"/>
  <c r="AC106" i="1"/>
  <c r="AD106" i="1"/>
  <c r="CR106" i="1"/>
  <c r="Q106" i="1" s="1"/>
  <c r="AE106" i="1"/>
  <c r="AF106" i="1"/>
  <c r="CT106" i="1"/>
  <c r="S106" i="1" s="1"/>
  <c r="CZ106" i="1" s="1"/>
  <c r="Y106" i="1" s="1"/>
  <c r="AG106" i="1"/>
  <c r="CU106" i="1" s="1"/>
  <c r="T106" i="1" s="1"/>
  <c r="AH106" i="1"/>
  <c r="CV106" i="1"/>
  <c r="AI106" i="1"/>
  <c r="AJ106" i="1"/>
  <c r="CX106" i="1"/>
  <c r="CQ106" i="1"/>
  <c r="P106" i="1" s="1"/>
  <c r="CS106" i="1"/>
  <c r="CW106" i="1"/>
  <c r="V106" i="1" s="1"/>
  <c r="FR106" i="1"/>
  <c r="GL106" i="1"/>
  <c r="GO106" i="1"/>
  <c r="CC113" i="1" s="1"/>
  <c r="CC26" i="1" s="1"/>
  <c r="GP106" i="1"/>
  <c r="GV106" i="1"/>
  <c r="I107" i="1"/>
  <c r="AC107" i="1"/>
  <c r="AE107" i="1"/>
  <c r="AF107" i="1"/>
  <c r="AG107" i="1"/>
  <c r="CU107" i="1"/>
  <c r="T107" i="1"/>
  <c r="AH107" i="1"/>
  <c r="AI107" i="1"/>
  <c r="CW107" i="1"/>
  <c r="V107" i="1"/>
  <c r="Z373" i="6" s="1"/>
  <c r="AJ107" i="1"/>
  <c r="CT107" i="1"/>
  <c r="S107" i="1" s="1"/>
  <c r="V373" i="6" s="1"/>
  <c r="CV107" i="1"/>
  <c r="U107" i="1"/>
  <c r="Y373" i="6" s="1"/>
  <c r="CX107" i="1"/>
  <c r="W107" i="1" s="1"/>
  <c r="FR107" i="1"/>
  <c r="GL107" i="1"/>
  <c r="GO107" i="1"/>
  <c r="GP107" i="1"/>
  <c r="GV107" i="1"/>
  <c r="I108" i="1"/>
  <c r="AC108" i="1"/>
  <c r="CQ108" i="1" s="1"/>
  <c r="P108" i="1" s="1"/>
  <c r="AD108" i="1"/>
  <c r="CR108" i="1" s="1"/>
  <c r="Q108" i="1" s="1"/>
  <c r="AE108" i="1"/>
  <c r="AF108" i="1"/>
  <c r="CT108" i="1" s="1"/>
  <c r="AG108" i="1"/>
  <c r="AH108" i="1"/>
  <c r="CV108" i="1"/>
  <c r="U108" i="1" s="1"/>
  <c r="AI108" i="1"/>
  <c r="AJ108" i="1"/>
  <c r="CX108" i="1"/>
  <c r="CS108" i="1"/>
  <c r="R108" i="1"/>
  <c r="GK108" i="1" s="1"/>
  <c r="CU108" i="1"/>
  <c r="CW108" i="1"/>
  <c r="V108" i="1" s="1"/>
  <c r="FR108" i="1"/>
  <c r="GL108" i="1"/>
  <c r="GO108" i="1"/>
  <c r="GP108" i="1"/>
  <c r="GV108" i="1"/>
  <c r="GX108" i="1" s="1"/>
  <c r="I109" i="1"/>
  <c r="W109" i="1"/>
  <c r="AC109" i="1"/>
  <c r="AE109" i="1"/>
  <c r="AF109" i="1"/>
  <c r="AG109" i="1"/>
  <c r="CU109" i="1"/>
  <c r="T109" i="1" s="1"/>
  <c r="AH109" i="1"/>
  <c r="AI109" i="1"/>
  <c r="CW109" i="1"/>
  <c r="V109" i="1" s="1"/>
  <c r="Z375" i="6" s="1"/>
  <c r="AJ109" i="1"/>
  <c r="CT109" i="1"/>
  <c r="S109" i="1" s="1"/>
  <c r="V375" i="6" s="1"/>
  <c r="CV109" i="1"/>
  <c r="U109" i="1" s="1"/>
  <c r="Y375" i="6" s="1"/>
  <c r="CX109" i="1"/>
  <c r="FR109" i="1"/>
  <c r="GL109" i="1"/>
  <c r="GO109" i="1"/>
  <c r="GP109" i="1"/>
  <c r="GV109" i="1"/>
  <c r="GX109" i="1"/>
  <c r="I110" i="1"/>
  <c r="AC110" i="1"/>
  <c r="CQ110" i="1" s="1"/>
  <c r="P110" i="1" s="1"/>
  <c r="CP110" i="1" s="1"/>
  <c r="O110" i="1" s="1"/>
  <c r="AD110" i="1"/>
  <c r="CR110" i="1" s="1"/>
  <c r="Q110" i="1" s="1"/>
  <c r="AE110" i="1"/>
  <c r="CS110" i="1" s="1"/>
  <c r="R110" i="1" s="1"/>
  <c r="GK110" i="1" s="1"/>
  <c r="AF110" i="1"/>
  <c r="CT110" i="1" s="1"/>
  <c r="S110" i="1" s="1"/>
  <c r="CZ110" i="1" s="1"/>
  <c r="Y110" i="1" s="1"/>
  <c r="AG110" i="1"/>
  <c r="AH110" i="1"/>
  <c r="CV110" i="1"/>
  <c r="U110" i="1"/>
  <c r="AI110" i="1"/>
  <c r="AJ110" i="1"/>
  <c r="CX110" i="1"/>
  <c r="W110" i="1"/>
  <c r="CU110" i="1"/>
  <c r="T110" i="1"/>
  <c r="CW110" i="1"/>
  <c r="V110" i="1"/>
  <c r="FR110" i="1"/>
  <c r="GL110" i="1"/>
  <c r="GO110" i="1"/>
  <c r="GP110" i="1"/>
  <c r="GV110" i="1"/>
  <c r="GX110" i="1"/>
  <c r="I111" i="1"/>
  <c r="AC111" i="1"/>
  <c r="CQ111" i="1"/>
  <c r="P111" i="1"/>
  <c r="U377" i="6" s="1"/>
  <c r="AE111" i="1"/>
  <c r="AD111" i="1"/>
  <c r="AF111" i="1"/>
  <c r="AG111" i="1"/>
  <c r="CU111" i="1" s="1"/>
  <c r="T111" i="1" s="1"/>
  <c r="AH111" i="1"/>
  <c r="CV111" i="1" s="1"/>
  <c r="U111" i="1" s="1"/>
  <c r="Y377" i="6" s="1"/>
  <c r="AI111" i="1"/>
  <c r="AJ111" i="1"/>
  <c r="CX111" i="1"/>
  <c r="W111" i="1"/>
  <c r="CR111" i="1"/>
  <c r="Q111" i="1" s="1"/>
  <c r="CS111" i="1"/>
  <c r="R111" i="1"/>
  <c r="X377" i="6" s="1"/>
  <c r="CT111" i="1"/>
  <c r="S111" i="1" s="1"/>
  <c r="CW111" i="1"/>
  <c r="V111" i="1" s="1"/>
  <c r="Z377" i="6" s="1"/>
  <c r="FR111" i="1"/>
  <c r="GK111" i="1"/>
  <c r="GL111" i="1"/>
  <c r="GO111" i="1"/>
  <c r="GP111" i="1"/>
  <c r="GV111" i="1"/>
  <c r="GX111" i="1"/>
  <c r="B113" i="1"/>
  <c r="B26" i="1"/>
  <c r="C113" i="1"/>
  <c r="C26" i="1"/>
  <c r="D113" i="1"/>
  <c r="D26" i="1"/>
  <c r="F113" i="1"/>
  <c r="F26" i="1"/>
  <c r="G113" i="1"/>
  <c r="G26" i="1" s="1"/>
  <c r="BX113" i="1"/>
  <c r="BX26" i="1"/>
  <c r="CD113" i="1"/>
  <c r="CK113" i="1"/>
  <c r="CK26" i="1" s="1"/>
  <c r="CL113" i="1"/>
  <c r="FP113" i="1"/>
  <c r="EG113" i="1" s="1"/>
  <c r="FR113" i="1"/>
  <c r="FV113" i="1"/>
  <c r="GC113" i="1"/>
  <c r="GC26" i="1" s="1"/>
  <c r="GD113" i="1"/>
  <c r="D145" i="1"/>
  <c r="E147" i="1"/>
  <c r="Z147" i="1"/>
  <c r="AA147" i="1"/>
  <c r="AM147" i="1"/>
  <c r="AN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R147" i="1"/>
  <c r="DS147" i="1"/>
  <c r="EE147" i="1"/>
  <c r="EF147" i="1"/>
  <c r="EV147" i="1"/>
  <c r="EW147" i="1"/>
  <c r="EX147" i="1"/>
  <c r="EY147" i="1"/>
  <c r="EZ147" i="1"/>
  <c r="FA147" i="1"/>
  <c r="FB147" i="1"/>
  <c r="FC147" i="1"/>
  <c r="FD147" i="1"/>
  <c r="FE147" i="1"/>
  <c r="FF147" i="1"/>
  <c r="FG147" i="1"/>
  <c r="FH147" i="1"/>
  <c r="FI147" i="1"/>
  <c r="FJ147" i="1"/>
  <c r="FK147" i="1"/>
  <c r="FL147" i="1"/>
  <c r="FM147" i="1"/>
  <c r="FN147" i="1"/>
  <c r="FO147" i="1"/>
  <c r="GE147" i="1"/>
  <c r="GF147" i="1"/>
  <c r="GG147" i="1"/>
  <c r="GH147" i="1"/>
  <c r="GI147" i="1"/>
  <c r="GJ147" i="1"/>
  <c r="GK147" i="1"/>
  <c r="GL147" i="1"/>
  <c r="GM147" i="1"/>
  <c r="GN147" i="1"/>
  <c r="GO147" i="1"/>
  <c r="GP147" i="1"/>
  <c r="GQ147" i="1"/>
  <c r="GR147" i="1"/>
  <c r="GS147" i="1"/>
  <c r="GT147" i="1"/>
  <c r="GU147" i="1"/>
  <c r="GV147" i="1"/>
  <c r="GW147" i="1"/>
  <c r="GX147" i="1"/>
  <c r="C149" i="1"/>
  <c r="D149" i="1"/>
  <c r="I149" i="1"/>
  <c r="AC149" i="1"/>
  <c r="AE149" i="1"/>
  <c r="CS149" i="1" s="1"/>
  <c r="R149" i="1" s="1"/>
  <c r="AF149" i="1"/>
  <c r="CT149" i="1"/>
  <c r="S149" i="1"/>
  <c r="AG149" i="1"/>
  <c r="AH149" i="1"/>
  <c r="CV149" i="1"/>
  <c r="U149" i="1" s="1"/>
  <c r="AI149" i="1"/>
  <c r="AJ149" i="1"/>
  <c r="CX149" i="1"/>
  <c r="W149" i="1" s="1"/>
  <c r="CQ149" i="1"/>
  <c r="P149" i="1" s="1"/>
  <c r="CU149" i="1"/>
  <c r="T149" i="1"/>
  <c r="CW149" i="1"/>
  <c r="V149" i="1" s="1"/>
  <c r="FR149" i="1"/>
  <c r="GL149" i="1"/>
  <c r="GO149" i="1"/>
  <c r="GP149" i="1"/>
  <c r="GV149" i="1"/>
  <c r="GX149" i="1"/>
  <c r="C150" i="1"/>
  <c r="D150" i="1"/>
  <c r="I150" i="1"/>
  <c r="AC150" i="1"/>
  <c r="H255" i="5" s="1"/>
  <c r="AE150" i="1"/>
  <c r="H254" i="5" s="1"/>
  <c r="R254" i="5" s="1"/>
  <c r="AD150" i="1"/>
  <c r="H253" i="5" s="1"/>
  <c r="AF150" i="1"/>
  <c r="AG150" i="1"/>
  <c r="CU150" i="1"/>
  <c r="T150" i="1"/>
  <c r="AH150" i="1"/>
  <c r="AI150" i="1"/>
  <c r="CW150" i="1"/>
  <c r="V150" i="1"/>
  <c r="Z388" i="6" s="1"/>
  <c r="AJ150" i="1"/>
  <c r="CT150" i="1"/>
  <c r="S150" i="1" s="1"/>
  <c r="CV150" i="1"/>
  <c r="U150" i="1"/>
  <c r="CX150" i="1"/>
  <c r="W150" i="1" s="1"/>
  <c r="FR150" i="1"/>
  <c r="GL150" i="1"/>
  <c r="GO150" i="1"/>
  <c r="GP150" i="1"/>
  <c r="GV150" i="1"/>
  <c r="GX150" i="1"/>
  <c r="C151" i="1"/>
  <c r="D151" i="1"/>
  <c r="I151" i="1"/>
  <c r="AC151" i="1"/>
  <c r="AE151" i="1"/>
  <c r="AD151" i="1" s="1"/>
  <c r="CR151" i="1" s="1"/>
  <c r="Q151" i="1" s="1"/>
  <c r="AF151" i="1"/>
  <c r="CT151" i="1"/>
  <c r="S151" i="1"/>
  <c r="AG151" i="1"/>
  <c r="CU151" i="1" s="1"/>
  <c r="T151" i="1" s="1"/>
  <c r="AH151" i="1"/>
  <c r="CV151" i="1"/>
  <c r="U151" i="1"/>
  <c r="AI151" i="1"/>
  <c r="AJ151" i="1"/>
  <c r="CX151" i="1"/>
  <c r="W151" i="1"/>
  <c r="CQ151" i="1"/>
  <c r="P151" i="1" s="1"/>
  <c r="CW151" i="1"/>
  <c r="V151" i="1" s="1"/>
  <c r="FR151" i="1"/>
  <c r="GL151" i="1"/>
  <c r="GO151" i="1"/>
  <c r="GP151" i="1"/>
  <c r="GV151" i="1"/>
  <c r="GX151" i="1"/>
  <c r="C152" i="1"/>
  <c r="D152" i="1"/>
  <c r="I152" i="1"/>
  <c r="GX152" i="1" s="1"/>
  <c r="AC152" i="1"/>
  <c r="AD152" i="1"/>
  <c r="H263" i="5" s="1"/>
  <c r="CR152" i="1"/>
  <c r="Q152" i="1" s="1"/>
  <c r="AE152" i="1"/>
  <c r="CS152" i="1"/>
  <c r="R152" i="1"/>
  <c r="GK152" i="1" s="1"/>
  <c r="AF152" i="1"/>
  <c r="AG152" i="1"/>
  <c r="AH152" i="1"/>
  <c r="CV152" i="1"/>
  <c r="U152" i="1" s="1"/>
  <c r="AI152" i="1"/>
  <c r="CW152" i="1"/>
  <c r="V152" i="1"/>
  <c r="Z397" i="6" s="1"/>
  <c r="AJ152" i="1"/>
  <c r="CQ152" i="1"/>
  <c r="P152" i="1"/>
  <c r="U397" i="6" s="1"/>
  <c r="CT152" i="1"/>
  <c r="S152" i="1" s="1"/>
  <c r="CU152" i="1"/>
  <c r="T152" i="1" s="1"/>
  <c r="CX152" i="1"/>
  <c r="W152" i="1" s="1"/>
  <c r="FR152" i="1"/>
  <c r="GL152" i="1"/>
  <c r="GO152" i="1"/>
  <c r="GP152" i="1"/>
  <c r="GV152" i="1"/>
  <c r="C153" i="1"/>
  <c r="D153" i="1"/>
  <c r="I153" i="1"/>
  <c r="AC153" i="1"/>
  <c r="AE153" i="1"/>
  <c r="CS153" i="1" s="1"/>
  <c r="R153" i="1" s="1"/>
  <c r="AF153" i="1"/>
  <c r="CT153" i="1"/>
  <c r="S153" i="1"/>
  <c r="AG153" i="1"/>
  <c r="AH153" i="1"/>
  <c r="CV153" i="1"/>
  <c r="U153" i="1"/>
  <c r="AI153" i="1"/>
  <c r="CW153" i="1" s="1"/>
  <c r="V153" i="1" s="1"/>
  <c r="AJ153" i="1"/>
  <c r="CX153" i="1"/>
  <c r="W153" i="1"/>
  <c r="CQ153" i="1"/>
  <c r="P153" i="1" s="1"/>
  <c r="CU153" i="1"/>
  <c r="T153" i="1" s="1"/>
  <c r="FR153" i="1"/>
  <c r="GL153" i="1"/>
  <c r="GO153" i="1"/>
  <c r="GP153" i="1"/>
  <c r="GV153" i="1"/>
  <c r="GX153" i="1"/>
  <c r="C154" i="1"/>
  <c r="D154" i="1"/>
  <c r="I154" i="1"/>
  <c r="AC154" i="1"/>
  <c r="CQ154" i="1" s="1"/>
  <c r="P154" i="1" s="1"/>
  <c r="AE154" i="1"/>
  <c r="H273" i="5" s="1"/>
  <c r="R273" i="5" s="1"/>
  <c r="AD154" i="1"/>
  <c r="H272" i="5" s="1"/>
  <c r="AF154" i="1"/>
  <c r="AG154" i="1"/>
  <c r="CU154" i="1"/>
  <c r="T154" i="1"/>
  <c r="AH154" i="1"/>
  <c r="AI154" i="1"/>
  <c r="CW154" i="1"/>
  <c r="V154" i="1"/>
  <c r="Z406" i="6" s="1"/>
  <c r="AJ154" i="1"/>
  <c r="CT154" i="1"/>
  <c r="S154" i="1" s="1"/>
  <c r="CV154" i="1"/>
  <c r="U154" i="1" s="1"/>
  <c r="DZ178" i="1" s="1"/>
  <c r="CX154" i="1"/>
  <c r="W154" i="1" s="1"/>
  <c r="FR154" i="1"/>
  <c r="GL154" i="1"/>
  <c r="GO154" i="1"/>
  <c r="GP154" i="1"/>
  <c r="GV154" i="1"/>
  <c r="GX154" i="1"/>
  <c r="C155" i="1"/>
  <c r="D155" i="1"/>
  <c r="I155" i="1"/>
  <c r="AC155" i="1"/>
  <c r="CQ155" i="1" s="1"/>
  <c r="P155" i="1" s="1"/>
  <c r="AE155" i="1"/>
  <c r="CS155" i="1" s="1"/>
  <c r="R155" i="1" s="1"/>
  <c r="GK155" i="1" s="1"/>
  <c r="AF155" i="1"/>
  <c r="AG155" i="1"/>
  <c r="AH155" i="1"/>
  <c r="CV155" i="1"/>
  <c r="U155" i="1" s="1"/>
  <c r="AI155" i="1"/>
  <c r="AJ155" i="1"/>
  <c r="CX155" i="1"/>
  <c r="W155" i="1" s="1"/>
  <c r="CT155" i="1"/>
  <c r="S155" i="1" s="1"/>
  <c r="CU155" i="1"/>
  <c r="T155" i="1" s="1"/>
  <c r="CW155" i="1"/>
  <c r="V155" i="1" s="1"/>
  <c r="FR155" i="1"/>
  <c r="GL155" i="1"/>
  <c r="GO155" i="1"/>
  <c r="GP155" i="1"/>
  <c r="GV155" i="1"/>
  <c r="GX155" i="1" s="1"/>
  <c r="C156" i="1"/>
  <c r="D156" i="1"/>
  <c r="I156" i="1"/>
  <c r="AC156" i="1"/>
  <c r="AE156" i="1"/>
  <c r="H282" i="5" s="1"/>
  <c r="R282" i="5" s="1"/>
  <c r="AF156" i="1"/>
  <c r="CT156" i="1" s="1"/>
  <c r="S156" i="1" s="1"/>
  <c r="AG156" i="1"/>
  <c r="CU156" i="1"/>
  <c r="T156" i="1"/>
  <c r="AH156" i="1"/>
  <c r="AI156" i="1"/>
  <c r="CW156" i="1"/>
  <c r="V156" i="1"/>
  <c r="Z415" i="6" s="1"/>
  <c r="AJ156" i="1"/>
  <c r="CV156" i="1"/>
  <c r="U156" i="1"/>
  <c r="CX156" i="1"/>
  <c r="W156" i="1" s="1"/>
  <c r="FR156" i="1"/>
  <c r="GL156" i="1"/>
  <c r="GO156" i="1"/>
  <c r="GP156" i="1"/>
  <c r="GV156" i="1"/>
  <c r="GX156" i="1"/>
  <c r="C157" i="1"/>
  <c r="D157" i="1"/>
  <c r="I157" i="1"/>
  <c r="GX157" i="1"/>
  <c r="AC157" i="1"/>
  <c r="AD157" i="1"/>
  <c r="AB157" i="1" s="1"/>
  <c r="AE157" i="1"/>
  <c r="AF157" i="1"/>
  <c r="AG157" i="1"/>
  <c r="AH157" i="1"/>
  <c r="CV157" i="1"/>
  <c r="U157" i="1"/>
  <c r="AI157" i="1"/>
  <c r="AJ157" i="1"/>
  <c r="CQ157" i="1"/>
  <c r="P157" i="1"/>
  <c r="CS157" i="1"/>
  <c r="R157" i="1" s="1"/>
  <c r="GK157" i="1" s="1"/>
  <c r="CT157" i="1"/>
  <c r="S157" i="1" s="1"/>
  <c r="CU157" i="1"/>
  <c r="T157" i="1" s="1"/>
  <c r="CW157" i="1"/>
  <c r="V157" i="1"/>
  <c r="CX157" i="1"/>
  <c r="W157" i="1" s="1"/>
  <c r="FR157" i="1"/>
  <c r="GL157" i="1"/>
  <c r="GO157" i="1"/>
  <c r="GP157" i="1"/>
  <c r="GV157" i="1"/>
  <c r="C158" i="1"/>
  <c r="D158" i="1"/>
  <c r="I158" i="1"/>
  <c r="AC158" i="1"/>
  <c r="H292" i="5" s="1"/>
  <c r="AD158" i="1"/>
  <c r="H290" i="5" s="1"/>
  <c r="AE158" i="1"/>
  <c r="H291" i="5" s="1"/>
  <c r="R291" i="5" s="1"/>
  <c r="CS158" i="1"/>
  <c r="R158" i="1" s="1"/>
  <c r="AF158" i="1"/>
  <c r="AG158" i="1"/>
  <c r="AH158" i="1"/>
  <c r="CV158" i="1" s="1"/>
  <c r="U158" i="1" s="1"/>
  <c r="AI158" i="1"/>
  <c r="CW158" i="1"/>
  <c r="V158" i="1"/>
  <c r="Z424" i="6" s="1"/>
  <c r="AJ158" i="1"/>
  <c r="CT158" i="1"/>
  <c r="S158" i="1" s="1"/>
  <c r="CU158" i="1"/>
  <c r="T158" i="1" s="1"/>
  <c r="CX158" i="1"/>
  <c r="W158" i="1" s="1"/>
  <c r="FR158" i="1"/>
  <c r="GL158" i="1"/>
  <c r="GO158" i="1"/>
  <c r="FU178" i="1" s="1"/>
  <c r="FU147" i="1" s="1"/>
  <c r="GP158" i="1"/>
  <c r="GV158" i="1"/>
  <c r="GX158" i="1"/>
  <c r="I159" i="1"/>
  <c r="AC159" i="1"/>
  <c r="CQ159" i="1"/>
  <c r="P159" i="1" s="1"/>
  <c r="AE159" i="1"/>
  <c r="AD159" i="1" s="1"/>
  <c r="CR159" i="1" s="1"/>
  <c r="Q159" i="1" s="1"/>
  <c r="AF159" i="1"/>
  <c r="AG159" i="1"/>
  <c r="AH159" i="1"/>
  <c r="CV159" i="1" s="1"/>
  <c r="AI159" i="1"/>
  <c r="AJ159" i="1"/>
  <c r="CX159" i="1"/>
  <c r="W159" i="1" s="1"/>
  <c r="CT159" i="1"/>
  <c r="S159" i="1" s="1"/>
  <c r="CU159" i="1"/>
  <c r="T159" i="1" s="1"/>
  <c r="CW159" i="1"/>
  <c r="V159" i="1" s="1"/>
  <c r="FR159" i="1"/>
  <c r="GL159" i="1"/>
  <c r="GO159" i="1"/>
  <c r="GP159" i="1"/>
  <c r="GV159" i="1"/>
  <c r="GX159" i="1" s="1"/>
  <c r="I160" i="1"/>
  <c r="S160" i="1" s="1"/>
  <c r="AC160" i="1"/>
  <c r="H296" i="5" s="1"/>
  <c r="W296" i="5" s="1"/>
  <c r="AE160" i="1"/>
  <c r="AD160" i="1"/>
  <c r="CR160" i="1"/>
  <c r="Q160" i="1" s="1"/>
  <c r="W440" i="6" s="1"/>
  <c r="AF160" i="1"/>
  <c r="AG160" i="1"/>
  <c r="CU160" i="1"/>
  <c r="AH160" i="1"/>
  <c r="AI160" i="1"/>
  <c r="CW160" i="1"/>
  <c r="V160" i="1"/>
  <c r="Z440" i="6" s="1"/>
  <c r="AJ160" i="1"/>
  <c r="CS160" i="1"/>
  <c r="R160" i="1"/>
  <c r="X440" i="6" s="1"/>
  <c r="GK160" i="1"/>
  <c r="CT160" i="1"/>
  <c r="CV160" i="1"/>
  <c r="U160" i="1"/>
  <c r="Y440" i="6" s="1"/>
  <c r="CX160" i="1"/>
  <c r="FR160" i="1"/>
  <c r="GL160" i="1"/>
  <c r="FR178" i="1" s="1"/>
  <c r="EI178" i="1" s="1"/>
  <c r="GO160" i="1"/>
  <c r="GP160" i="1"/>
  <c r="GV160" i="1"/>
  <c r="GX160" i="1"/>
  <c r="C161" i="1"/>
  <c r="D161" i="1"/>
  <c r="I161" i="1"/>
  <c r="T161" i="1" s="1"/>
  <c r="GX161" i="1"/>
  <c r="AC161" i="1"/>
  <c r="AD161" i="1"/>
  <c r="AB161" i="1" s="1"/>
  <c r="AE161" i="1"/>
  <c r="AF161" i="1"/>
  <c r="AG161" i="1"/>
  <c r="AH161" i="1"/>
  <c r="CV161" i="1"/>
  <c r="U161" i="1"/>
  <c r="AI161" i="1"/>
  <c r="AJ161" i="1"/>
  <c r="CQ161" i="1"/>
  <c r="P161" i="1"/>
  <c r="CS161" i="1"/>
  <c r="R161" i="1" s="1"/>
  <c r="GK161" i="1" s="1"/>
  <c r="CT161" i="1"/>
  <c r="S161" i="1" s="1"/>
  <c r="CU161" i="1"/>
  <c r="CW161" i="1"/>
  <c r="V161" i="1"/>
  <c r="CX161" i="1"/>
  <c r="W161" i="1" s="1"/>
  <c r="FR161" i="1"/>
  <c r="GL161" i="1"/>
  <c r="GO161" i="1"/>
  <c r="GP161" i="1"/>
  <c r="GV161" i="1"/>
  <c r="C162" i="1"/>
  <c r="D162" i="1"/>
  <c r="I162" i="1"/>
  <c r="AC162" i="1"/>
  <c r="H303" i="5" s="1"/>
  <c r="AD162" i="1"/>
  <c r="H301" i="5" s="1"/>
  <c r="AE162" i="1"/>
  <c r="H302" i="5" s="1"/>
  <c r="R302" i="5" s="1"/>
  <c r="CS162" i="1"/>
  <c r="R162" i="1" s="1"/>
  <c r="AF162" i="1"/>
  <c r="AG162" i="1"/>
  <c r="AH162" i="1"/>
  <c r="CV162" i="1" s="1"/>
  <c r="U162" i="1" s="1"/>
  <c r="AI162" i="1"/>
  <c r="CW162" i="1"/>
  <c r="V162" i="1"/>
  <c r="Z442" i="6" s="1"/>
  <c r="AJ162" i="1"/>
  <c r="CT162" i="1"/>
  <c r="S162" i="1" s="1"/>
  <c r="CU162" i="1"/>
  <c r="T162" i="1" s="1"/>
  <c r="CX162" i="1"/>
  <c r="W162" i="1" s="1"/>
  <c r="FR162" i="1"/>
  <c r="GL162" i="1"/>
  <c r="GO162" i="1"/>
  <c r="GP162" i="1"/>
  <c r="GV162" i="1"/>
  <c r="GX162" i="1"/>
  <c r="AC163" i="1"/>
  <c r="CQ163" i="1" s="1"/>
  <c r="AD163" i="1"/>
  <c r="CR163" i="1"/>
  <c r="AE163" i="1"/>
  <c r="CS163" i="1" s="1"/>
  <c r="AF163" i="1"/>
  <c r="AB163" i="1"/>
  <c r="AG163" i="1"/>
  <c r="AH163" i="1"/>
  <c r="CV163" i="1" s="1"/>
  <c r="AI163" i="1"/>
  <c r="CW163" i="1" s="1"/>
  <c r="AJ163" i="1"/>
  <c r="CX163" i="1" s="1"/>
  <c r="CT163" i="1"/>
  <c r="CU163" i="1"/>
  <c r="FR163" i="1"/>
  <c r="GL163" i="1"/>
  <c r="GO163" i="1"/>
  <c r="CC178" i="1" s="1"/>
  <c r="GP163" i="1"/>
  <c r="GV163" i="1"/>
  <c r="I164" i="1"/>
  <c r="AC164" i="1"/>
  <c r="H307" i="5" s="1"/>
  <c r="W307" i="5" s="1"/>
  <c r="AE164" i="1"/>
  <c r="AD164" i="1"/>
  <c r="CR164" i="1"/>
  <c r="Q164" i="1" s="1"/>
  <c r="W458" i="6" s="1"/>
  <c r="AF164" i="1"/>
  <c r="AG164" i="1"/>
  <c r="CU164" i="1"/>
  <c r="AH164" i="1"/>
  <c r="AI164" i="1"/>
  <c r="CW164" i="1"/>
  <c r="V164" i="1"/>
  <c r="Z458" i="6" s="1"/>
  <c r="AJ164" i="1"/>
  <c r="CS164" i="1"/>
  <c r="R164" i="1"/>
  <c r="X458" i="6" s="1"/>
  <c r="GK164" i="1"/>
  <c r="CT164" i="1"/>
  <c r="S164" i="1" s="1"/>
  <c r="CV164" i="1"/>
  <c r="U164" i="1"/>
  <c r="Y458" i="6" s="1"/>
  <c r="CX164" i="1"/>
  <c r="W164" i="1" s="1"/>
  <c r="FR164" i="1"/>
  <c r="GL164" i="1"/>
  <c r="GO164" i="1"/>
  <c r="GP164" i="1"/>
  <c r="GV164" i="1"/>
  <c r="GX164" i="1"/>
  <c r="C165" i="1"/>
  <c r="D165" i="1"/>
  <c r="I165" i="1"/>
  <c r="T165" i="1" s="1"/>
  <c r="GX165" i="1"/>
  <c r="AC165" i="1"/>
  <c r="AD165" i="1"/>
  <c r="AB165" i="1" s="1"/>
  <c r="AE165" i="1"/>
  <c r="AF165" i="1"/>
  <c r="AG165" i="1"/>
  <c r="AH165" i="1"/>
  <c r="CV165" i="1"/>
  <c r="U165" i="1"/>
  <c r="AI165" i="1"/>
  <c r="AJ165" i="1"/>
  <c r="CQ165" i="1"/>
  <c r="P165" i="1"/>
  <c r="CS165" i="1"/>
  <c r="R165" i="1" s="1"/>
  <c r="GK165" i="1" s="1"/>
  <c r="CT165" i="1"/>
  <c r="S165" i="1" s="1"/>
  <c r="CU165" i="1"/>
  <c r="CW165" i="1"/>
  <c r="V165" i="1"/>
  <c r="CX165" i="1"/>
  <c r="W165" i="1" s="1"/>
  <c r="FR165" i="1"/>
  <c r="GL165" i="1"/>
  <c r="GO165" i="1"/>
  <c r="GP165" i="1"/>
  <c r="GV165" i="1"/>
  <c r="C166" i="1"/>
  <c r="D166" i="1"/>
  <c r="I166" i="1"/>
  <c r="AC166" i="1"/>
  <c r="H314" i="5" s="1"/>
  <c r="AD166" i="1"/>
  <c r="H312" i="5" s="1"/>
  <c r="AE166" i="1"/>
  <c r="H313" i="5" s="1"/>
  <c r="R313" i="5" s="1"/>
  <c r="CS166" i="1"/>
  <c r="R166" i="1" s="1"/>
  <c r="AF166" i="1"/>
  <c r="AG166" i="1"/>
  <c r="AH166" i="1"/>
  <c r="CV166" i="1" s="1"/>
  <c r="U166" i="1" s="1"/>
  <c r="AI166" i="1"/>
  <c r="CW166" i="1"/>
  <c r="V166" i="1"/>
  <c r="Z460" i="6" s="1"/>
  <c r="AJ166" i="1"/>
  <c r="CT166" i="1"/>
  <c r="S166" i="1" s="1"/>
  <c r="CY166" i="1" s="1"/>
  <c r="X166" i="1" s="1"/>
  <c r="CU166" i="1"/>
  <c r="T166" i="1" s="1"/>
  <c r="CX166" i="1"/>
  <c r="W166" i="1" s="1"/>
  <c r="FR166" i="1"/>
  <c r="GL166" i="1"/>
  <c r="GO166" i="1"/>
  <c r="GP166" i="1"/>
  <c r="GV166" i="1"/>
  <c r="GX166" i="1"/>
  <c r="AC167" i="1"/>
  <c r="CQ167" i="1" s="1"/>
  <c r="AE167" i="1"/>
  <c r="CS167" i="1" s="1"/>
  <c r="AF167" i="1"/>
  <c r="AG167" i="1"/>
  <c r="AH167" i="1"/>
  <c r="CV167" i="1" s="1"/>
  <c r="U167" i="1" s="1"/>
  <c r="AH178" i="1" s="1"/>
  <c r="AI167" i="1"/>
  <c r="AJ167" i="1"/>
  <c r="CX167" i="1"/>
  <c r="CT167" i="1"/>
  <c r="CU167" i="1"/>
  <c r="CW167" i="1"/>
  <c r="FR167" i="1"/>
  <c r="GL167" i="1"/>
  <c r="GO167" i="1"/>
  <c r="GP167" i="1"/>
  <c r="CD178" i="1" s="1"/>
  <c r="CD147" i="1" s="1"/>
  <c r="GV167" i="1"/>
  <c r="I168" i="1"/>
  <c r="AC168" i="1"/>
  <c r="H318" i="5" s="1"/>
  <c r="W318" i="5" s="1"/>
  <c r="CQ168" i="1"/>
  <c r="AE168" i="1"/>
  <c r="AD168" i="1"/>
  <c r="CR168" i="1"/>
  <c r="Q168" i="1"/>
  <c r="W476" i="6" s="1"/>
  <c r="AF168" i="1"/>
  <c r="AG168" i="1"/>
  <c r="CU168" i="1"/>
  <c r="AH168" i="1"/>
  <c r="CV168" i="1" s="1"/>
  <c r="U168" i="1" s="1"/>
  <c r="Y476" i="6" s="1"/>
  <c r="AI168" i="1"/>
  <c r="CW168" i="1"/>
  <c r="V168" i="1"/>
  <c r="Z476" i="6" s="1"/>
  <c r="AJ168" i="1"/>
  <c r="CS168" i="1"/>
  <c r="R168" i="1"/>
  <c r="X476" i="6" s="1"/>
  <c r="GK168" i="1"/>
  <c r="CT168" i="1"/>
  <c r="S168" i="1" s="1"/>
  <c r="CX168" i="1"/>
  <c r="W168" i="1" s="1"/>
  <c r="FR168" i="1"/>
  <c r="GL168" i="1"/>
  <c r="GO168" i="1"/>
  <c r="GP168" i="1"/>
  <c r="GV168" i="1"/>
  <c r="GX168" i="1"/>
  <c r="C169" i="1"/>
  <c r="D169" i="1"/>
  <c r="I169" i="1"/>
  <c r="GX169" i="1"/>
  <c r="R169" i="1"/>
  <c r="GK169" i="1" s="1"/>
  <c r="AC169" i="1"/>
  <c r="AD169" i="1"/>
  <c r="AB169" i="1" s="1"/>
  <c r="CR169" i="1"/>
  <c r="Q169" i="1" s="1"/>
  <c r="AE169" i="1"/>
  <c r="AF169" i="1"/>
  <c r="AG169" i="1"/>
  <c r="AH169" i="1"/>
  <c r="CV169" i="1"/>
  <c r="U169" i="1"/>
  <c r="AI169" i="1"/>
  <c r="CW169" i="1" s="1"/>
  <c r="V169" i="1" s="1"/>
  <c r="AJ169" i="1"/>
  <c r="CQ169" i="1"/>
  <c r="P169" i="1"/>
  <c r="CS169" i="1"/>
  <c r="CT169" i="1"/>
  <c r="S169" i="1" s="1"/>
  <c r="CU169" i="1"/>
  <c r="T169" i="1" s="1"/>
  <c r="CX169" i="1"/>
  <c r="W169" i="1" s="1"/>
  <c r="FR169" i="1"/>
  <c r="GL169" i="1"/>
  <c r="GO169" i="1"/>
  <c r="GP169" i="1"/>
  <c r="GV169" i="1"/>
  <c r="C170" i="1"/>
  <c r="D170" i="1"/>
  <c r="I170" i="1"/>
  <c r="AC170" i="1"/>
  <c r="H323" i="5" s="1"/>
  <c r="AD170" i="1"/>
  <c r="CR170" i="1"/>
  <c r="Q170" i="1" s="1"/>
  <c r="W478" i="6" s="1"/>
  <c r="AE170" i="1"/>
  <c r="CS170" i="1"/>
  <c r="R170" i="1"/>
  <c r="X478" i="6" s="1"/>
  <c r="AF170" i="1"/>
  <c r="AG170" i="1"/>
  <c r="AH170" i="1"/>
  <c r="CV170" i="1" s="1"/>
  <c r="U170" i="1" s="1"/>
  <c r="AI170" i="1"/>
  <c r="CW170" i="1" s="1"/>
  <c r="V170" i="1" s="1"/>
  <c r="AJ170" i="1"/>
  <c r="CQ170" i="1"/>
  <c r="P170" i="1" s="1"/>
  <c r="CT170" i="1"/>
  <c r="S170" i="1" s="1"/>
  <c r="CY170" i="1" s="1"/>
  <c r="X170" i="1" s="1"/>
  <c r="CU170" i="1"/>
  <c r="T170" i="1"/>
  <c r="CX170" i="1"/>
  <c r="W170" i="1" s="1"/>
  <c r="FR170" i="1"/>
  <c r="FQ178" i="1" s="1"/>
  <c r="FQ147" i="1" s="1"/>
  <c r="GL170" i="1"/>
  <c r="GO170" i="1"/>
  <c r="GP170" i="1"/>
  <c r="GV170" i="1"/>
  <c r="GX170" i="1"/>
  <c r="AC171" i="1"/>
  <c r="CQ171" i="1"/>
  <c r="P171" i="1" s="1"/>
  <c r="AE171" i="1"/>
  <c r="AD171" i="1" s="1"/>
  <c r="CR171" i="1" s="1"/>
  <c r="AF171" i="1"/>
  <c r="CT171" i="1" s="1"/>
  <c r="S171" i="1" s="1"/>
  <c r="AG171" i="1"/>
  <c r="AH171" i="1"/>
  <c r="CV171" i="1"/>
  <c r="U171" i="1" s="1"/>
  <c r="AI171" i="1"/>
  <c r="AJ171" i="1"/>
  <c r="CX171" i="1"/>
  <c r="CS171" i="1"/>
  <c r="R171" i="1" s="1"/>
  <c r="GK171" i="1" s="1"/>
  <c r="CU171" i="1"/>
  <c r="CW171" i="1"/>
  <c r="FR171" i="1"/>
  <c r="GL171" i="1"/>
  <c r="GO171" i="1"/>
  <c r="GP171" i="1"/>
  <c r="GV171" i="1"/>
  <c r="I172" i="1"/>
  <c r="AC172" i="1"/>
  <c r="CQ172" i="1"/>
  <c r="AE172" i="1"/>
  <c r="AD172" i="1" s="1"/>
  <c r="AF172" i="1"/>
  <c r="AG172" i="1"/>
  <c r="CU172" i="1"/>
  <c r="AH172" i="1"/>
  <c r="CV172" i="1" s="1"/>
  <c r="U172" i="1" s="1"/>
  <c r="Y494" i="6" s="1"/>
  <c r="AI172" i="1"/>
  <c r="CW172" i="1" s="1"/>
  <c r="V172" i="1" s="1"/>
  <c r="Z494" i="6" s="1"/>
  <c r="AJ172" i="1"/>
  <c r="CX172" i="1"/>
  <c r="W172" i="1"/>
  <c r="FR172" i="1"/>
  <c r="GL172" i="1"/>
  <c r="GO172" i="1"/>
  <c r="GP172" i="1"/>
  <c r="GV172" i="1"/>
  <c r="GX172" i="1"/>
  <c r="O173" i="1"/>
  <c r="P173" i="1"/>
  <c r="Q173" i="1"/>
  <c r="R173" i="1"/>
  <c r="S173" i="1"/>
  <c r="T173" i="1"/>
  <c r="U173" i="1"/>
  <c r="V173" i="1"/>
  <c r="W173" i="1"/>
  <c r="X173" i="1"/>
  <c r="Y173" i="1"/>
  <c r="AB173" i="1"/>
  <c r="AC173" i="1"/>
  <c r="AD173" i="1"/>
  <c r="AE173" i="1"/>
  <c r="AF173" i="1"/>
  <c r="AG173" i="1"/>
  <c r="AH173" i="1"/>
  <c r="AI173" i="1"/>
  <c r="AJ173" i="1"/>
  <c r="CP173" i="1"/>
  <c r="GN173" i="1"/>
  <c r="FR173" i="1"/>
  <c r="GK173" i="1"/>
  <c r="GL173" i="1"/>
  <c r="GM173" i="1"/>
  <c r="GO173" i="1"/>
  <c r="GP173" i="1"/>
  <c r="GV173" i="1"/>
  <c r="GX173" i="1" s="1"/>
  <c r="O174" i="1"/>
  <c r="P174" i="1"/>
  <c r="U496" i="6" s="1"/>
  <c r="Q174" i="1"/>
  <c r="W496" i="6" s="1"/>
  <c r="R174" i="1"/>
  <c r="X496" i="6" s="1"/>
  <c r="S174" i="1"/>
  <c r="V496" i="6" s="1"/>
  <c r="T174" i="1"/>
  <c r="U174" i="1"/>
  <c r="V174" i="1"/>
  <c r="Z496" i="6" s="1"/>
  <c r="W174" i="1"/>
  <c r="X174" i="1"/>
  <c r="Y174" i="1"/>
  <c r="AB174" i="1"/>
  <c r="AC174" i="1"/>
  <c r="AD174" i="1"/>
  <c r="AE174" i="1"/>
  <c r="AF174" i="1"/>
  <c r="AG174" i="1"/>
  <c r="AH174" i="1"/>
  <c r="AI174" i="1"/>
  <c r="AJ174" i="1"/>
  <c r="CP174" i="1"/>
  <c r="GM174" i="1"/>
  <c r="FR174" i="1"/>
  <c r="GK174" i="1"/>
  <c r="GL174" i="1"/>
  <c r="GN174" i="1"/>
  <c r="GO174" i="1"/>
  <c r="GP174" i="1"/>
  <c r="GV174" i="1"/>
  <c r="GX174" i="1"/>
  <c r="O175" i="1"/>
  <c r="P175" i="1"/>
  <c r="Q175" i="1"/>
  <c r="R175" i="1"/>
  <c r="GK175" i="1" s="1"/>
  <c r="S175" i="1"/>
  <c r="T175" i="1"/>
  <c r="U175" i="1"/>
  <c r="V175" i="1"/>
  <c r="W175" i="1"/>
  <c r="X175" i="1"/>
  <c r="Y175" i="1"/>
  <c r="AB175" i="1"/>
  <c r="CP175" i="1" s="1"/>
  <c r="GN175" i="1" s="1"/>
  <c r="AC175" i="1"/>
  <c r="AD175" i="1"/>
  <c r="AE175" i="1"/>
  <c r="AF175" i="1"/>
  <c r="AG175" i="1"/>
  <c r="AH175" i="1"/>
  <c r="AI175" i="1"/>
  <c r="AJ175" i="1"/>
  <c r="FR175" i="1"/>
  <c r="GL175" i="1"/>
  <c r="GO175" i="1"/>
  <c r="GP175" i="1"/>
  <c r="GV175" i="1"/>
  <c r="GX175" i="1"/>
  <c r="O176" i="1"/>
  <c r="P176" i="1"/>
  <c r="U498" i="6" s="1"/>
  <c r="Q176" i="1"/>
  <c r="W498" i="6" s="1"/>
  <c r="R176" i="1"/>
  <c r="X498" i="6" s="1"/>
  <c r="S176" i="1"/>
  <c r="V498" i="6" s="1"/>
  <c r="T176" i="1"/>
  <c r="U176" i="1"/>
  <c r="V176" i="1"/>
  <c r="Z498" i="6" s="1"/>
  <c r="W176" i="1"/>
  <c r="X176" i="1"/>
  <c r="Y176" i="1"/>
  <c r="AB176" i="1"/>
  <c r="AC176" i="1"/>
  <c r="AD176" i="1"/>
  <c r="AE176" i="1"/>
  <c r="AF176" i="1"/>
  <c r="AG176" i="1"/>
  <c r="AH176" i="1"/>
  <c r="AI176" i="1"/>
  <c r="AJ176" i="1"/>
  <c r="FR176" i="1"/>
  <c r="GL176" i="1"/>
  <c r="GO176" i="1"/>
  <c r="GP176" i="1"/>
  <c r="GV176" i="1"/>
  <c r="GX176" i="1"/>
  <c r="B178" i="1"/>
  <c r="B147" i="1"/>
  <c r="C178" i="1"/>
  <c r="C147" i="1"/>
  <c r="D178" i="1"/>
  <c r="D147" i="1"/>
  <c r="F178" i="1"/>
  <c r="F147" i="1" s="1"/>
  <c r="G178" i="1"/>
  <c r="G147" i="1"/>
  <c r="BX178" i="1"/>
  <c r="AO178" i="1" s="1"/>
  <c r="AO147" i="1" s="1"/>
  <c r="BX147" i="1"/>
  <c r="BY178" i="1"/>
  <c r="CK178" i="1"/>
  <c r="CK147" i="1" s="1"/>
  <c r="CL178" i="1"/>
  <c r="FP178" i="1"/>
  <c r="FV178" i="1"/>
  <c r="EM178" i="1" s="1"/>
  <c r="GC178" i="1"/>
  <c r="GC147" i="1"/>
  <c r="GD178" i="1"/>
  <c r="EU178" i="1" s="1"/>
  <c r="B210" i="1"/>
  <c r="B22" i="1"/>
  <c r="C210" i="1"/>
  <c r="C22" i="1"/>
  <c r="D210" i="1"/>
  <c r="D22" i="1"/>
  <c r="F210" i="1"/>
  <c r="F22" i="1"/>
  <c r="G210" i="1"/>
  <c r="C508" i="6" s="1"/>
  <c r="G22" i="1"/>
  <c r="B242" i="1"/>
  <c r="B18" i="1"/>
  <c r="C242" i="1"/>
  <c r="C18" i="1"/>
  <c r="D242" i="1"/>
  <c r="D18" i="1"/>
  <c r="F242" i="1"/>
  <c r="F18" i="1"/>
  <c r="G242" i="1"/>
  <c r="G18" i="1"/>
  <c r="BY113" i="1"/>
  <c r="CI113" i="1" s="1"/>
  <c r="U86" i="1"/>
  <c r="V86" i="1"/>
  <c r="L190" i="5"/>
  <c r="Q190" i="5" s="1"/>
  <c r="L188" i="5"/>
  <c r="Y274" i="6"/>
  <c r="GK85" i="1"/>
  <c r="X274" i="6"/>
  <c r="W171" i="1"/>
  <c r="EL178" i="1"/>
  <c r="GM175" i="1"/>
  <c r="CZ164" i="1"/>
  <c r="Y164" i="1" s="1"/>
  <c r="CZ160" i="1"/>
  <c r="Y160" i="1"/>
  <c r="CL147" i="1"/>
  <c r="BC178" i="1"/>
  <c r="T172" i="1"/>
  <c r="T168" i="1"/>
  <c r="AB168" i="1"/>
  <c r="G476" i="6" s="1"/>
  <c r="T164" i="1"/>
  <c r="AB164" i="1"/>
  <c r="G458" i="6" s="1"/>
  <c r="CY162" i="1"/>
  <c r="X162" i="1"/>
  <c r="T160" i="1"/>
  <c r="AB160" i="1"/>
  <c r="G440" i="6" s="1"/>
  <c r="U159" i="1"/>
  <c r="CY158" i="1"/>
  <c r="X158" i="1"/>
  <c r="CS156" i="1"/>
  <c r="R156" i="1" s="1"/>
  <c r="AD156" i="1"/>
  <c r="CY153" i="1"/>
  <c r="X153" i="1" s="1"/>
  <c r="AB150" i="1"/>
  <c r="G388" i="6" s="1"/>
  <c r="CR150" i="1"/>
  <c r="Q150" i="1" s="1"/>
  <c r="EH26" i="1"/>
  <c r="P122" i="1"/>
  <c r="GD147" i="1"/>
  <c r="ET178" i="1"/>
  <c r="CX471" i="3"/>
  <c r="CX475" i="3"/>
  <c r="CX472" i="3"/>
  <c r="CX473" i="3"/>
  <c r="CX474" i="3"/>
  <c r="CX451" i="3"/>
  <c r="CX455" i="3"/>
  <c r="CX459" i="3"/>
  <c r="CX456" i="3"/>
  <c r="CX452" i="3"/>
  <c r="CX457" i="3"/>
  <c r="CX453" i="3"/>
  <c r="CX458" i="3"/>
  <c r="CX454" i="3"/>
  <c r="CX460" i="3"/>
  <c r="CX435" i="3"/>
  <c r="CX439" i="3"/>
  <c r="CX434" i="3"/>
  <c r="CX440" i="3"/>
  <c r="CX436" i="3"/>
  <c r="CX441" i="3"/>
  <c r="CX437" i="3"/>
  <c r="CX433" i="3"/>
  <c r="CX438" i="3"/>
  <c r="CX404" i="3"/>
  <c r="CX408" i="3"/>
  <c r="CX412" i="3"/>
  <c r="CX403" i="3"/>
  <c r="CX407" i="3"/>
  <c r="CX411" i="3"/>
  <c r="CX415" i="3"/>
  <c r="CX405" i="3"/>
  <c r="CX413" i="3"/>
  <c r="CX406" i="3"/>
  <c r="CX414" i="3"/>
  <c r="CX409" i="3"/>
  <c r="CX416" i="3"/>
  <c r="CX410" i="3"/>
  <c r="CX417" i="3"/>
  <c r="CQ156" i="1"/>
  <c r="P156" i="1" s="1"/>
  <c r="CY156" i="1"/>
  <c r="X156" i="1" s="1"/>
  <c r="CP151" i="1"/>
  <c r="O151" i="1" s="1"/>
  <c r="AU178" i="1"/>
  <c r="AB151" i="1"/>
  <c r="EL113" i="1"/>
  <c r="BY147" i="1"/>
  <c r="F182" i="1"/>
  <c r="P172" i="1"/>
  <c r="U494" i="6" s="1"/>
  <c r="I171" i="1"/>
  <c r="AB170" i="1"/>
  <c r="G478" i="6" s="1"/>
  <c r="P168" i="1"/>
  <c r="U476" i="6" s="1"/>
  <c r="CP168" i="1"/>
  <c r="O168" i="1" s="1"/>
  <c r="I167" i="1"/>
  <c r="AB166" i="1"/>
  <c r="G460" i="6" s="1"/>
  <c r="I163" i="1"/>
  <c r="AB162" i="1"/>
  <c r="G442" i="6" s="1"/>
  <c r="AB158" i="1"/>
  <c r="G424" i="6" s="1"/>
  <c r="AB154" i="1"/>
  <c r="G406" i="6" s="1"/>
  <c r="CY111" i="1"/>
  <c r="X111" i="1" s="1"/>
  <c r="CY105" i="1"/>
  <c r="X105" i="1"/>
  <c r="CX479" i="3"/>
  <c r="CX476" i="3"/>
  <c r="CX480" i="3"/>
  <c r="CX477" i="3"/>
  <c r="CX478" i="3"/>
  <c r="CX463" i="3"/>
  <c r="CX467" i="3"/>
  <c r="CX461" i="3"/>
  <c r="CX466" i="3"/>
  <c r="CX462" i="3"/>
  <c r="CX468" i="3"/>
  <c r="CX464" i="3"/>
  <c r="CX469" i="3"/>
  <c r="CX465" i="3"/>
  <c r="CX470" i="3"/>
  <c r="CX443" i="3"/>
  <c r="CX447" i="3"/>
  <c r="CX445" i="3"/>
  <c r="CX450" i="3"/>
  <c r="CX446" i="3"/>
  <c r="CX442" i="3"/>
  <c r="CX448" i="3"/>
  <c r="CX444" i="3"/>
  <c r="CX449" i="3"/>
  <c r="CX419" i="3"/>
  <c r="CX423" i="3"/>
  <c r="CX427" i="3"/>
  <c r="CX431" i="3"/>
  <c r="CX418" i="3"/>
  <c r="CX424" i="3"/>
  <c r="CX429" i="3"/>
  <c r="CX420" i="3"/>
  <c r="CX425" i="3"/>
  <c r="CX430" i="3"/>
  <c r="CX421" i="3"/>
  <c r="CX426" i="3"/>
  <c r="CX432" i="3"/>
  <c r="CX422" i="3"/>
  <c r="CX428" i="3"/>
  <c r="CX398" i="3"/>
  <c r="CX399" i="3"/>
  <c r="CX397" i="3"/>
  <c r="CX396" i="3"/>
  <c r="CX394" i="3"/>
  <c r="CX395" i="3"/>
  <c r="CX392" i="3"/>
  <c r="CX391" i="3"/>
  <c r="CX393" i="3"/>
  <c r="CX386" i="3"/>
  <c r="CX387" i="3"/>
  <c r="CX385" i="3"/>
  <c r="CX380" i="3"/>
  <c r="CX384" i="3"/>
  <c r="CX382" i="3"/>
  <c r="CX379" i="3"/>
  <c r="CX383" i="3"/>
  <c r="CX381" i="3"/>
  <c r="CX376" i="3"/>
  <c r="CX374" i="3"/>
  <c r="CX378" i="3"/>
  <c r="CX375" i="3"/>
  <c r="CX377" i="3"/>
  <c r="CX373" i="3"/>
  <c r="CL26" i="1"/>
  <c r="BC113" i="1"/>
  <c r="CG113" i="1"/>
  <c r="BB113" i="1"/>
  <c r="AB111" i="1"/>
  <c r="G377" i="6" s="1"/>
  <c r="CY110" i="1"/>
  <c r="X110" i="1"/>
  <c r="GM110" i="1"/>
  <c r="CS107" i="1"/>
  <c r="R107" i="1" s="1"/>
  <c r="AD107" i="1"/>
  <c r="AB107" i="1" s="1"/>
  <c r="G373" i="6" s="1"/>
  <c r="CY106" i="1"/>
  <c r="X106" i="1"/>
  <c r="R103" i="1"/>
  <c r="X356" i="6" s="1"/>
  <c r="GK103" i="1"/>
  <c r="CQ103" i="1"/>
  <c r="P103" i="1" s="1"/>
  <c r="AB103" i="1"/>
  <c r="G356" i="6" s="1"/>
  <c r="CQ102" i="1"/>
  <c r="P102" i="1"/>
  <c r="AB102" i="1"/>
  <c r="U98" i="1"/>
  <c r="CS95" i="1"/>
  <c r="R95" i="1"/>
  <c r="CY95" i="1" s="1"/>
  <c r="X95" i="1" s="1"/>
  <c r="AD95" i="1"/>
  <c r="H215" i="5" s="1"/>
  <c r="CX292" i="3"/>
  <c r="CX296" i="3"/>
  <c r="CX290" i="3"/>
  <c r="CX294" i="3"/>
  <c r="CX291" i="3"/>
  <c r="CX295" i="3"/>
  <c r="CX293" i="3"/>
  <c r="CX289" i="3"/>
  <c r="V94" i="1"/>
  <c r="GX94" i="1"/>
  <c r="CX280" i="3"/>
  <c r="CX284" i="3"/>
  <c r="CX288" i="3"/>
  <c r="CX278" i="3"/>
  <c r="CX282" i="3"/>
  <c r="CX286" i="3"/>
  <c r="CX279" i="3"/>
  <c r="CX283" i="3"/>
  <c r="CX287" i="3"/>
  <c r="CX277" i="3"/>
  <c r="CX281" i="3"/>
  <c r="CX285" i="3"/>
  <c r="CS92" i="1"/>
  <c r="R92" i="1"/>
  <c r="GK92" i="1"/>
  <c r="CY89" i="1"/>
  <c r="X89" i="1"/>
  <c r="CZ89" i="1"/>
  <c r="Y89" i="1"/>
  <c r="CS86" i="1"/>
  <c r="R86" i="1"/>
  <c r="GK86" i="1"/>
  <c r="CY85" i="1"/>
  <c r="X85" i="1" s="1"/>
  <c r="CZ85" i="1"/>
  <c r="Y85" i="1"/>
  <c r="AB80" i="1"/>
  <c r="CQ80" i="1"/>
  <c r="P80" i="1"/>
  <c r="CP80" i="1"/>
  <c r="O80" i="1"/>
  <c r="GD26" i="1"/>
  <c r="EU113" i="1"/>
  <c r="BZ26" i="1"/>
  <c r="AQ113" i="1"/>
  <c r="AB110" i="1"/>
  <c r="CQ107" i="1"/>
  <c r="P107" i="1"/>
  <c r="U373" i="6" s="1"/>
  <c r="AB106" i="1"/>
  <c r="CS101" i="1"/>
  <c r="R101" i="1" s="1"/>
  <c r="AD101" i="1"/>
  <c r="H226" i="5" s="1"/>
  <c r="AB98" i="1"/>
  <c r="CR98" i="1"/>
  <c r="Q98" i="1" s="1"/>
  <c r="CP98" i="1" s="1"/>
  <c r="O98" i="1" s="1"/>
  <c r="CQ85" i="1"/>
  <c r="P85" i="1" s="1"/>
  <c r="AB85" i="1"/>
  <c r="G274" i="6" s="1"/>
  <c r="CR78" i="1"/>
  <c r="Q78" i="1"/>
  <c r="AB78" i="1"/>
  <c r="CZ77" i="1"/>
  <c r="Y77" i="1"/>
  <c r="CY77" i="1"/>
  <c r="X77" i="1" s="1"/>
  <c r="CY76" i="1"/>
  <c r="X76" i="1"/>
  <c r="CZ76" i="1"/>
  <c r="Y76" i="1" s="1"/>
  <c r="GK71" i="1"/>
  <c r="CZ71" i="1"/>
  <c r="Y71" i="1"/>
  <c r="CR67" i="1"/>
  <c r="Q67" i="1" s="1"/>
  <c r="AB67" i="1"/>
  <c r="G242" i="6" s="1"/>
  <c r="CX400" i="3"/>
  <c r="CX401" i="3"/>
  <c r="CX402" i="3"/>
  <c r="AB152" i="1"/>
  <c r="G397" i="6" s="1"/>
  <c r="FR26" i="1"/>
  <c r="EI113" i="1"/>
  <c r="CD26" i="1"/>
  <c r="AU113" i="1"/>
  <c r="AT113" i="1"/>
  <c r="AO113" i="1"/>
  <c r="AD109" i="1"/>
  <c r="CR109" i="1" s="1"/>
  <c r="Q109" i="1" s="1"/>
  <c r="CS109" i="1"/>
  <c r="R109" i="1"/>
  <c r="X375" i="6" s="1"/>
  <c r="T108" i="1"/>
  <c r="U103" i="1"/>
  <c r="Y356" i="6" s="1"/>
  <c r="W103" i="1"/>
  <c r="V102" i="1"/>
  <c r="CQ101" i="1"/>
  <c r="P101" i="1"/>
  <c r="CY100" i="1"/>
  <c r="X100" i="1"/>
  <c r="CZ100" i="1"/>
  <c r="Y100" i="1" s="1"/>
  <c r="CS99" i="1"/>
  <c r="AD99" i="1"/>
  <c r="CR99" i="1" s="1"/>
  <c r="CS98" i="1"/>
  <c r="R98" i="1"/>
  <c r="GK98" i="1"/>
  <c r="CZ96" i="1"/>
  <c r="Y96" i="1" s="1"/>
  <c r="CY96" i="1"/>
  <c r="X96" i="1"/>
  <c r="U92" i="1"/>
  <c r="CS91" i="1"/>
  <c r="AD91" i="1"/>
  <c r="CR91" i="1"/>
  <c r="CP90" i="1"/>
  <c r="O90" i="1" s="1"/>
  <c r="GK88" i="1"/>
  <c r="CZ88" i="1"/>
  <c r="Y88" i="1"/>
  <c r="CY80" i="1"/>
  <c r="X80" i="1"/>
  <c r="CZ80" i="1"/>
  <c r="Y80" i="1"/>
  <c r="CZ149" i="1"/>
  <c r="Y149" i="1"/>
  <c r="FV26" i="1"/>
  <c r="EM113" i="1"/>
  <c r="FQ26" i="1"/>
  <c r="GA113" i="1"/>
  <c r="CQ109" i="1"/>
  <c r="P109" i="1"/>
  <c r="U375" i="6" s="1"/>
  <c r="W108" i="1"/>
  <c r="S108" i="1"/>
  <c r="CP108" i="1"/>
  <c r="O108" i="1"/>
  <c r="AB108" i="1"/>
  <c r="CQ105" i="1"/>
  <c r="P105" i="1"/>
  <c r="CP105" i="1"/>
  <c r="O105" i="1"/>
  <c r="AB105" i="1"/>
  <c r="G358" i="6" s="1"/>
  <c r="W102" i="1"/>
  <c r="S102" i="1"/>
  <c r="CQ99" i="1"/>
  <c r="CQ97" i="1"/>
  <c r="P97" i="1"/>
  <c r="U337" i="6" s="1"/>
  <c r="CP97" i="1"/>
  <c r="O97" i="1" s="1"/>
  <c r="AB97" i="1"/>
  <c r="G337" i="6" s="1"/>
  <c r="CQ96" i="1"/>
  <c r="P96" i="1" s="1"/>
  <c r="CZ94" i="1"/>
  <c r="Y94" i="1"/>
  <c r="CY94" i="1"/>
  <c r="X94" i="1" s="1"/>
  <c r="CR92" i="1"/>
  <c r="Q92" i="1"/>
  <c r="AB92" i="1"/>
  <c r="CX268" i="3"/>
  <c r="CX272" i="3"/>
  <c r="CX276" i="3"/>
  <c r="CX266" i="3"/>
  <c r="CX270" i="3"/>
  <c r="CX274" i="3"/>
  <c r="CX267" i="3"/>
  <c r="CX271" i="3"/>
  <c r="CX275" i="3"/>
  <c r="CX265" i="3"/>
  <c r="CX269" i="3"/>
  <c r="CX273" i="3"/>
  <c r="AB90" i="1"/>
  <c r="AB89" i="1"/>
  <c r="G292" i="6" s="1"/>
  <c r="CR89" i="1"/>
  <c r="Q89" i="1"/>
  <c r="CP89" i="1"/>
  <c r="O89" i="1" s="1"/>
  <c r="CR86" i="1"/>
  <c r="Q86" i="1"/>
  <c r="AB86" i="1"/>
  <c r="CS84" i="1"/>
  <c r="R84" i="1"/>
  <c r="AD84" i="1"/>
  <c r="CP81" i="1"/>
  <c r="O81" i="1" s="1"/>
  <c r="CX388" i="3"/>
  <c r="CX390" i="3"/>
  <c r="CX389" i="3"/>
  <c r="T97" i="1"/>
  <c r="U96" i="1"/>
  <c r="T93" i="1"/>
  <c r="W92" i="1"/>
  <c r="S92" i="1"/>
  <c r="CP92" i="1" s="1"/>
  <c r="O92" i="1" s="1"/>
  <c r="CX248" i="3"/>
  <c r="CX252" i="3"/>
  <c r="CX256" i="3"/>
  <c r="CX260" i="3"/>
  <c r="CX264" i="3"/>
  <c r="CX249" i="3"/>
  <c r="CX253" i="3"/>
  <c r="CX257" i="3"/>
  <c r="CX261" i="3"/>
  <c r="CX250" i="3"/>
  <c r="CX254" i="3"/>
  <c r="CX258" i="3"/>
  <c r="CX262" i="3"/>
  <c r="CX247" i="3"/>
  <c r="CX251" i="3"/>
  <c r="CX255" i="3"/>
  <c r="CX259" i="3"/>
  <c r="CX263" i="3"/>
  <c r="I91" i="1"/>
  <c r="T91" i="1" s="1"/>
  <c r="CX232" i="3"/>
  <c r="CX236" i="3"/>
  <c r="CX240" i="3"/>
  <c r="CX244" i="3"/>
  <c r="CX229" i="3"/>
  <c r="CX233" i="3"/>
  <c r="CX237" i="3"/>
  <c r="CX241" i="3"/>
  <c r="CX245" i="3"/>
  <c r="CX230" i="3"/>
  <c r="CX234" i="3"/>
  <c r="CX238" i="3"/>
  <c r="CX242" i="3"/>
  <c r="CX246" i="3"/>
  <c r="CX231" i="3"/>
  <c r="CX235" i="3"/>
  <c r="CX239" i="3"/>
  <c r="CX243" i="3"/>
  <c r="W86" i="1"/>
  <c r="S86" i="1"/>
  <c r="Q81" i="1"/>
  <c r="W270" i="6" s="1"/>
  <c r="AB71" i="1"/>
  <c r="G246" i="6" s="1"/>
  <c r="CR71" i="1"/>
  <c r="Q71" i="1"/>
  <c r="CY70" i="1"/>
  <c r="X70" i="1"/>
  <c r="CZ70" i="1"/>
  <c r="Y70" i="1"/>
  <c r="U66" i="1"/>
  <c r="CY64" i="1"/>
  <c r="X64" i="1"/>
  <c r="CZ64" i="1"/>
  <c r="Y64" i="1"/>
  <c r="CP54" i="1"/>
  <c r="O54" i="1"/>
  <c r="CY58" i="1"/>
  <c r="X58" i="1"/>
  <c r="CZ58" i="1"/>
  <c r="Y58" i="1"/>
  <c r="AB104" i="1"/>
  <c r="T103" i="1"/>
  <c r="U102" i="1"/>
  <c r="Q102" i="1"/>
  <c r="W98" i="1"/>
  <c r="S98" i="1"/>
  <c r="U94" i="1"/>
  <c r="T85" i="1"/>
  <c r="T81" i="1"/>
  <c r="AB81" i="1"/>
  <c r="G270" i="6" s="1"/>
  <c r="CR77" i="1"/>
  <c r="Q77" i="1"/>
  <c r="W266" i="6" s="1"/>
  <c r="AB77" i="1"/>
  <c r="G266" i="6" s="1"/>
  <c r="CR74" i="1"/>
  <c r="Q74" i="1" s="1"/>
  <c r="CP74" i="1" s="1"/>
  <c r="O74" i="1" s="1"/>
  <c r="AB74" i="1"/>
  <c r="CZ73" i="1"/>
  <c r="Y73" i="1"/>
  <c r="CY73" i="1"/>
  <c r="X73" i="1"/>
  <c r="W66" i="1"/>
  <c r="CY56" i="1"/>
  <c r="X56" i="1"/>
  <c r="CZ56" i="1"/>
  <c r="Y56" i="1"/>
  <c r="CP56" i="1"/>
  <c r="O56" i="1"/>
  <c r="CY53" i="1"/>
  <c r="X53" i="1"/>
  <c r="CZ53" i="1"/>
  <c r="Y53" i="1"/>
  <c r="P93" i="1"/>
  <c r="AB91" i="1"/>
  <c r="G308" i="6" s="1"/>
  <c r="CP88" i="1"/>
  <c r="O88" i="1"/>
  <c r="CX228" i="3"/>
  <c r="CX226" i="3"/>
  <c r="CX227" i="3"/>
  <c r="I87" i="1"/>
  <c r="P87" i="1" s="1"/>
  <c r="AD82" i="1"/>
  <c r="CS82" i="1"/>
  <c r="R82" i="1" s="1"/>
  <c r="W81" i="1"/>
  <c r="S81" i="1"/>
  <c r="V270" i="6" s="1"/>
  <c r="CP78" i="1"/>
  <c r="O78" i="1" s="1"/>
  <c r="CP77" i="1"/>
  <c r="O77" i="1"/>
  <c r="CR73" i="1"/>
  <c r="Q73" i="1" s="1"/>
  <c r="AB73" i="1"/>
  <c r="G262" i="6" s="1"/>
  <c r="CY71" i="1"/>
  <c r="X71" i="1"/>
  <c r="V66" i="1"/>
  <c r="Q66" i="1"/>
  <c r="CP66" i="1" s="1"/>
  <c r="O66" i="1" s="1"/>
  <c r="CX300" i="3"/>
  <c r="CX304" i="3"/>
  <c r="CX298" i="3"/>
  <c r="CX302" i="3"/>
  <c r="CX299" i="3"/>
  <c r="CX303" i="3"/>
  <c r="CX297" i="3"/>
  <c r="CX301" i="3"/>
  <c r="I83" i="1"/>
  <c r="V83" i="1"/>
  <c r="Z272" i="6" s="1"/>
  <c r="I79" i="1"/>
  <c r="T79" i="1"/>
  <c r="AD70" i="1"/>
  <c r="CR70" i="1"/>
  <c r="Q70" i="1"/>
  <c r="CP70" i="1"/>
  <c r="O70" i="1" s="1"/>
  <c r="CR64" i="1"/>
  <c r="Q64" i="1" s="1"/>
  <c r="CP64" i="1" s="1"/>
  <c r="O64" i="1" s="1"/>
  <c r="P64" i="1"/>
  <c r="CZ62" i="1"/>
  <c r="Y62" i="1"/>
  <c r="W59" i="1"/>
  <c r="T56" i="1"/>
  <c r="AB56" i="1"/>
  <c r="W55" i="1"/>
  <c r="S55" i="1"/>
  <c r="W52" i="1"/>
  <c r="CP44" i="1"/>
  <c r="O44" i="1"/>
  <c r="CY38" i="1"/>
  <c r="X38" i="1"/>
  <c r="CZ38" i="1"/>
  <c r="Y38" i="1"/>
  <c r="CP38" i="1"/>
  <c r="O38" i="1"/>
  <c r="CX224" i="3"/>
  <c r="CX225" i="3"/>
  <c r="CX223" i="3"/>
  <c r="CS78" i="1"/>
  <c r="R78" i="1" s="1"/>
  <c r="CQ76" i="1"/>
  <c r="P76" i="1"/>
  <c r="CP76" i="1" s="1"/>
  <c r="O76" i="1" s="1"/>
  <c r="CS74" i="1"/>
  <c r="R74" i="1"/>
  <c r="CY74" i="1" s="1"/>
  <c r="X74" i="1" s="1"/>
  <c r="AB70" i="1"/>
  <c r="W67" i="1"/>
  <c r="S67" i="1"/>
  <c r="V242" i="6" s="1"/>
  <c r="GX65" i="1"/>
  <c r="T64" i="1"/>
  <c r="W63" i="1"/>
  <c r="S63" i="1"/>
  <c r="GX61" i="1"/>
  <c r="AB61" i="1"/>
  <c r="G213" i="6" s="1"/>
  <c r="CQ60" i="1"/>
  <c r="CZ57" i="1"/>
  <c r="Y57" i="1"/>
  <c r="CX148" i="3"/>
  <c r="CX152" i="3"/>
  <c r="CX149" i="3"/>
  <c r="CX153" i="3"/>
  <c r="CX146" i="3"/>
  <c r="CX150" i="3"/>
  <c r="CX154" i="3"/>
  <c r="CX147" i="3"/>
  <c r="CX151" i="3"/>
  <c r="CX140" i="3"/>
  <c r="CX144" i="3"/>
  <c r="CX137" i="3"/>
  <c r="CX141" i="3"/>
  <c r="CX145" i="3"/>
  <c r="CX138" i="3"/>
  <c r="CX142" i="3"/>
  <c r="CX139" i="3"/>
  <c r="CX143" i="3"/>
  <c r="I60" i="1"/>
  <c r="T60" i="1"/>
  <c r="CX132" i="3"/>
  <c r="CX136" i="3"/>
  <c r="CX129" i="3"/>
  <c r="CX133" i="3"/>
  <c r="CX130" i="3"/>
  <c r="CX134" i="3"/>
  <c r="CX131" i="3"/>
  <c r="CX135" i="3"/>
  <c r="AB53" i="1"/>
  <c r="G182" i="6" s="1"/>
  <c r="CQ53" i="1"/>
  <c r="P53" i="1"/>
  <c r="U182" i="6" s="1"/>
  <c r="CZ51" i="1"/>
  <c r="Y51" i="1" s="1"/>
  <c r="CY48" i="1"/>
  <c r="X48" i="1" s="1"/>
  <c r="CZ48" i="1"/>
  <c r="Y48" i="1"/>
  <c r="CR40" i="1"/>
  <c r="Q40" i="1"/>
  <c r="CP40" i="1"/>
  <c r="O40" i="1"/>
  <c r="GN40" i="1" s="1"/>
  <c r="AB40" i="1"/>
  <c r="P66" i="1"/>
  <c r="CZ65" i="1"/>
  <c r="Y65" i="1"/>
  <c r="CX192" i="3"/>
  <c r="CX196" i="3"/>
  <c r="CX193" i="3"/>
  <c r="CX197" i="3"/>
  <c r="CX194" i="3"/>
  <c r="CX198" i="3"/>
  <c r="CX195" i="3"/>
  <c r="CX188" i="3"/>
  <c r="CX185" i="3"/>
  <c r="CX189" i="3"/>
  <c r="CX186" i="3"/>
  <c r="CX190" i="3"/>
  <c r="CX187" i="3"/>
  <c r="CX191" i="3"/>
  <c r="I68" i="1"/>
  <c r="T68" i="1"/>
  <c r="CX172" i="3"/>
  <c r="CX176" i="3"/>
  <c r="CX180" i="3"/>
  <c r="CX184" i="3"/>
  <c r="CX173" i="3"/>
  <c r="CX177" i="3"/>
  <c r="CX181" i="3"/>
  <c r="CX170" i="3"/>
  <c r="CX174" i="3"/>
  <c r="CX178" i="3"/>
  <c r="CX182" i="3"/>
  <c r="CX171" i="3"/>
  <c r="CX175" i="3"/>
  <c r="CX179" i="3"/>
  <c r="CX183" i="3"/>
  <c r="CZ61" i="1"/>
  <c r="Y61" i="1"/>
  <c r="CY50" i="1"/>
  <c r="X50" i="1" s="1"/>
  <c r="GM50" i="1" s="1"/>
  <c r="CZ50" i="1"/>
  <c r="Y50" i="1"/>
  <c r="CY46" i="1"/>
  <c r="X46" i="1" s="1"/>
  <c r="CZ46" i="1"/>
  <c r="Y46" i="1"/>
  <c r="CP46" i="1"/>
  <c r="O46" i="1" s="1"/>
  <c r="CZ41" i="1"/>
  <c r="Y41" i="1"/>
  <c r="CY41" i="1"/>
  <c r="X41" i="1" s="1"/>
  <c r="GK40" i="1"/>
  <c r="CY40" i="1"/>
  <c r="X40" i="1"/>
  <c r="CZ40" i="1"/>
  <c r="Y40" i="1"/>
  <c r="CY34" i="1"/>
  <c r="X34" i="1"/>
  <c r="CZ34" i="1"/>
  <c r="Y34" i="1" s="1"/>
  <c r="AB72" i="1"/>
  <c r="CX212" i="3"/>
  <c r="CX216" i="3"/>
  <c r="CX220" i="3"/>
  <c r="CX213" i="3"/>
  <c r="CX217" i="3"/>
  <c r="CX221" i="3"/>
  <c r="CX214" i="3"/>
  <c r="CX218" i="3"/>
  <c r="CX222" i="3"/>
  <c r="CX211" i="3"/>
  <c r="CX215" i="3"/>
  <c r="CX219" i="3"/>
  <c r="I69" i="1"/>
  <c r="W69" i="1" s="1"/>
  <c r="T66" i="1"/>
  <c r="AB66" i="1"/>
  <c r="U65" i="1"/>
  <c r="AD62" i="1"/>
  <c r="CR62" i="1" s="1"/>
  <c r="Q62" i="1" s="1"/>
  <c r="CP62" i="1" s="1"/>
  <c r="O62" i="1" s="1"/>
  <c r="U61" i="1"/>
  <c r="Y213" i="6" s="1"/>
  <c r="Q61" i="1"/>
  <c r="W213" i="6" s="1"/>
  <c r="AB54" i="1"/>
  <c r="CX200" i="3"/>
  <c r="CX204" i="3"/>
  <c r="CX208" i="3"/>
  <c r="CX201" i="3"/>
  <c r="CX205" i="3"/>
  <c r="CX209" i="3"/>
  <c r="CX202" i="3"/>
  <c r="CX206" i="3"/>
  <c r="CX210" i="3"/>
  <c r="CX199" i="3"/>
  <c r="CX203" i="3"/>
  <c r="CX207" i="3"/>
  <c r="CX156" i="3"/>
  <c r="CX160" i="3"/>
  <c r="CX164" i="3"/>
  <c r="CX168" i="3"/>
  <c r="CX157" i="3"/>
  <c r="CX161" i="3"/>
  <c r="CX165" i="3"/>
  <c r="CX169" i="3"/>
  <c r="CX158" i="3"/>
  <c r="CX162" i="3"/>
  <c r="CX166" i="3"/>
  <c r="CX155" i="3"/>
  <c r="CX159" i="3"/>
  <c r="CX163" i="3"/>
  <c r="CX167" i="3"/>
  <c r="CX124" i="3"/>
  <c r="CX128" i="3"/>
  <c r="CX121" i="3"/>
  <c r="CX125" i="3"/>
  <c r="CX122" i="3"/>
  <c r="CX126" i="3"/>
  <c r="CX123" i="3"/>
  <c r="CX127" i="3"/>
  <c r="T50" i="1"/>
  <c r="AB50" i="1"/>
  <c r="W49" i="1"/>
  <c r="T46" i="1"/>
  <c r="AB46" i="1"/>
  <c r="W45" i="1"/>
  <c r="S45" i="1"/>
  <c r="T38" i="1"/>
  <c r="AB38" i="1"/>
  <c r="W37" i="1"/>
  <c r="S37" i="1"/>
  <c r="CZ37" i="1" s="1"/>
  <c r="Y37" i="1" s="1"/>
  <c r="T34" i="1"/>
  <c r="W33" i="1"/>
  <c r="S33" i="1"/>
  <c r="AD32" i="1"/>
  <c r="CR32" i="1"/>
  <c r="Q32" i="1"/>
  <c r="CZ30" i="1"/>
  <c r="Y30" i="1"/>
  <c r="CY30" i="1"/>
  <c r="X30" i="1"/>
  <c r="CX116" i="3"/>
  <c r="CX120" i="3"/>
  <c r="CX113" i="3"/>
  <c r="CX117" i="3"/>
  <c r="CX114" i="3"/>
  <c r="CX118" i="3"/>
  <c r="CX115" i="3"/>
  <c r="CX119" i="3"/>
  <c r="CX108" i="3"/>
  <c r="CX112" i="3"/>
  <c r="CX105" i="3"/>
  <c r="CX109" i="3"/>
  <c r="CX106" i="3"/>
  <c r="CX110" i="3"/>
  <c r="CX107" i="3"/>
  <c r="CX111" i="3"/>
  <c r="CZ47" i="1"/>
  <c r="Y47" i="1"/>
  <c r="CX100" i="3"/>
  <c r="CX104" i="3"/>
  <c r="CX101" i="3"/>
  <c r="CX102" i="3"/>
  <c r="CX99" i="3"/>
  <c r="CX103" i="3"/>
  <c r="CX96" i="3"/>
  <c r="CX93" i="3"/>
  <c r="CX97" i="3"/>
  <c r="CX94" i="3"/>
  <c r="CX98" i="3"/>
  <c r="CX95" i="3"/>
  <c r="CZ43" i="1"/>
  <c r="Y43" i="1"/>
  <c r="CZ39" i="1"/>
  <c r="Y39" i="1"/>
  <c r="CX28" i="3"/>
  <c r="CX29" i="3"/>
  <c r="CX30" i="3"/>
  <c r="CX25" i="3"/>
  <c r="CX26" i="3"/>
  <c r="CX27" i="3"/>
  <c r="CX24" i="3"/>
  <c r="CX23" i="3"/>
  <c r="CZ35" i="1"/>
  <c r="Y35" i="1" s="1"/>
  <c r="CX20" i="3"/>
  <c r="CX19" i="3"/>
  <c r="CX17" i="3"/>
  <c r="CX18" i="3"/>
  <c r="AB32" i="1"/>
  <c r="CY31" i="1"/>
  <c r="X31" i="1" s="1"/>
  <c r="CZ31" i="1"/>
  <c r="Y31" i="1"/>
  <c r="CR30" i="1"/>
  <c r="Q30" i="1"/>
  <c r="AB30" i="1"/>
  <c r="CY28" i="1"/>
  <c r="X28" i="1" s="1"/>
  <c r="CZ28" i="1"/>
  <c r="Y28" i="1"/>
  <c r="CP28" i="1"/>
  <c r="O28" i="1" s="1"/>
  <c r="P50" i="1"/>
  <c r="AB44" i="1"/>
  <c r="AB36" i="1"/>
  <c r="CX21" i="3"/>
  <c r="CX22" i="3"/>
  <c r="CX4" i="3"/>
  <c r="CX1" i="3"/>
  <c r="CX2" i="3"/>
  <c r="CX3" i="3"/>
  <c r="AB28" i="1"/>
  <c r="CX12" i="3"/>
  <c r="CX13" i="3"/>
  <c r="CX14" i="3"/>
  <c r="CX9" i="3"/>
  <c r="CX10" i="3"/>
  <c r="CX11" i="3"/>
  <c r="CX8" i="3"/>
  <c r="CX5" i="3"/>
  <c r="CX6" i="3"/>
  <c r="CX7" i="3"/>
  <c r="AP113" i="1"/>
  <c r="BY26" i="1"/>
  <c r="V87" i="1"/>
  <c r="Z290" i="6"/>
  <c r="E189" i="5"/>
  <c r="U189" i="5"/>
  <c r="S189" i="5"/>
  <c r="S87" i="1"/>
  <c r="V290" i="6" s="1"/>
  <c r="U87" i="1"/>
  <c r="Y290" i="6"/>
  <c r="AB274" i="6"/>
  <c r="V182" i="5"/>
  <c r="H287" i="6"/>
  <c r="CP30" i="1"/>
  <c r="O30" i="1"/>
  <c r="CY37" i="1"/>
  <c r="X37" i="1"/>
  <c r="GX60" i="1"/>
  <c r="GX79" i="1"/>
  <c r="T69" i="1"/>
  <c r="CP53" i="1"/>
  <c r="O53" i="1" s="1"/>
  <c r="V60" i="1"/>
  <c r="S60" i="1"/>
  <c r="CZ81" i="1"/>
  <c r="Y81" i="1"/>
  <c r="CY81" i="1"/>
  <c r="X81" i="1"/>
  <c r="T87" i="1"/>
  <c r="W87" i="1"/>
  <c r="GX87" i="1"/>
  <c r="AB95" i="1"/>
  <c r="G321" i="6" s="1"/>
  <c r="Q60" i="1"/>
  <c r="U83" i="1"/>
  <c r="Y272" i="6" s="1"/>
  <c r="U68" i="1"/>
  <c r="R87" i="1"/>
  <c r="U91" i="1"/>
  <c r="Y308" i="6" s="1"/>
  <c r="S91" i="1"/>
  <c r="V308" i="6" s="1"/>
  <c r="CZ92" i="1"/>
  <c r="Y92" i="1"/>
  <c r="CY92" i="1"/>
  <c r="X92" i="1" s="1"/>
  <c r="P83" i="1"/>
  <c r="U272" i="6" s="1"/>
  <c r="AB99" i="1"/>
  <c r="G339" i="6" s="1"/>
  <c r="GA26" i="1"/>
  <c r="ER113" i="1"/>
  <c r="V91" i="1"/>
  <c r="Z308" i="6" s="1"/>
  <c r="AB101" i="1"/>
  <c r="G341" i="6" s="1"/>
  <c r="AT26" i="1"/>
  <c r="F131" i="1"/>
  <c r="AQ26" i="1"/>
  <c r="F123" i="1"/>
  <c r="R79" i="1"/>
  <c r="X268" i="6" s="1"/>
  <c r="GK79" i="1"/>
  <c r="GK95" i="1"/>
  <c r="CZ95" i="1"/>
  <c r="Y95" i="1"/>
  <c r="CP102" i="1"/>
  <c r="O102" i="1" s="1"/>
  <c r="T171" i="1"/>
  <c r="GX171" i="1"/>
  <c r="CJ178" i="1" s="1"/>
  <c r="BA178" i="1" s="1"/>
  <c r="V171" i="1"/>
  <c r="EL26" i="1"/>
  <c r="P131" i="1"/>
  <c r="EL210" i="1"/>
  <c r="AU147" i="1"/>
  <c r="F197" i="1"/>
  <c r="AB156" i="1"/>
  <c r="G415" i="6" s="1"/>
  <c r="CI26" i="1"/>
  <c r="AZ113" i="1"/>
  <c r="Q171" i="1"/>
  <c r="R68" i="1"/>
  <c r="GK68" i="1"/>
  <c r="CY55" i="1"/>
  <c r="X55" i="1"/>
  <c r="CZ55" i="1"/>
  <c r="Y55" i="1"/>
  <c r="AB62" i="1"/>
  <c r="GX68" i="1"/>
  <c r="GM56" i="1"/>
  <c r="GN56" i="1"/>
  <c r="U79" i="1"/>
  <c r="Y268" i="6" s="1"/>
  <c r="S83" i="1"/>
  <c r="V272" i="6" s="1"/>
  <c r="W83" i="1"/>
  <c r="AB84" i="1"/>
  <c r="CR84" i="1"/>
  <c r="Q84" i="1"/>
  <c r="CP84" i="1"/>
  <c r="O84" i="1"/>
  <c r="GX83" i="1"/>
  <c r="CZ109" i="1"/>
  <c r="Y109" i="1" s="1"/>
  <c r="GK109" i="1"/>
  <c r="AU26" i="1"/>
  <c r="F132" i="1"/>
  <c r="AU210" i="1"/>
  <c r="V79" i="1"/>
  <c r="Z268" i="6" s="1"/>
  <c r="BB26" i="1"/>
  <c r="F126" i="1"/>
  <c r="T83" i="1"/>
  <c r="CZ103" i="1"/>
  <c r="Y103" i="1"/>
  <c r="T167" i="1"/>
  <c r="GX167" i="1"/>
  <c r="V167" i="1"/>
  <c r="S167" i="1"/>
  <c r="U60" i="1"/>
  <c r="AH113" i="1" s="1"/>
  <c r="W60" i="1"/>
  <c r="V68" i="1"/>
  <c r="GM38" i="1"/>
  <c r="GN38" i="1"/>
  <c r="S79" i="1"/>
  <c r="V268" i="6" s="1"/>
  <c r="CZ98" i="1"/>
  <c r="Y98" i="1"/>
  <c r="CY98" i="1"/>
  <c r="X98" i="1" s="1"/>
  <c r="CZ86" i="1"/>
  <c r="Y86" i="1"/>
  <c r="CY86" i="1"/>
  <c r="X86" i="1"/>
  <c r="GN86" i="1" s="1"/>
  <c r="GK84" i="1"/>
  <c r="CY84" i="1"/>
  <c r="X84" i="1"/>
  <c r="CZ84" i="1"/>
  <c r="Y84" i="1" s="1"/>
  <c r="GN84" i="1" s="1"/>
  <c r="EM26" i="1"/>
  <c r="P132" i="1"/>
  <c r="EM210" i="1"/>
  <c r="R83" i="1"/>
  <c r="X272" i="6" s="1"/>
  <c r="CP86" i="1"/>
  <c r="O86" i="1"/>
  <c r="EU26" i="1"/>
  <c r="P129" i="1"/>
  <c r="EU210" i="1"/>
  <c r="GN80" i="1"/>
  <c r="GM80" i="1"/>
  <c r="CG26" i="1"/>
  <c r="AX113" i="1"/>
  <c r="CY103" i="1"/>
  <c r="X103" i="1"/>
  <c r="T163" i="1"/>
  <c r="AG178" i="1"/>
  <c r="AG147" i="1" s="1"/>
  <c r="GX163" i="1"/>
  <c r="V163" i="1"/>
  <c r="AI178" i="1"/>
  <c r="EM147" i="1"/>
  <c r="P197" i="1"/>
  <c r="EI147" i="1"/>
  <c r="P188" i="1"/>
  <c r="GN110" i="1"/>
  <c r="ET147" i="1"/>
  <c r="P191" i="1"/>
  <c r="Q163" i="1"/>
  <c r="BC147" i="1"/>
  <c r="F194" i="1"/>
  <c r="S163" i="1"/>
  <c r="CZ163" i="1" s="1"/>
  <c r="Y163" i="1" s="1"/>
  <c r="W163" i="1"/>
  <c r="P163" i="1"/>
  <c r="P167" i="1"/>
  <c r="CP171" i="1"/>
  <c r="O171" i="1"/>
  <c r="EL147" i="1"/>
  <c r="P196" i="1"/>
  <c r="CP50" i="1"/>
  <c r="O50" i="1"/>
  <c r="W68" i="1"/>
  <c r="S68" i="1"/>
  <c r="CY45" i="1"/>
  <c r="X45" i="1"/>
  <c r="CZ45" i="1"/>
  <c r="Y45" i="1"/>
  <c r="P60" i="1"/>
  <c r="CP60" i="1" s="1"/>
  <c r="O60" i="1" s="1"/>
  <c r="P68" i="1"/>
  <c r="AB82" i="1"/>
  <c r="CR82" i="1"/>
  <c r="Q82" i="1" s="1"/>
  <c r="CP82" i="1" s="1"/>
  <c r="O82" i="1" s="1"/>
  <c r="W79" i="1"/>
  <c r="CZ108" i="1"/>
  <c r="Y108" i="1" s="1"/>
  <c r="GN108" i="1" s="1"/>
  <c r="CY108" i="1"/>
  <c r="X108" i="1"/>
  <c r="AO26" i="1"/>
  <c r="F117" i="1"/>
  <c r="AO210" i="1"/>
  <c r="EI26" i="1"/>
  <c r="P123" i="1"/>
  <c r="EI210" i="1"/>
  <c r="BC26" i="1"/>
  <c r="F129" i="1"/>
  <c r="BC210" i="1"/>
  <c r="EU147" i="1"/>
  <c r="P194" i="1"/>
  <c r="AP26" i="1"/>
  <c r="F122" i="1"/>
  <c r="GK156" i="1"/>
  <c r="CZ156" i="1"/>
  <c r="Y156" i="1"/>
  <c r="U163" i="1"/>
  <c r="CZ171" i="1"/>
  <c r="Y171" i="1"/>
  <c r="CY171" i="1"/>
  <c r="X171" i="1"/>
  <c r="W167" i="1"/>
  <c r="R163" i="1"/>
  <c r="R167" i="1"/>
  <c r="GK167" i="1"/>
  <c r="GK87" i="1"/>
  <c r="X290" i="6"/>
  <c r="GN50" i="1"/>
  <c r="EI22" i="1"/>
  <c r="P220" i="1"/>
  <c r="EI242" i="1"/>
  <c r="P252" i="1" s="1"/>
  <c r="CY163" i="1"/>
  <c r="X163" i="1"/>
  <c r="GK163" i="1"/>
  <c r="GM86" i="1"/>
  <c r="EM22" i="1"/>
  <c r="EM242" i="1"/>
  <c r="P229" i="1"/>
  <c r="AU22" i="1"/>
  <c r="F229" i="1"/>
  <c r="AU242" i="1"/>
  <c r="CZ87" i="1"/>
  <c r="Y87" i="1"/>
  <c r="V189" i="5" s="1"/>
  <c r="K187" i="5" s="1"/>
  <c r="CZ83" i="1"/>
  <c r="Y83" i="1" s="1"/>
  <c r="AZ26" i="1"/>
  <c r="F124" i="1"/>
  <c r="EL22" i="1"/>
  <c r="P228" i="1"/>
  <c r="U16" i="2"/>
  <c r="U18" i="2" s="1"/>
  <c r="EL242" i="1"/>
  <c r="CP163" i="1"/>
  <c r="O163" i="1" s="1"/>
  <c r="AC178" i="1"/>
  <c r="AI147" i="1"/>
  <c r="V178" i="1"/>
  <c r="ER26" i="1"/>
  <c r="P124" i="1"/>
  <c r="GM30" i="1"/>
  <c r="GN30" i="1"/>
  <c r="AJ178" i="1"/>
  <c r="AJ147" i="1" s="1"/>
  <c r="CJ147" i="1"/>
  <c r="CZ167" i="1"/>
  <c r="Y167" i="1"/>
  <c r="CY167" i="1"/>
  <c r="X167" i="1" s="1"/>
  <c r="GM84" i="1"/>
  <c r="BC22" i="1"/>
  <c r="F226" i="1"/>
  <c r="BC242" i="1"/>
  <c r="AO22" i="1"/>
  <c r="AO242" i="1"/>
  <c r="F246" i="1" s="1"/>
  <c r="F214" i="1"/>
  <c r="GM171" i="1"/>
  <c r="AX26" i="1"/>
  <c r="F120" i="1"/>
  <c r="EU22" i="1"/>
  <c r="P226" i="1"/>
  <c r="EU242" i="1"/>
  <c r="GN98" i="1"/>
  <c r="CZ79" i="1"/>
  <c r="Y79" i="1"/>
  <c r="CY79" i="1"/>
  <c r="X79" i="1"/>
  <c r="AB290" i="6"/>
  <c r="EU18" i="1"/>
  <c r="P258" i="1"/>
  <c r="V147" i="1"/>
  <c r="F201" i="1"/>
  <c r="AU18" i="1"/>
  <c r="F261" i="1"/>
  <c r="EI18" i="1"/>
  <c r="BC18" i="1"/>
  <c r="F258" i="1"/>
  <c r="BA147" i="1"/>
  <c r="F198" i="1"/>
  <c r="EL18" i="1"/>
  <c r="P260" i="1"/>
  <c r="I16" i="5"/>
  <c r="EM18" i="1"/>
  <c r="P261" i="1"/>
  <c r="AO18" i="1"/>
  <c r="W178" i="1"/>
  <c r="AC147" i="1"/>
  <c r="CE178" i="1"/>
  <c r="CE147" i="1" s="1"/>
  <c r="P178" i="1"/>
  <c r="CF178" i="1"/>
  <c r="CF147" i="1"/>
  <c r="AW178" i="1"/>
  <c r="F184" i="1" s="1"/>
  <c r="P147" i="1"/>
  <c r="F181" i="1"/>
  <c r="W147" i="1"/>
  <c r="F202" i="1"/>
  <c r="AW147" i="1"/>
  <c r="GM163" i="1" l="1"/>
  <c r="GN163" i="1"/>
  <c r="AB272" i="6"/>
  <c r="V180" i="5"/>
  <c r="AB415" i="6"/>
  <c r="H422" i="6"/>
  <c r="V278" i="5"/>
  <c r="K284" i="5" s="1"/>
  <c r="GM108" i="1"/>
  <c r="CZ68" i="1"/>
  <c r="Y68" i="1" s="1"/>
  <c r="CY68" i="1"/>
  <c r="X68" i="1" s="1"/>
  <c r="GN171" i="1"/>
  <c r="AB375" i="6"/>
  <c r="V243" i="5"/>
  <c r="GM28" i="1"/>
  <c r="GN28" i="1"/>
  <c r="AB85" i="6"/>
  <c r="H92" i="6"/>
  <c r="V61" i="5"/>
  <c r="K66" i="5" s="1"/>
  <c r="W262" i="6"/>
  <c r="CP73" i="1"/>
  <c r="O73" i="1" s="1"/>
  <c r="U290" i="6"/>
  <c r="GN92" i="1"/>
  <c r="GM92" i="1"/>
  <c r="T270" i="6"/>
  <c r="H270" i="6"/>
  <c r="K179" i="5"/>
  <c r="H337" i="6"/>
  <c r="K221" i="5"/>
  <c r="X373" i="6"/>
  <c r="CY107" i="1"/>
  <c r="X107" i="1" s="1"/>
  <c r="GK107" i="1"/>
  <c r="CZ107" i="1"/>
  <c r="Y107" i="1" s="1"/>
  <c r="U113" i="1"/>
  <c r="AH26" i="1"/>
  <c r="H62" i="6"/>
  <c r="AA56" i="6"/>
  <c r="T37" i="5"/>
  <c r="K42" i="5" s="1"/>
  <c r="H179" i="6"/>
  <c r="AB166" i="6"/>
  <c r="V112" i="5"/>
  <c r="GK78" i="1"/>
  <c r="CY78" i="1"/>
  <c r="X78" i="1" s="1"/>
  <c r="CZ78" i="1"/>
  <c r="Y78" i="1" s="1"/>
  <c r="K185" i="5"/>
  <c r="U274" i="6"/>
  <c r="CP85" i="1"/>
  <c r="O85" i="1" s="1"/>
  <c r="X341" i="6"/>
  <c r="K227" i="5"/>
  <c r="CY101" i="1"/>
  <c r="X101" i="1" s="1"/>
  <c r="GK101" i="1"/>
  <c r="CZ101" i="1"/>
  <c r="Y101" i="1" s="1"/>
  <c r="AA274" i="6"/>
  <c r="T182" i="5"/>
  <c r="H285" i="6"/>
  <c r="H489" i="6"/>
  <c r="AA478" i="6"/>
  <c r="T320" i="5"/>
  <c r="AH147" i="1"/>
  <c r="U178" i="1"/>
  <c r="DZ147" i="1"/>
  <c r="DM178" i="1"/>
  <c r="AV178" i="1"/>
  <c r="GM46" i="1"/>
  <c r="GN46" i="1"/>
  <c r="GN64" i="1"/>
  <c r="GM64" i="1"/>
  <c r="GK82" i="1"/>
  <c r="CY82" i="1"/>
  <c r="X82" i="1" s="1"/>
  <c r="GM82" i="1" s="1"/>
  <c r="CZ82" i="1"/>
  <c r="Y82" i="1" s="1"/>
  <c r="AA266" i="6"/>
  <c r="T177" i="5"/>
  <c r="GM98" i="1"/>
  <c r="U356" i="6"/>
  <c r="CP103" i="1"/>
  <c r="O103" i="1" s="1"/>
  <c r="AA377" i="6"/>
  <c r="T244" i="5"/>
  <c r="AB458" i="6"/>
  <c r="V307" i="5"/>
  <c r="H471" i="6"/>
  <c r="AA460" i="6"/>
  <c r="T309" i="5"/>
  <c r="AB268" i="6"/>
  <c r="V178" i="5"/>
  <c r="T182" i="6"/>
  <c r="H182" i="6"/>
  <c r="K121" i="5"/>
  <c r="H82" i="6"/>
  <c r="AB74" i="6"/>
  <c r="V53" i="5"/>
  <c r="K58" i="5" s="1"/>
  <c r="H116" i="6"/>
  <c r="AA105" i="6"/>
  <c r="T78" i="5"/>
  <c r="K82" i="5" s="1"/>
  <c r="GN76" i="1"/>
  <c r="GM76" i="1"/>
  <c r="GM70" i="1"/>
  <c r="GN70" i="1"/>
  <c r="GM78" i="1"/>
  <c r="GN78" i="1"/>
  <c r="H307" i="6"/>
  <c r="T292" i="6"/>
  <c r="H292" i="6"/>
  <c r="GN89" i="1"/>
  <c r="GM89" i="1"/>
  <c r="W375" i="6"/>
  <c r="CP109" i="1"/>
  <c r="O109" i="1" s="1"/>
  <c r="W242" i="6"/>
  <c r="CP67" i="1"/>
  <c r="O67" i="1" s="1"/>
  <c r="H332" i="6"/>
  <c r="AA321" i="6"/>
  <c r="T212" i="5"/>
  <c r="AF178" i="1"/>
  <c r="GK83" i="1"/>
  <c r="CY87" i="1"/>
  <c r="X87" i="1" s="1"/>
  <c r="R69" i="1"/>
  <c r="GX69" i="1"/>
  <c r="GM40" i="1"/>
  <c r="F290" i="6"/>
  <c r="CP32" i="1"/>
  <c r="O32" i="1" s="1"/>
  <c r="V215" i="6"/>
  <c r="K147" i="5"/>
  <c r="GK74" i="1"/>
  <c r="F272" i="6"/>
  <c r="E180" i="5"/>
  <c r="CP61" i="1"/>
  <c r="O61" i="1" s="1"/>
  <c r="GX91" i="1"/>
  <c r="AB109" i="1"/>
  <c r="G375" i="6" s="1"/>
  <c r="CR101" i="1"/>
  <c r="Q101" i="1" s="1"/>
  <c r="CR95" i="1"/>
  <c r="Q95" i="1" s="1"/>
  <c r="CR107" i="1"/>
  <c r="Q107" i="1" s="1"/>
  <c r="W373" i="6" s="1"/>
  <c r="FV147" i="1"/>
  <c r="FR147" i="1"/>
  <c r="H421" i="6"/>
  <c r="AA415" i="6"/>
  <c r="T278" i="5"/>
  <c r="K283" i="5" s="1"/>
  <c r="X415" i="6"/>
  <c r="K282" i="5"/>
  <c r="Z478" i="6"/>
  <c r="EA178" i="1"/>
  <c r="CZ169" i="1"/>
  <c r="Y169" i="1" s="1"/>
  <c r="CY169" i="1"/>
  <c r="X169" i="1" s="1"/>
  <c r="CP169" i="1"/>
  <c r="O169" i="1" s="1"/>
  <c r="CC147" i="1"/>
  <c r="AT178" i="1"/>
  <c r="Y442" i="6"/>
  <c r="L308" i="5"/>
  <c r="Q308" i="5" s="1"/>
  <c r="L306" i="5"/>
  <c r="V415" i="6"/>
  <c r="K280" i="5"/>
  <c r="DY178" i="1"/>
  <c r="Y397" i="6"/>
  <c r="L267" i="5"/>
  <c r="L268" i="5"/>
  <c r="Q268" i="5" s="1"/>
  <c r="P117" i="1"/>
  <c r="EG26" i="1"/>
  <c r="W358" i="6"/>
  <c r="K236" i="5"/>
  <c r="CZ104" i="1"/>
  <c r="Y104" i="1" s="1"/>
  <c r="GK104" i="1"/>
  <c r="CY104" i="1"/>
  <c r="X104" i="1" s="1"/>
  <c r="CZ90" i="1"/>
  <c r="Y90" i="1" s="1"/>
  <c r="CY88" i="1"/>
  <c r="X88" i="1" s="1"/>
  <c r="CY72" i="1"/>
  <c r="X72" i="1" s="1"/>
  <c r="CZ72" i="1"/>
  <c r="Y72" i="1" s="1"/>
  <c r="AA270" i="6"/>
  <c r="T179" i="5"/>
  <c r="H91" i="6"/>
  <c r="AA85" i="6"/>
  <c r="T61" i="5"/>
  <c r="K65" i="5" s="1"/>
  <c r="H161" i="6"/>
  <c r="AB148" i="6"/>
  <c r="V101" i="5"/>
  <c r="Y226" i="6"/>
  <c r="L165" i="5"/>
  <c r="Q165" i="5" s="1"/>
  <c r="L162" i="5"/>
  <c r="F244" i="6"/>
  <c r="E164" i="5"/>
  <c r="V184" i="6"/>
  <c r="K125" i="5"/>
  <c r="AA182" i="6"/>
  <c r="T121" i="5"/>
  <c r="AA262" i="6"/>
  <c r="T175" i="5"/>
  <c r="F308" i="6"/>
  <c r="E200" i="5"/>
  <c r="H358" i="6"/>
  <c r="CZ74" i="1"/>
  <c r="Y74" i="1" s="1"/>
  <c r="GM74" i="1" s="1"/>
  <c r="H305" i="6"/>
  <c r="AB292" i="6"/>
  <c r="V191" i="5"/>
  <c r="W91" i="1"/>
  <c r="H476" i="6"/>
  <c r="K318" i="5"/>
  <c r="W388" i="6"/>
  <c r="K253" i="5"/>
  <c r="H435" i="6"/>
  <c r="AA424" i="6"/>
  <c r="T287" i="5"/>
  <c r="G498" i="6"/>
  <c r="H331" i="5"/>
  <c r="CP176" i="1"/>
  <c r="U327" i="5"/>
  <c r="S327" i="5"/>
  <c r="CT172" i="1"/>
  <c r="S172" i="1" s="1"/>
  <c r="GA178" i="1"/>
  <c r="EH178" i="1"/>
  <c r="V478" i="6"/>
  <c r="K322" i="5"/>
  <c r="CZ170" i="1"/>
  <c r="Y170" i="1" s="1"/>
  <c r="Y478" i="6"/>
  <c r="L328" i="5"/>
  <c r="Q328" i="5" s="1"/>
  <c r="L326" i="5"/>
  <c r="V458" i="6"/>
  <c r="CY164" i="1"/>
  <c r="X164" i="1" s="1"/>
  <c r="BZ178" i="1"/>
  <c r="V424" i="6"/>
  <c r="K289" i="5"/>
  <c r="CZ158" i="1"/>
  <c r="Y158" i="1" s="1"/>
  <c r="X424" i="6"/>
  <c r="K291" i="5"/>
  <c r="GK158" i="1"/>
  <c r="CY157" i="1"/>
  <c r="X157" i="1" s="1"/>
  <c r="CZ157" i="1"/>
  <c r="Y157" i="1" s="1"/>
  <c r="CY155" i="1"/>
  <c r="X155" i="1" s="1"/>
  <c r="CZ155" i="1"/>
  <c r="Y155" i="1" s="1"/>
  <c r="Y406" i="6"/>
  <c r="L277" i="5"/>
  <c r="Q277" i="5" s="1"/>
  <c r="L276" i="5"/>
  <c r="GK153" i="1"/>
  <c r="CZ153" i="1"/>
  <c r="Y153" i="1" s="1"/>
  <c r="V397" i="6"/>
  <c r="K262" i="5"/>
  <c r="CZ152" i="1"/>
  <c r="Y152" i="1" s="1"/>
  <c r="CY152" i="1"/>
  <c r="X152" i="1" s="1"/>
  <c r="GK149" i="1"/>
  <c r="CY149" i="1"/>
  <c r="X149" i="1" s="1"/>
  <c r="Y321" i="6"/>
  <c r="L220" i="5"/>
  <c r="L223" i="5"/>
  <c r="Q223" i="5" s="1"/>
  <c r="F337" i="6"/>
  <c r="E221" i="5"/>
  <c r="V97" i="1"/>
  <c r="Z337" i="6" s="1"/>
  <c r="R97" i="1"/>
  <c r="W97" i="1"/>
  <c r="Y310" i="6"/>
  <c r="L211" i="5"/>
  <c r="Q211" i="5" s="1"/>
  <c r="L210" i="5"/>
  <c r="X270" i="6"/>
  <c r="GK81" i="1"/>
  <c r="GN81" i="1" s="1"/>
  <c r="Y246" i="6"/>
  <c r="L174" i="5"/>
  <c r="L181" i="5"/>
  <c r="Q181" i="5" s="1"/>
  <c r="T178" i="1"/>
  <c r="H143" i="6"/>
  <c r="AA137" i="6"/>
  <c r="T94" i="5"/>
  <c r="K97" i="5" s="1"/>
  <c r="AA356" i="6"/>
  <c r="T232" i="5"/>
  <c r="AB356" i="6"/>
  <c r="V232" i="5"/>
  <c r="AA184" i="6"/>
  <c r="H190" i="6"/>
  <c r="T123" i="5"/>
  <c r="K129" i="5" s="1"/>
  <c r="AB56" i="6"/>
  <c r="H63" i="6"/>
  <c r="V37" i="5"/>
  <c r="K43" i="5" s="1"/>
  <c r="H134" i="6"/>
  <c r="AB121" i="6"/>
  <c r="V86" i="5"/>
  <c r="K91" i="5" s="1"/>
  <c r="V65" i="6"/>
  <c r="K48" i="5"/>
  <c r="V85" i="6"/>
  <c r="K63" i="5"/>
  <c r="V137" i="6"/>
  <c r="K96" i="5"/>
  <c r="CP45" i="1"/>
  <c r="O45" i="1" s="1"/>
  <c r="H118" i="6"/>
  <c r="AB105" i="6"/>
  <c r="V78" i="5"/>
  <c r="K83" i="5" s="1"/>
  <c r="AB213" i="6"/>
  <c r="V143" i="5"/>
  <c r="H208" i="6"/>
  <c r="AB195" i="6"/>
  <c r="V133" i="5"/>
  <c r="Q69" i="1"/>
  <c r="W244" i="6" s="1"/>
  <c r="F268" i="6"/>
  <c r="E178" i="5"/>
  <c r="H266" i="6"/>
  <c r="T266" i="6"/>
  <c r="K177" i="5"/>
  <c r="U310" i="6"/>
  <c r="K207" i="5"/>
  <c r="S69" i="1"/>
  <c r="W292" i="6"/>
  <c r="K194" i="5"/>
  <c r="P91" i="1"/>
  <c r="Q91" i="1"/>
  <c r="W308" i="6" s="1"/>
  <c r="R91" i="1"/>
  <c r="P69" i="1"/>
  <c r="AB266" i="6"/>
  <c r="V177" i="5"/>
  <c r="X321" i="6"/>
  <c r="K216" i="5"/>
  <c r="H368" i="6"/>
  <c r="AA358" i="6"/>
  <c r="T234" i="5"/>
  <c r="U415" i="6"/>
  <c r="CP156" i="1"/>
  <c r="O156" i="1" s="1"/>
  <c r="H281" i="5"/>
  <c r="CR156" i="1"/>
  <c r="Q156" i="1" s="1"/>
  <c r="BB178" i="1"/>
  <c r="AB440" i="6"/>
  <c r="V296" i="5"/>
  <c r="AP178" i="1"/>
  <c r="CI178" i="1"/>
  <c r="AB496" i="6"/>
  <c r="V329" i="5"/>
  <c r="Y496" i="6"/>
  <c r="L330" i="5"/>
  <c r="Q330" i="5" s="1"/>
  <c r="AB172" i="1"/>
  <c r="G494" i="6" s="1"/>
  <c r="CR172" i="1"/>
  <c r="Q172" i="1" s="1"/>
  <c r="U478" i="6"/>
  <c r="K323" i="5"/>
  <c r="CP170" i="1"/>
  <c r="O170" i="1" s="1"/>
  <c r="V460" i="6"/>
  <c r="K311" i="5"/>
  <c r="CZ166" i="1"/>
  <c r="Y166" i="1" s="1"/>
  <c r="X460" i="6"/>
  <c r="K313" i="5"/>
  <c r="GK166" i="1"/>
  <c r="CY165" i="1"/>
  <c r="X165" i="1" s="1"/>
  <c r="CZ165" i="1"/>
  <c r="Y165" i="1" s="1"/>
  <c r="V440" i="6"/>
  <c r="CY160" i="1"/>
  <c r="X160" i="1" s="1"/>
  <c r="CP159" i="1"/>
  <c r="O159" i="1" s="1"/>
  <c r="Y424" i="6"/>
  <c r="L297" i="5"/>
  <c r="Q297" i="5" s="1"/>
  <c r="L295" i="5"/>
  <c r="V406" i="6"/>
  <c r="K271" i="5"/>
  <c r="U406" i="6"/>
  <c r="GB178" i="1"/>
  <c r="V388" i="6"/>
  <c r="K252" i="5"/>
  <c r="DX178" i="1"/>
  <c r="W377" i="6"/>
  <c r="CP111" i="1"/>
  <c r="O111" i="1" s="1"/>
  <c r="V358" i="6"/>
  <c r="K235" i="5"/>
  <c r="CZ105" i="1"/>
  <c r="Y105" i="1" s="1"/>
  <c r="T358" i="6" s="1"/>
  <c r="CP104" i="1"/>
  <c r="O104" i="1" s="1"/>
  <c r="Y341" i="6"/>
  <c r="L231" i="5"/>
  <c r="L233" i="5"/>
  <c r="Q233" i="5" s="1"/>
  <c r="U292" i="6"/>
  <c r="K196" i="5"/>
  <c r="K184" i="5"/>
  <c r="V274" i="6"/>
  <c r="X266" i="6"/>
  <c r="GK77" i="1"/>
  <c r="GM77" i="1" s="1"/>
  <c r="X262" i="6"/>
  <c r="GK73" i="1"/>
  <c r="AA268" i="6"/>
  <c r="T178" i="5"/>
  <c r="CY83" i="1"/>
  <c r="X83" i="1" s="1"/>
  <c r="AB137" i="6"/>
  <c r="H145" i="6"/>
  <c r="V94" i="5"/>
  <c r="K98" i="5" s="1"/>
  <c r="H192" i="6"/>
  <c r="AB184" i="6"/>
  <c r="V123" i="5"/>
  <c r="K130" i="5" s="1"/>
  <c r="H334" i="6"/>
  <c r="AB321" i="6"/>
  <c r="V212" i="5"/>
  <c r="AB270" i="6"/>
  <c r="V179" i="5"/>
  <c r="V69" i="1"/>
  <c r="H102" i="6"/>
  <c r="AB94" i="6"/>
  <c r="V69" i="5"/>
  <c r="K75" i="5" s="1"/>
  <c r="H239" i="6"/>
  <c r="AB226" i="6"/>
  <c r="V155" i="5"/>
  <c r="U69" i="1"/>
  <c r="H257" i="6"/>
  <c r="AA246" i="6"/>
  <c r="T166" i="5"/>
  <c r="AB182" i="6"/>
  <c r="V121" i="5"/>
  <c r="AB262" i="6"/>
  <c r="V175" i="5"/>
  <c r="W246" i="6"/>
  <c r="K169" i="5"/>
  <c r="U358" i="6"/>
  <c r="K238" i="5"/>
  <c r="CY109" i="1"/>
  <c r="X109" i="1" s="1"/>
  <c r="U341" i="6"/>
  <c r="K228" i="5"/>
  <c r="H259" i="6"/>
  <c r="AB246" i="6"/>
  <c r="V166" i="5"/>
  <c r="H303" i="6"/>
  <c r="AA292" i="6"/>
  <c r="T191" i="5"/>
  <c r="H453" i="6"/>
  <c r="AA442" i="6"/>
  <c r="T298" i="5"/>
  <c r="EG178" i="1"/>
  <c r="FY178" i="1"/>
  <c r="FP147" i="1"/>
  <c r="GK176" i="1"/>
  <c r="CS172" i="1"/>
  <c r="R172" i="1" s="1"/>
  <c r="AB171" i="1"/>
  <c r="V476" i="6"/>
  <c r="CZ168" i="1"/>
  <c r="Y168" i="1" s="1"/>
  <c r="CY168" i="1"/>
  <c r="X168" i="1" s="1"/>
  <c r="Y460" i="6"/>
  <c r="L317" i="5"/>
  <c r="L319" i="5"/>
  <c r="Q319" i="5" s="1"/>
  <c r="V442" i="6"/>
  <c r="K300" i="5"/>
  <c r="CZ162" i="1"/>
  <c r="Y162" i="1" s="1"/>
  <c r="X442" i="6"/>
  <c r="K302" i="5"/>
  <c r="GK162" i="1"/>
  <c r="CY161" i="1"/>
  <c r="X161" i="1" s="1"/>
  <c r="CZ161" i="1"/>
  <c r="Y161" i="1" s="1"/>
  <c r="AB159" i="1"/>
  <c r="W397" i="6"/>
  <c r="K263" i="5"/>
  <c r="CP152" i="1"/>
  <c r="O152" i="1" s="1"/>
  <c r="V377" i="6"/>
  <c r="CZ111" i="1"/>
  <c r="Y111" i="1" s="1"/>
  <c r="CP106" i="1"/>
  <c r="O106" i="1" s="1"/>
  <c r="X358" i="6"/>
  <c r="K237" i="5"/>
  <c r="GK105" i="1"/>
  <c r="V341" i="6"/>
  <c r="K225" i="5"/>
  <c r="V337" i="6"/>
  <c r="CY97" i="1"/>
  <c r="X97" i="1" s="1"/>
  <c r="V292" i="6"/>
  <c r="K193" i="5"/>
  <c r="Y292" i="6"/>
  <c r="L199" i="5"/>
  <c r="L201" i="5"/>
  <c r="Q201" i="5" s="1"/>
  <c r="V246" i="6"/>
  <c r="K168" i="5"/>
  <c r="AA498" i="6"/>
  <c r="T331" i="5"/>
  <c r="H327" i="5"/>
  <c r="W327" i="5" s="1"/>
  <c r="F476" i="6"/>
  <c r="E318" i="5"/>
  <c r="AB167" i="1"/>
  <c r="AD167" i="1"/>
  <c r="CR167" i="1" s="1"/>
  <c r="Q167" i="1" s="1"/>
  <c r="CP167" i="1" s="1"/>
  <c r="O167" i="1" s="1"/>
  <c r="G475" i="6"/>
  <c r="G473" i="6"/>
  <c r="G471" i="6"/>
  <c r="H311" i="5"/>
  <c r="S309" i="5"/>
  <c r="U309" i="5"/>
  <c r="F460" i="6"/>
  <c r="C461" i="6"/>
  <c r="E309" i="5"/>
  <c r="C310" i="5"/>
  <c r="S307" i="5"/>
  <c r="U307" i="5"/>
  <c r="G457" i="6"/>
  <c r="G455" i="6"/>
  <c r="G453" i="6"/>
  <c r="S298" i="5"/>
  <c r="H304" i="5" s="1"/>
  <c r="H300" i="5"/>
  <c r="U298" i="5"/>
  <c r="F442" i="6"/>
  <c r="C443" i="6"/>
  <c r="C299" i="5"/>
  <c r="E298" i="5"/>
  <c r="W160" i="1"/>
  <c r="EB178" i="1" s="1"/>
  <c r="S296" i="5"/>
  <c r="U296" i="5"/>
  <c r="CS159" i="1"/>
  <c r="R159" i="1" s="1"/>
  <c r="CY159" i="1" s="1"/>
  <c r="X159" i="1" s="1"/>
  <c r="G439" i="6"/>
  <c r="G437" i="6"/>
  <c r="G435" i="6"/>
  <c r="U287" i="5"/>
  <c r="H289" i="5"/>
  <c r="S287" i="5"/>
  <c r="H293" i="5" s="1"/>
  <c r="C425" i="6"/>
  <c r="F424" i="6"/>
  <c r="E287" i="5"/>
  <c r="C288" i="5"/>
  <c r="CS154" i="1"/>
  <c r="R154" i="1" s="1"/>
  <c r="C407" i="6"/>
  <c r="F406" i="6"/>
  <c r="E269" i="5"/>
  <c r="C270" i="5"/>
  <c r="AD153" i="1"/>
  <c r="H264" i="5"/>
  <c r="R264" i="5" s="1"/>
  <c r="CS151" i="1"/>
  <c r="R151" i="1" s="1"/>
  <c r="CS150" i="1"/>
  <c r="R150" i="1" s="1"/>
  <c r="C389" i="6"/>
  <c r="F388" i="6"/>
  <c r="C251" i="5"/>
  <c r="E250" i="5"/>
  <c r="AD149" i="1"/>
  <c r="ET113" i="1"/>
  <c r="H244" i="5"/>
  <c r="W244" i="5" s="1"/>
  <c r="S243" i="5"/>
  <c r="U243" i="5"/>
  <c r="H232" i="5"/>
  <c r="W232" i="5" s="1"/>
  <c r="CS102" i="1"/>
  <c r="R102" i="1" s="1"/>
  <c r="I99" i="1"/>
  <c r="AD96" i="1"/>
  <c r="G336" i="6"/>
  <c r="G334" i="6"/>
  <c r="G332" i="6"/>
  <c r="H214" i="5"/>
  <c r="S212" i="5"/>
  <c r="U212" i="5"/>
  <c r="H217" i="5"/>
  <c r="AD94" i="1"/>
  <c r="CS93" i="1"/>
  <c r="R93" i="1" s="1"/>
  <c r="G316" i="6"/>
  <c r="G318" i="6"/>
  <c r="H204" i="5"/>
  <c r="U202" i="5"/>
  <c r="H209" i="5" s="1"/>
  <c r="S202" i="5"/>
  <c r="H208" i="5" s="1"/>
  <c r="U200" i="5"/>
  <c r="S200" i="5"/>
  <c r="X292" i="6"/>
  <c r="K195" i="5"/>
  <c r="AB88" i="1"/>
  <c r="AD87" i="1"/>
  <c r="H180" i="5"/>
  <c r="W180" i="5" s="1"/>
  <c r="H179" i="5"/>
  <c r="W179" i="5" s="1"/>
  <c r="S178" i="5"/>
  <c r="U178" i="5"/>
  <c r="AD79" i="1"/>
  <c r="CR79" i="1" s="1"/>
  <c r="Q79" i="1" s="1"/>
  <c r="W268" i="6" s="1"/>
  <c r="CQ75" i="1"/>
  <c r="CS75" i="1"/>
  <c r="H171" i="5"/>
  <c r="CQ71" i="1"/>
  <c r="P71" i="1" s="1"/>
  <c r="AB59" i="1"/>
  <c r="G211" i="6" s="1"/>
  <c r="CR59" i="1"/>
  <c r="Q59" i="1" s="1"/>
  <c r="V195" i="6"/>
  <c r="K135" i="5"/>
  <c r="CY57" i="1"/>
  <c r="X57" i="1" s="1"/>
  <c r="X182" i="6"/>
  <c r="GK53" i="1"/>
  <c r="V52" i="1"/>
  <c r="AI113" i="1" s="1"/>
  <c r="X166" i="6"/>
  <c r="K116" i="5"/>
  <c r="GK51" i="1"/>
  <c r="Y166" i="6"/>
  <c r="L120" i="5"/>
  <c r="L122" i="5"/>
  <c r="Q122" i="5" s="1"/>
  <c r="AB42" i="1"/>
  <c r="CR42" i="1"/>
  <c r="Q42" i="1" s="1"/>
  <c r="Y105" i="6"/>
  <c r="L85" i="5"/>
  <c r="Q85" i="5" s="1"/>
  <c r="L84" i="5"/>
  <c r="V94" i="6"/>
  <c r="K71" i="5"/>
  <c r="CY39" i="1"/>
  <c r="X39" i="1" s="1"/>
  <c r="X85" i="6"/>
  <c r="GK37" i="1"/>
  <c r="V74" i="6"/>
  <c r="K55" i="5"/>
  <c r="CY35" i="1"/>
  <c r="X35" i="1" s="1"/>
  <c r="Y74" i="6"/>
  <c r="L60" i="5"/>
  <c r="Q60" i="5" s="1"/>
  <c r="L59" i="5"/>
  <c r="AB35" i="1"/>
  <c r="G74" i="6" s="1"/>
  <c r="U40" i="6"/>
  <c r="K32" i="5"/>
  <c r="G496" i="6"/>
  <c r="H329" i="5"/>
  <c r="F494" i="6"/>
  <c r="E327" i="5"/>
  <c r="GK170" i="1"/>
  <c r="G493" i="6"/>
  <c r="G491" i="6"/>
  <c r="G489" i="6"/>
  <c r="U320" i="5"/>
  <c r="H325" i="5" s="1"/>
  <c r="H322" i="5"/>
  <c r="S320" i="5"/>
  <c r="H324" i="5" s="1"/>
  <c r="F478" i="6"/>
  <c r="C479" i="6"/>
  <c r="E320" i="5"/>
  <c r="C321" i="5"/>
  <c r="U318" i="5"/>
  <c r="S318" i="5"/>
  <c r="CQ166" i="1"/>
  <c r="P166" i="1" s="1"/>
  <c r="CR166" i="1"/>
  <c r="Q166" i="1" s="1"/>
  <c r="CR165" i="1"/>
  <c r="Q165" i="1" s="1"/>
  <c r="CP165" i="1" s="1"/>
  <c r="O165" i="1" s="1"/>
  <c r="CQ164" i="1"/>
  <c r="P164" i="1" s="1"/>
  <c r="CQ162" i="1"/>
  <c r="P162" i="1" s="1"/>
  <c r="CR162" i="1"/>
  <c r="Q162" i="1" s="1"/>
  <c r="CR161" i="1"/>
  <c r="Q161" i="1" s="1"/>
  <c r="CP161" i="1" s="1"/>
  <c r="O161" i="1" s="1"/>
  <c r="CQ160" i="1"/>
  <c r="P160" i="1" s="1"/>
  <c r="CQ158" i="1"/>
  <c r="P158" i="1" s="1"/>
  <c r="CR158" i="1"/>
  <c r="Q158" i="1" s="1"/>
  <c r="CR157" i="1"/>
  <c r="Q157" i="1" s="1"/>
  <c r="CP157" i="1" s="1"/>
  <c r="O157" i="1" s="1"/>
  <c r="G423" i="6"/>
  <c r="G422" i="6"/>
  <c r="G421" i="6"/>
  <c r="S278" i="5"/>
  <c r="H283" i="5" s="1"/>
  <c r="H280" i="5"/>
  <c r="U278" i="5"/>
  <c r="H284" i="5" s="1"/>
  <c r="C416" i="6"/>
  <c r="F415" i="6"/>
  <c r="E278" i="5"/>
  <c r="C279" i="5"/>
  <c r="AD155" i="1"/>
  <c r="G414" i="6"/>
  <c r="G412" i="6"/>
  <c r="G413" i="6"/>
  <c r="U269" i="5"/>
  <c r="H275" i="5" s="1"/>
  <c r="S269" i="5"/>
  <c r="H274" i="5" s="1"/>
  <c r="H271" i="5"/>
  <c r="CR154" i="1"/>
  <c r="Q154" i="1" s="1"/>
  <c r="G405" i="6"/>
  <c r="G403" i="6"/>
  <c r="G404" i="6"/>
  <c r="H262" i="5"/>
  <c r="U260" i="5"/>
  <c r="H266" i="5" s="1"/>
  <c r="S260" i="5"/>
  <c r="H265" i="5" s="1"/>
  <c r="G396" i="6"/>
  <c r="G395" i="6"/>
  <c r="G394" i="6"/>
  <c r="S250" i="5"/>
  <c r="H256" i="5" s="1"/>
  <c r="H252" i="5"/>
  <c r="U250" i="5"/>
  <c r="H257" i="5" s="1"/>
  <c r="CQ150" i="1"/>
  <c r="P150" i="1" s="1"/>
  <c r="FY113" i="1"/>
  <c r="FP26" i="1"/>
  <c r="C380" i="6"/>
  <c r="A247" i="5"/>
  <c r="F377" i="6"/>
  <c r="E244" i="5"/>
  <c r="F375" i="6"/>
  <c r="E243" i="5"/>
  <c r="U242" i="5"/>
  <c r="S242" i="5"/>
  <c r="U232" i="5"/>
  <c r="S232" i="5"/>
  <c r="F356" i="6"/>
  <c r="E232" i="5"/>
  <c r="AD100" i="1"/>
  <c r="H222" i="5"/>
  <c r="W222" i="5" s="1"/>
  <c r="H216" i="5"/>
  <c r="R216" i="5" s="1"/>
  <c r="AD93" i="1"/>
  <c r="C311" i="6"/>
  <c r="F310" i="6"/>
  <c r="E202" i="5"/>
  <c r="C203" i="5"/>
  <c r="CY90" i="1"/>
  <c r="X90" i="1" s="1"/>
  <c r="GM90" i="1" s="1"/>
  <c r="C293" i="6"/>
  <c r="F292" i="6"/>
  <c r="E191" i="5"/>
  <c r="C192" i="5"/>
  <c r="CR83" i="1"/>
  <c r="Q83" i="1" s="1"/>
  <c r="CQ79" i="1"/>
  <c r="P79" i="1" s="1"/>
  <c r="U177" i="5"/>
  <c r="S177" i="5"/>
  <c r="U175" i="5"/>
  <c r="S175" i="5"/>
  <c r="T71" i="1"/>
  <c r="CY62" i="1"/>
  <c r="X62" i="1" s="1"/>
  <c r="GN62" i="1" s="1"/>
  <c r="V213" i="6"/>
  <c r="CY61" i="1"/>
  <c r="X61" i="1" s="1"/>
  <c r="X195" i="6"/>
  <c r="K137" i="5"/>
  <c r="GK57" i="1"/>
  <c r="Y195" i="6"/>
  <c r="L141" i="5"/>
  <c r="L144" i="5"/>
  <c r="Q144" i="5" s="1"/>
  <c r="Q52" i="1"/>
  <c r="U166" i="6"/>
  <c r="K117" i="5"/>
  <c r="V148" i="6"/>
  <c r="K103" i="5"/>
  <c r="CY47" i="1"/>
  <c r="X47" i="1" s="1"/>
  <c r="V121" i="6"/>
  <c r="K87" i="5"/>
  <c r="CY43" i="1"/>
  <c r="X43" i="1" s="1"/>
  <c r="CP42" i="1"/>
  <c r="O42" i="1" s="1"/>
  <c r="X94" i="6"/>
  <c r="K73" i="5"/>
  <c r="GK39" i="1"/>
  <c r="Y94" i="6"/>
  <c r="L77" i="5"/>
  <c r="Q77" i="5" s="1"/>
  <c r="L76" i="5"/>
  <c r="Y85" i="6"/>
  <c r="L68" i="5"/>
  <c r="Q68" i="5" s="1"/>
  <c r="L67" i="5"/>
  <c r="X74" i="6"/>
  <c r="GK35" i="1"/>
  <c r="Y65" i="6"/>
  <c r="L52" i="5"/>
  <c r="Q52" i="5" s="1"/>
  <c r="L51" i="5"/>
  <c r="CR33" i="1"/>
  <c r="Q33" i="1" s="1"/>
  <c r="AB33" i="1"/>
  <c r="G65" i="6" s="1"/>
  <c r="X56" i="6"/>
  <c r="K41" i="5"/>
  <c r="GK31" i="1"/>
  <c r="Y56" i="6"/>
  <c r="L45" i="5"/>
  <c r="Q45" i="5" s="1"/>
  <c r="L44" i="5"/>
  <c r="Y415" i="6"/>
  <c r="L286" i="5"/>
  <c r="Q286" i="5" s="1"/>
  <c r="L285" i="5"/>
  <c r="X397" i="6"/>
  <c r="K264" i="5"/>
  <c r="H243" i="5"/>
  <c r="W243" i="5" s="1"/>
  <c r="F373" i="6"/>
  <c r="E242" i="5"/>
  <c r="G372" i="6"/>
  <c r="G370" i="6"/>
  <c r="G368" i="6"/>
  <c r="U234" i="5"/>
  <c r="S234" i="5"/>
  <c r="H235" i="5"/>
  <c r="H221" i="5"/>
  <c r="W221" i="5" s="1"/>
  <c r="U321" i="6"/>
  <c r="K217" i="5"/>
  <c r="V321" i="6"/>
  <c r="K214" i="5"/>
  <c r="V310" i="6"/>
  <c r="K204" i="5"/>
  <c r="G307" i="6"/>
  <c r="G305" i="6"/>
  <c r="G303" i="6"/>
  <c r="H193" i="5"/>
  <c r="U191" i="5"/>
  <c r="S191" i="5"/>
  <c r="G287" i="6"/>
  <c r="G285" i="6"/>
  <c r="G289" i="6"/>
  <c r="H184" i="5"/>
  <c r="U182" i="5"/>
  <c r="H187" i="5" s="1"/>
  <c r="S182" i="5"/>
  <c r="H186" i="5" s="1"/>
  <c r="U180" i="5"/>
  <c r="S180" i="5"/>
  <c r="U179" i="5"/>
  <c r="S179" i="5"/>
  <c r="F270" i="6"/>
  <c r="E179" i="5"/>
  <c r="H178" i="5"/>
  <c r="W178" i="5" s="1"/>
  <c r="H177" i="5"/>
  <c r="W177" i="5" s="1"/>
  <c r="H176" i="5"/>
  <c r="W176" i="5" s="1"/>
  <c r="H175" i="5"/>
  <c r="W175" i="5" s="1"/>
  <c r="X246" i="6"/>
  <c r="K170" i="5"/>
  <c r="G261" i="6"/>
  <c r="G259" i="6"/>
  <c r="G257" i="6"/>
  <c r="H168" i="5"/>
  <c r="S166" i="5"/>
  <c r="U166" i="5"/>
  <c r="C247" i="6"/>
  <c r="F246" i="6"/>
  <c r="C167" i="5"/>
  <c r="E166" i="5"/>
  <c r="I75" i="1"/>
  <c r="U75" i="1" s="1"/>
  <c r="Y264" i="6" s="1"/>
  <c r="V226" i="6"/>
  <c r="K157" i="5"/>
  <c r="CY65" i="1"/>
  <c r="X65" i="1" s="1"/>
  <c r="U215" i="6"/>
  <c r="K150" i="5"/>
  <c r="Y215" i="6"/>
  <c r="L154" i="5"/>
  <c r="Q154" i="5" s="1"/>
  <c r="L153" i="5"/>
  <c r="X211" i="6"/>
  <c r="GK59" i="1"/>
  <c r="U195" i="6"/>
  <c r="K138" i="5"/>
  <c r="X184" i="6"/>
  <c r="K127" i="5"/>
  <c r="GK55" i="1"/>
  <c r="X148" i="6"/>
  <c r="K105" i="5"/>
  <c r="GK47" i="1"/>
  <c r="Y148" i="6"/>
  <c r="L111" i="5"/>
  <c r="Q111" i="5" s="1"/>
  <c r="L109" i="5"/>
  <c r="X137" i="6"/>
  <c r="GK45" i="1"/>
  <c r="Y137" i="6"/>
  <c r="L100" i="5"/>
  <c r="Q100" i="5" s="1"/>
  <c r="L99" i="5"/>
  <c r="X121" i="6"/>
  <c r="K89" i="5"/>
  <c r="GK43" i="1"/>
  <c r="Y121" i="6"/>
  <c r="L93" i="5"/>
  <c r="Q93" i="5" s="1"/>
  <c r="L92" i="5"/>
  <c r="U94" i="6"/>
  <c r="CZ32" i="1"/>
  <c r="Y32" i="1" s="1"/>
  <c r="CY32" i="1"/>
  <c r="X32" i="1" s="1"/>
  <c r="U56" i="6"/>
  <c r="C515" i="6"/>
  <c r="AG515" i="6"/>
  <c r="C501" i="6"/>
  <c r="A334" i="5"/>
  <c r="AB498" i="6"/>
  <c r="V331" i="5"/>
  <c r="Y498" i="6"/>
  <c r="L332" i="5"/>
  <c r="Q332" i="5" s="1"/>
  <c r="H496" i="6"/>
  <c r="T496" i="6"/>
  <c r="K329" i="5"/>
  <c r="J330" i="5" s="1"/>
  <c r="P330" i="5" s="1"/>
  <c r="AA496" i="6"/>
  <c r="T329" i="5"/>
  <c r="F458" i="6"/>
  <c r="E307" i="5"/>
  <c r="F440" i="6"/>
  <c r="E296" i="5"/>
  <c r="C398" i="6"/>
  <c r="F397" i="6"/>
  <c r="E260" i="5"/>
  <c r="C261" i="5"/>
  <c r="Y388" i="6"/>
  <c r="L258" i="5"/>
  <c r="L259" i="5"/>
  <c r="Q259" i="5" s="1"/>
  <c r="U244" i="5"/>
  <c r="S244" i="5"/>
  <c r="GX107" i="1"/>
  <c r="H242" i="5"/>
  <c r="W242" i="5" s="1"/>
  <c r="GX106" i="1"/>
  <c r="CJ113" i="1" s="1"/>
  <c r="W106" i="1"/>
  <c r="AJ113" i="1" s="1"/>
  <c r="Y358" i="6"/>
  <c r="L245" i="5"/>
  <c r="Q245" i="5" s="1"/>
  <c r="L241" i="5"/>
  <c r="G355" i="6"/>
  <c r="G353" i="6"/>
  <c r="G351" i="6"/>
  <c r="U224" i="5"/>
  <c r="H225" i="5"/>
  <c r="S224" i="5"/>
  <c r="U222" i="5"/>
  <c r="S222" i="5"/>
  <c r="U221" i="5"/>
  <c r="S221" i="5"/>
  <c r="C322" i="6"/>
  <c r="F321" i="6"/>
  <c r="C213" i="5"/>
  <c r="E212" i="5"/>
  <c r="H200" i="5"/>
  <c r="W200" i="5" s="1"/>
  <c r="GX81" i="1"/>
  <c r="F266" i="6"/>
  <c r="E177" i="5"/>
  <c r="F262" i="6"/>
  <c r="E175" i="5"/>
  <c r="H169" i="5"/>
  <c r="X226" i="6"/>
  <c r="K159" i="5"/>
  <c r="GK65" i="1"/>
  <c r="U184" i="6"/>
  <c r="K128" i="5"/>
  <c r="Y184" i="6"/>
  <c r="L132" i="5"/>
  <c r="Q132" i="5" s="1"/>
  <c r="L131" i="5"/>
  <c r="V166" i="6"/>
  <c r="K114" i="5"/>
  <c r="CY51" i="1"/>
  <c r="X51" i="1" s="1"/>
  <c r="P52" i="1"/>
  <c r="S52" i="1"/>
  <c r="T52" i="1"/>
  <c r="AG113" i="1" s="1"/>
  <c r="U148" i="6"/>
  <c r="K106" i="5"/>
  <c r="CY44" i="1"/>
  <c r="X44" i="1" s="1"/>
  <c r="CZ44" i="1"/>
  <c r="Y44" i="1" s="1"/>
  <c r="U121" i="6"/>
  <c r="CZ42" i="1"/>
  <c r="Y42" i="1" s="1"/>
  <c r="CY42" i="1"/>
  <c r="X42" i="1" s="1"/>
  <c r="V105" i="6"/>
  <c r="K79" i="5"/>
  <c r="CP36" i="1"/>
  <c r="O36" i="1" s="1"/>
  <c r="H56" i="5"/>
  <c r="CR35" i="1"/>
  <c r="Q35" i="1" s="1"/>
  <c r="Y40" i="6"/>
  <c r="L36" i="5"/>
  <c r="Q36" i="5" s="1"/>
  <c r="L35" i="5"/>
  <c r="S164" i="5"/>
  <c r="U164" i="5"/>
  <c r="CS67" i="1"/>
  <c r="R67" i="1" s="1"/>
  <c r="CZ67" i="1" s="1"/>
  <c r="Y67" i="1" s="1"/>
  <c r="U163" i="5"/>
  <c r="S163" i="5"/>
  <c r="CS63" i="1"/>
  <c r="R63" i="1" s="1"/>
  <c r="G221" i="6"/>
  <c r="G223" i="6"/>
  <c r="H147" i="5"/>
  <c r="U145" i="5"/>
  <c r="H152" i="5" s="1"/>
  <c r="S145" i="5"/>
  <c r="H151" i="5" s="1"/>
  <c r="F213" i="6"/>
  <c r="E143" i="5"/>
  <c r="CS60" i="1"/>
  <c r="R60" i="1" s="1"/>
  <c r="S142" i="5"/>
  <c r="U142" i="5"/>
  <c r="H142" i="5"/>
  <c r="W142" i="5" s="1"/>
  <c r="F211" i="6"/>
  <c r="E142" i="5"/>
  <c r="G208" i="6"/>
  <c r="G206" i="6"/>
  <c r="S133" i="5"/>
  <c r="H135" i="5"/>
  <c r="U133" i="5"/>
  <c r="AD57" i="1"/>
  <c r="AB57" i="1" s="1"/>
  <c r="S110" i="5"/>
  <c r="U110" i="5"/>
  <c r="H110" i="5"/>
  <c r="W110" i="5" s="1"/>
  <c r="F164" i="6"/>
  <c r="E110" i="5"/>
  <c r="CQ48" i="1"/>
  <c r="P48" i="1" s="1"/>
  <c r="C149" i="6"/>
  <c r="F148" i="6"/>
  <c r="C102" i="5"/>
  <c r="E101" i="5"/>
  <c r="AB45" i="1"/>
  <c r="G137" i="6" s="1"/>
  <c r="H64" i="5"/>
  <c r="CQ35" i="1"/>
  <c r="P35" i="1" s="1"/>
  <c r="C75" i="6"/>
  <c r="F74" i="6"/>
  <c r="E53" i="5"/>
  <c r="C54" i="5"/>
  <c r="AD34" i="1"/>
  <c r="G73" i="6"/>
  <c r="G71" i="6"/>
  <c r="G72" i="6"/>
  <c r="H48" i="5"/>
  <c r="U46" i="5"/>
  <c r="H50" i="5" s="1"/>
  <c r="S46" i="5"/>
  <c r="H49" i="5" s="1"/>
  <c r="G63" i="6"/>
  <c r="G62" i="6"/>
  <c r="S37" i="5"/>
  <c r="H42" i="5" s="1"/>
  <c r="H39" i="5"/>
  <c r="U37" i="5"/>
  <c r="H43" i="5" s="1"/>
  <c r="AD31" i="1"/>
  <c r="C57" i="6"/>
  <c r="F56" i="6"/>
  <c r="C38" i="5"/>
  <c r="E37" i="5"/>
  <c r="G51" i="6"/>
  <c r="G53" i="6"/>
  <c r="S27" i="5"/>
  <c r="H33" i="5" s="1"/>
  <c r="H29" i="5"/>
  <c r="U27" i="5"/>
  <c r="H34" i="5" s="1"/>
  <c r="H31" i="5"/>
  <c r="R31" i="5" s="1"/>
  <c r="H32" i="5"/>
  <c r="H170" i="5"/>
  <c r="R170" i="5" s="1"/>
  <c r="H164" i="5"/>
  <c r="W164" i="5" s="1"/>
  <c r="AD68" i="1"/>
  <c r="CS66" i="1"/>
  <c r="R66" i="1" s="1"/>
  <c r="AD65" i="1"/>
  <c r="AD63" i="1"/>
  <c r="GK61" i="1"/>
  <c r="CQ58" i="1"/>
  <c r="P58" i="1" s="1"/>
  <c r="CP58" i="1" s="1"/>
  <c r="O58" i="1" s="1"/>
  <c r="C196" i="6"/>
  <c r="F195" i="6"/>
  <c r="C134" i="5"/>
  <c r="E133" i="5"/>
  <c r="F182" i="6"/>
  <c r="E121" i="5"/>
  <c r="G134" i="6"/>
  <c r="G132" i="6"/>
  <c r="S86" i="5"/>
  <c r="H90" i="5" s="1"/>
  <c r="H87" i="5"/>
  <c r="U86" i="5"/>
  <c r="H91" i="5" s="1"/>
  <c r="AD43" i="1"/>
  <c r="G118" i="6"/>
  <c r="G116" i="6"/>
  <c r="H79" i="5"/>
  <c r="U78" i="5"/>
  <c r="H83" i="5" s="1"/>
  <c r="S78" i="5"/>
  <c r="H82" i="5" s="1"/>
  <c r="AD41" i="1"/>
  <c r="G92" i="6"/>
  <c r="G93" i="6"/>
  <c r="G91" i="6"/>
  <c r="S61" i="5"/>
  <c r="H65" i="5" s="1"/>
  <c r="H63" i="5"/>
  <c r="U61" i="5"/>
  <c r="H66" i="5" s="1"/>
  <c r="C86" i="6"/>
  <c r="F85" i="6"/>
  <c r="C62" i="5"/>
  <c r="E61" i="5"/>
  <c r="V56" i="6"/>
  <c r="K39" i="5"/>
  <c r="F242" i="6"/>
  <c r="E163" i="5"/>
  <c r="G239" i="6"/>
  <c r="G237" i="6"/>
  <c r="S155" i="5"/>
  <c r="H160" i="5" s="1"/>
  <c r="H157" i="5"/>
  <c r="U155" i="5"/>
  <c r="C216" i="6"/>
  <c r="F215" i="6"/>
  <c r="E145" i="5"/>
  <c r="C146" i="5"/>
  <c r="AD55" i="1"/>
  <c r="CS54" i="1"/>
  <c r="R54" i="1" s="1"/>
  <c r="GK54" i="1" s="1"/>
  <c r="U121" i="5"/>
  <c r="S121" i="5"/>
  <c r="CS52" i="1"/>
  <c r="R52" i="1" s="1"/>
  <c r="GK52" i="1" s="1"/>
  <c r="G179" i="6"/>
  <c r="G177" i="6"/>
  <c r="H114" i="5"/>
  <c r="S112" i="5"/>
  <c r="U112" i="5"/>
  <c r="AD51" i="1"/>
  <c r="C167" i="6"/>
  <c r="F166" i="6"/>
  <c r="C113" i="5"/>
  <c r="E112" i="5"/>
  <c r="AB49" i="1"/>
  <c r="G164" i="6" s="1"/>
  <c r="G147" i="6"/>
  <c r="G145" i="6"/>
  <c r="G143" i="6"/>
  <c r="H96" i="5"/>
  <c r="U94" i="5"/>
  <c r="H98" i="5" s="1"/>
  <c r="S94" i="5"/>
  <c r="H97" i="5" s="1"/>
  <c r="X105" i="6"/>
  <c r="K81" i="5"/>
  <c r="G102" i="6"/>
  <c r="G100" i="6"/>
  <c r="S69" i="5"/>
  <c r="H74" i="5" s="1"/>
  <c r="H71" i="5"/>
  <c r="U69" i="5"/>
  <c r="H75" i="5" s="1"/>
  <c r="AD39" i="1"/>
  <c r="CR37" i="1"/>
  <c r="Q37" i="1" s="1"/>
  <c r="CS33" i="1"/>
  <c r="R33" i="1" s="1"/>
  <c r="C41" i="6"/>
  <c r="F40" i="6"/>
  <c r="C28" i="5"/>
  <c r="E27" i="5"/>
  <c r="H163" i="5"/>
  <c r="W163" i="5" s="1"/>
  <c r="C227" i="6"/>
  <c r="F226" i="6"/>
  <c r="C156" i="5"/>
  <c r="E155" i="5"/>
  <c r="H150" i="5"/>
  <c r="U143" i="5"/>
  <c r="S143" i="5"/>
  <c r="H143" i="5"/>
  <c r="W143" i="5" s="1"/>
  <c r="CT59" i="1"/>
  <c r="S59" i="1" s="1"/>
  <c r="G190" i="6"/>
  <c r="G192" i="6"/>
  <c r="H125" i="5"/>
  <c r="U123" i="5"/>
  <c r="H130" i="5" s="1"/>
  <c r="S123" i="5"/>
  <c r="H129" i="5" s="1"/>
  <c r="C185" i="6"/>
  <c r="F184" i="6"/>
  <c r="E123" i="5"/>
  <c r="C124" i="5"/>
  <c r="H121" i="5"/>
  <c r="W121" i="5" s="1"/>
  <c r="H117" i="5"/>
  <c r="CS49" i="1"/>
  <c r="R49" i="1" s="1"/>
  <c r="CQ49" i="1"/>
  <c r="P49" i="1" s="1"/>
  <c r="CT49" i="1"/>
  <c r="S49" i="1" s="1"/>
  <c r="G159" i="6"/>
  <c r="G161" i="6"/>
  <c r="U101" i="5"/>
  <c r="H108" i="5" s="1"/>
  <c r="H103" i="5"/>
  <c r="S101" i="5"/>
  <c r="H107" i="5" s="1"/>
  <c r="AD47" i="1"/>
  <c r="AB47" i="1" s="1"/>
  <c r="C138" i="6"/>
  <c r="F137" i="6"/>
  <c r="C95" i="5"/>
  <c r="E94" i="5"/>
  <c r="C95" i="6"/>
  <c r="F94" i="6"/>
  <c r="E69" i="5"/>
  <c r="C70" i="5"/>
  <c r="CS36" i="1"/>
  <c r="R36" i="1" s="1"/>
  <c r="CY36" i="1" s="1"/>
  <c r="X36" i="1" s="1"/>
  <c r="G80" i="6"/>
  <c r="G84" i="6"/>
  <c r="G82" i="6"/>
  <c r="S53" i="5"/>
  <c r="H57" i="5" s="1"/>
  <c r="H55" i="5"/>
  <c r="U53" i="5"/>
  <c r="H58" i="5" s="1"/>
  <c r="C66" i="6"/>
  <c r="F65" i="6"/>
  <c r="C47" i="5"/>
  <c r="E46" i="5"/>
  <c r="CT29" i="1"/>
  <c r="S29" i="1" s="1"/>
  <c r="CS29" i="1"/>
  <c r="R29" i="1" s="1"/>
  <c r="AD29" i="1"/>
  <c r="H197" i="5" l="1"/>
  <c r="H161" i="5"/>
  <c r="L247" i="5"/>
  <c r="H198" i="5"/>
  <c r="H230" i="5"/>
  <c r="H119" i="5"/>
  <c r="L334" i="5"/>
  <c r="H118" i="5"/>
  <c r="H229" i="5"/>
  <c r="G148" i="6"/>
  <c r="G163" i="6"/>
  <c r="G195" i="6"/>
  <c r="G210" i="6"/>
  <c r="W113" i="1"/>
  <c r="AJ26" i="1"/>
  <c r="GN157" i="1"/>
  <c r="GM157" i="1"/>
  <c r="GN161" i="1"/>
  <c r="GM161" i="1"/>
  <c r="GM165" i="1"/>
  <c r="GN165" i="1"/>
  <c r="AB242" i="6"/>
  <c r="V163" i="5"/>
  <c r="EB147" i="1"/>
  <c r="DO178" i="1"/>
  <c r="V40" i="6"/>
  <c r="K29" i="5"/>
  <c r="CY29" i="1"/>
  <c r="X29" i="1" s="1"/>
  <c r="CZ29" i="1"/>
  <c r="Y29" i="1" s="1"/>
  <c r="X164" i="6"/>
  <c r="GK49" i="1"/>
  <c r="R114" i="5"/>
  <c r="H126" i="5"/>
  <c r="G132" i="5" s="1"/>
  <c r="O132" i="5" s="1"/>
  <c r="CR55" i="1"/>
  <c r="Q55" i="1" s="1"/>
  <c r="G68" i="5"/>
  <c r="O68" i="5" s="1"/>
  <c r="R63" i="5"/>
  <c r="W68" i="5"/>
  <c r="R79" i="5"/>
  <c r="H88" i="5"/>
  <c r="CR43" i="1"/>
  <c r="Q43" i="1" s="1"/>
  <c r="CR68" i="1"/>
  <c r="Q68" i="1" s="1"/>
  <c r="CP68" i="1" s="1"/>
  <c r="O68" i="1" s="1"/>
  <c r="AB68" i="1"/>
  <c r="W52" i="5"/>
  <c r="R48" i="5"/>
  <c r="G52" i="5"/>
  <c r="O52" i="5" s="1"/>
  <c r="CR34" i="1"/>
  <c r="Q34" i="1" s="1"/>
  <c r="AB34" i="1"/>
  <c r="H140" i="5"/>
  <c r="R147" i="5"/>
  <c r="X215" i="6"/>
  <c r="K149" i="5"/>
  <c r="GK63" i="1"/>
  <c r="CY63" i="1"/>
  <c r="X63" i="1" s="1"/>
  <c r="CZ63" i="1"/>
  <c r="Y63" i="1" s="1"/>
  <c r="AB43" i="1"/>
  <c r="GN44" i="1"/>
  <c r="GM44" i="1"/>
  <c r="T113" i="1"/>
  <c r="AG26" i="1"/>
  <c r="CZ36" i="1"/>
  <c r="Y36" i="1" s="1"/>
  <c r="R235" i="5"/>
  <c r="GM42" i="1"/>
  <c r="GN42" i="1"/>
  <c r="AA148" i="6"/>
  <c r="H159" i="6"/>
  <c r="T101" i="5"/>
  <c r="AA213" i="6"/>
  <c r="T143" i="5"/>
  <c r="CR100" i="1"/>
  <c r="Q100" i="1" s="1"/>
  <c r="CP100" i="1" s="1"/>
  <c r="O100" i="1" s="1"/>
  <c r="AB100" i="1"/>
  <c r="R262" i="5"/>
  <c r="G268" i="5"/>
  <c r="O268" i="5" s="1"/>
  <c r="W268" i="5"/>
  <c r="W406" i="6"/>
  <c r="K272" i="5"/>
  <c r="DV178" i="1"/>
  <c r="U424" i="6"/>
  <c r="K292" i="5"/>
  <c r="CP158" i="1"/>
  <c r="O158" i="1" s="1"/>
  <c r="U442" i="6"/>
  <c r="K303" i="5"/>
  <c r="CP162" i="1"/>
  <c r="O162" i="1" s="1"/>
  <c r="U460" i="6"/>
  <c r="K314" i="5"/>
  <c r="CP166" i="1"/>
  <c r="O166" i="1" s="1"/>
  <c r="R322" i="5"/>
  <c r="G328" i="5"/>
  <c r="O328" i="5" s="1"/>
  <c r="W328" i="5"/>
  <c r="G330" i="5"/>
  <c r="O330" i="5" s="1"/>
  <c r="W330" i="5"/>
  <c r="AA74" i="6"/>
  <c r="H80" i="6"/>
  <c r="T53" i="5"/>
  <c r="K57" i="5" s="1"/>
  <c r="GN53" i="1"/>
  <c r="GM53" i="1"/>
  <c r="H206" i="6"/>
  <c r="AA195" i="6"/>
  <c r="T133" i="5"/>
  <c r="P75" i="1"/>
  <c r="F339" i="6"/>
  <c r="E222" i="5"/>
  <c r="U99" i="1"/>
  <c r="Y339" i="6" s="1"/>
  <c r="V99" i="1"/>
  <c r="Z339" i="6" s="1"/>
  <c r="R99" i="1"/>
  <c r="P99" i="1"/>
  <c r="X388" i="6"/>
  <c r="K254" i="5"/>
  <c r="GK150" i="1"/>
  <c r="DW178" i="1"/>
  <c r="CZ150" i="1"/>
  <c r="Y150" i="1" s="1"/>
  <c r="X406" i="6"/>
  <c r="K273" i="5"/>
  <c r="GK154" i="1"/>
  <c r="R300" i="5"/>
  <c r="H315" i="5"/>
  <c r="AA337" i="6"/>
  <c r="T221" i="5"/>
  <c r="FY147" i="1"/>
  <c r="EP178" i="1"/>
  <c r="Z244" i="6"/>
  <c r="AA272" i="6"/>
  <c r="T180" i="5"/>
  <c r="S99" i="1"/>
  <c r="GN104" i="1"/>
  <c r="GM104" i="1"/>
  <c r="T377" i="6"/>
  <c r="H377" i="6"/>
  <c r="K244" i="5"/>
  <c r="GN111" i="1"/>
  <c r="GM111" i="1"/>
  <c r="W494" i="6"/>
  <c r="CP172" i="1"/>
  <c r="O172" i="1" s="1"/>
  <c r="V244" i="6"/>
  <c r="CY69" i="1"/>
  <c r="X69" i="1" s="1"/>
  <c r="CZ69" i="1"/>
  <c r="Y69" i="1" s="1"/>
  <c r="T147" i="1"/>
  <c r="F199" i="1"/>
  <c r="Q75" i="1"/>
  <c r="W264" i="6" s="1"/>
  <c r="T99" i="1"/>
  <c r="H403" i="6"/>
  <c r="AA397" i="6"/>
  <c r="T260" i="5"/>
  <c r="K265" i="5" s="1"/>
  <c r="V494" i="6"/>
  <c r="CY172" i="1"/>
  <c r="X172" i="1" s="1"/>
  <c r="CZ172" i="1"/>
  <c r="Y172" i="1" s="1"/>
  <c r="G332" i="5"/>
  <c r="O332" i="5" s="1"/>
  <c r="W332" i="5"/>
  <c r="GN72" i="1"/>
  <c r="GM72" i="1"/>
  <c r="CP107" i="1"/>
  <c r="O107" i="1" s="1"/>
  <c r="T213" i="6"/>
  <c r="H213" i="6"/>
  <c r="K143" i="5"/>
  <c r="GM61" i="1"/>
  <c r="GN61" i="1"/>
  <c r="AA290" i="6"/>
  <c r="T189" i="5"/>
  <c r="H242" i="6"/>
  <c r="K163" i="5"/>
  <c r="GN90" i="1"/>
  <c r="GN77" i="1"/>
  <c r="Q99" i="1"/>
  <c r="W339" i="6" s="1"/>
  <c r="K119" i="5"/>
  <c r="GM62" i="1"/>
  <c r="GM81" i="1"/>
  <c r="GN74" i="1"/>
  <c r="R71" i="5"/>
  <c r="W85" i="6"/>
  <c r="K64" i="5"/>
  <c r="J68" i="5" s="1"/>
  <c r="P68" i="5" s="1"/>
  <c r="CP37" i="1"/>
  <c r="O37" i="1" s="1"/>
  <c r="R96" i="5"/>
  <c r="G100" i="5"/>
  <c r="O100" i="5" s="1"/>
  <c r="W100" i="5"/>
  <c r="H30" i="5"/>
  <c r="CR29" i="1"/>
  <c r="Q29" i="1" s="1"/>
  <c r="AB29" i="1"/>
  <c r="W60" i="5"/>
  <c r="R55" i="5"/>
  <c r="G60" i="5"/>
  <c r="O60" i="5" s="1"/>
  <c r="R103" i="5"/>
  <c r="R125" i="5"/>
  <c r="W132" i="5"/>
  <c r="V211" i="6"/>
  <c r="CY59" i="1"/>
  <c r="X59" i="1" s="1"/>
  <c r="CZ59" i="1"/>
  <c r="Y59" i="1" s="1"/>
  <c r="H72" i="5"/>
  <c r="G77" i="5" s="1"/>
  <c r="O77" i="5" s="1"/>
  <c r="CR39" i="1"/>
  <c r="Q39" i="1" s="1"/>
  <c r="H115" i="5"/>
  <c r="G122" i="5" s="1"/>
  <c r="O122" i="5" s="1"/>
  <c r="CR51" i="1"/>
  <c r="Q51" i="1" s="1"/>
  <c r="AB51" i="1"/>
  <c r="H80" i="5"/>
  <c r="G85" i="5" s="1"/>
  <c r="O85" i="5" s="1"/>
  <c r="CR41" i="1"/>
  <c r="Q41" i="1" s="1"/>
  <c r="AB41" i="1"/>
  <c r="AB55" i="1"/>
  <c r="H148" i="5"/>
  <c r="G154" i="5" s="1"/>
  <c r="O154" i="5" s="1"/>
  <c r="CR63" i="1"/>
  <c r="Q63" i="1" s="1"/>
  <c r="AB63" i="1"/>
  <c r="R39" i="5"/>
  <c r="U74" i="6"/>
  <c r="CP35" i="1"/>
  <c r="O35" i="1" s="1"/>
  <c r="DU113" i="1"/>
  <c r="CP48" i="1"/>
  <c r="O48" i="1" s="1"/>
  <c r="AC113" i="1"/>
  <c r="R135" i="5"/>
  <c r="W74" i="6"/>
  <c r="K56" i="5"/>
  <c r="CZ52" i="1"/>
  <c r="Y52" i="1" s="1"/>
  <c r="CY52" i="1"/>
  <c r="X52" i="1" s="1"/>
  <c r="AF113" i="1"/>
  <c r="R168" i="5"/>
  <c r="R193" i="5"/>
  <c r="W201" i="5"/>
  <c r="G201" i="5"/>
  <c r="O201" i="5" s="1"/>
  <c r="H239" i="5"/>
  <c r="W65" i="6"/>
  <c r="CP33" i="1"/>
  <c r="O33" i="1" s="1"/>
  <c r="H132" i="6"/>
  <c r="AA121" i="6"/>
  <c r="T86" i="5"/>
  <c r="K90" i="5" s="1"/>
  <c r="H205" i="5"/>
  <c r="W211" i="5" s="1"/>
  <c r="CR93" i="1"/>
  <c r="Q93" i="1" s="1"/>
  <c r="AB93" i="1"/>
  <c r="R252" i="5"/>
  <c r="G259" i="5"/>
  <c r="O259" i="5" s="1"/>
  <c r="W259" i="5"/>
  <c r="R271" i="5"/>
  <c r="G277" i="5"/>
  <c r="O277" i="5" s="1"/>
  <c r="W277" i="5"/>
  <c r="W286" i="5"/>
  <c r="G286" i="5"/>
  <c r="O286" i="5" s="1"/>
  <c r="R280" i="5"/>
  <c r="U440" i="6"/>
  <c r="CP160" i="1"/>
  <c r="O160" i="1" s="1"/>
  <c r="U458" i="6"/>
  <c r="CP164" i="1"/>
  <c r="O164" i="1" s="1"/>
  <c r="J60" i="5"/>
  <c r="P60" i="5" s="1"/>
  <c r="H100" i="6"/>
  <c r="AA94" i="6"/>
  <c r="T69" i="5"/>
  <c r="K74" i="5" s="1"/>
  <c r="U246" i="6"/>
  <c r="K171" i="5"/>
  <c r="CP71" i="1"/>
  <c r="O71" i="1" s="1"/>
  <c r="H219" i="5"/>
  <c r="CZ102" i="1"/>
  <c r="Y102" i="1" s="1"/>
  <c r="GK102" i="1"/>
  <c r="CY102" i="1"/>
  <c r="X102" i="1" s="1"/>
  <c r="GK151" i="1"/>
  <c r="CY151" i="1"/>
  <c r="X151" i="1" s="1"/>
  <c r="CZ151" i="1"/>
  <c r="Y151" i="1" s="1"/>
  <c r="AE178" i="1"/>
  <c r="R311" i="5"/>
  <c r="GN167" i="1"/>
  <c r="GM167" i="1"/>
  <c r="GM106" i="1"/>
  <c r="GN106" i="1"/>
  <c r="T397" i="6"/>
  <c r="H397" i="6"/>
  <c r="H405" i="6"/>
  <c r="GN152" i="1"/>
  <c r="GM152" i="1"/>
  <c r="AA476" i="6"/>
  <c r="T318" i="5"/>
  <c r="GN168" i="1"/>
  <c r="GM168" i="1"/>
  <c r="X494" i="6"/>
  <c r="GK172" i="1"/>
  <c r="EG147" i="1"/>
  <c r="P182" i="1"/>
  <c r="EG210" i="1"/>
  <c r="AA375" i="6"/>
  <c r="T243" i="5"/>
  <c r="Y244" i="6"/>
  <c r="DZ113" i="1"/>
  <c r="H370" i="6"/>
  <c r="AB358" i="6"/>
  <c r="V234" i="5"/>
  <c r="GN105" i="1"/>
  <c r="GM105" i="1"/>
  <c r="CY154" i="1"/>
  <c r="X154" i="1" s="1"/>
  <c r="H478" i="6"/>
  <c r="T478" i="6"/>
  <c r="H493" i="6"/>
  <c r="GN170" i="1"/>
  <c r="GM170" i="1"/>
  <c r="H415" i="6"/>
  <c r="T415" i="6"/>
  <c r="H423" i="6"/>
  <c r="GN156" i="1"/>
  <c r="GM156" i="1"/>
  <c r="U308" i="6"/>
  <c r="CP91" i="1"/>
  <c r="O91" i="1" s="1"/>
  <c r="T137" i="6"/>
  <c r="H137" i="6"/>
  <c r="H147" i="6"/>
  <c r="GM45" i="1"/>
  <c r="GN45" i="1"/>
  <c r="X337" i="6"/>
  <c r="GK97" i="1"/>
  <c r="CZ97" i="1"/>
  <c r="Y97" i="1" s="1"/>
  <c r="W99" i="1"/>
  <c r="AB397" i="6"/>
  <c r="H404" i="6"/>
  <c r="V260" i="5"/>
  <c r="K266" i="5" s="1"/>
  <c r="AB424" i="6"/>
  <c r="H437" i="6"/>
  <c r="V287" i="5"/>
  <c r="K294" i="5" s="1"/>
  <c r="CG178" i="1"/>
  <c r="BZ147" i="1"/>
  <c r="AQ178" i="1"/>
  <c r="CH178" i="1"/>
  <c r="T476" i="6"/>
  <c r="GM88" i="1"/>
  <c r="GN88" i="1"/>
  <c r="DY147" i="1"/>
  <c r="DL178" i="1"/>
  <c r="EA147" i="1"/>
  <c r="DN178" i="1"/>
  <c r="W341" i="6"/>
  <c r="K226" i="5"/>
  <c r="CP101" i="1"/>
  <c r="O101" i="1" s="1"/>
  <c r="H356" i="6"/>
  <c r="T356" i="6"/>
  <c r="K232" i="5"/>
  <c r="GN103" i="1"/>
  <c r="GM103" i="1"/>
  <c r="F200" i="1"/>
  <c r="U147" i="1"/>
  <c r="H353" i="6"/>
  <c r="AB341" i="6"/>
  <c r="V224" i="5"/>
  <c r="K230" i="5" s="1"/>
  <c r="GN82" i="1"/>
  <c r="AA373" i="6"/>
  <c r="T242" i="5"/>
  <c r="U164" i="6"/>
  <c r="CP49" i="1"/>
  <c r="O49" i="1" s="1"/>
  <c r="X65" i="6"/>
  <c r="GK33" i="1"/>
  <c r="CZ33" i="1"/>
  <c r="Y33" i="1" s="1"/>
  <c r="CY33" i="1"/>
  <c r="X33" i="1" s="1"/>
  <c r="X40" i="6"/>
  <c r="K31" i="5"/>
  <c r="GK29" i="1"/>
  <c r="GK36" i="1"/>
  <c r="AE113" i="1"/>
  <c r="V164" i="6"/>
  <c r="CY49" i="1"/>
  <c r="X49" i="1" s="1"/>
  <c r="CZ49" i="1"/>
  <c r="Y49" i="1" s="1"/>
  <c r="R157" i="5"/>
  <c r="R87" i="5"/>
  <c r="G93" i="5"/>
  <c r="O93" i="5" s="1"/>
  <c r="W93" i="5"/>
  <c r="H158" i="5"/>
  <c r="G165" i="5" s="1"/>
  <c r="O165" i="5" s="1"/>
  <c r="CR65" i="1"/>
  <c r="Q65" i="1" s="1"/>
  <c r="AB65" i="1"/>
  <c r="G36" i="5"/>
  <c r="O36" i="5" s="1"/>
  <c r="R29" i="5"/>
  <c r="W36" i="5"/>
  <c r="H139" i="5"/>
  <c r="CP52" i="1"/>
  <c r="O52" i="1" s="1"/>
  <c r="R225" i="5"/>
  <c r="G233" i="5"/>
  <c r="O233" i="5" s="1"/>
  <c r="W233" i="5"/>
  <c r="AB39" i="1"/>
  <c r="F264" i="6"/>
  <c r="E176" i="5"/>
  <c r="T75" i="1"/>
  <c r="GX75" i="1"/>
  <c r="GB113" i="1" s="1"/>
  <c r="V75" i="1"/>
  <c r="Z264" i="6" s="1"/>
  <c r="H240" i="5"/>
  <c r="S176" i="5"/>
  <c r="H172" i="5" s="1"/>
  <c r="U268" i="6"/>
  <c r="CP79" i="1"/>
  <c r="O79" i="1" s="1"/>
  <c r="FY26" i="1"/>
  <c r="EP113" i="1"/>
  <c r="CY54" i="1"/>
  <c r="X54" i="1" s="1"/>
  <c r="AK113" i="1" s="1"/>
  <c r="CR87" i="1"/>
  <c r="Q87" i="1" s="1"/>
  <c r="H189" i="5"/>
  <c r="W189" i="5" s="1"/>
  <c r="AB87" i="1"/>
  <c r="G290" i="6" s="1"/>
  <c r="R204" i="5"/>
  <c r="X310" i="6"/>
  <c r="K206" i="5"/>
  <c r="GK93" i="1"/>
  <c r="CZ93" i="1"/>
  <c r="Y93" i="1" s="1"/>
  <c r="CY93" i="1"/>
  <c r="X93" i="1" s="1"/>
  <c r="H218" i="5"/>
  <c r="W223" i="5" s="1"/>
  <c r="ET26" i="1"/>
  <c r="P126" i="1"/>
  <c r="ET210" i="1"/>
  <c r="R289" i="5"/>
  <c r="W75" i="1"/>
  <c r="EB113" i="1" s="1"/>
  <c r="GX99" i="1"/>
  <c r="AB377" i="6"/>
  <c r="V244" i="5"/>
  <c r="AB476" i="6"/>
  <c r="V318" i="5"/>
  <c r="CY150" i="1"/>
  <c r="X150" i="1" s="1"/>
  <c r="ES178" i="1"/>
  <c r="GB147" i="1"/>
  <c r="CZ154" i="1"/>
  <c r="Y154" i="1" s="1"/>
  <c r="AB460" i="6"/>
  <c r="H473" i="6"/>
  <c r="V309" i="5"/>
  <c r="K316" i="5" s="1"/>
  <c r="AZ178" i="1"/>
  <c r="CI147" i="1"/>
  <c r="BB147" i="1"/>
  <c r="F191" i="1"/>
  <c r="BB210" i="1"/>
  <c r="U244" i="6"/>
  <c r="CP69" i="1"/>
  <c r="O69" i="1" s="1"/>
  <c r="J100" i="5"/>
  <c r="P100" i="5" s="1"/>
  <c r="S75" i="1"/>
  <c r="AK178" i="1"/>
  <c r="J268" i="5"/>
  <c r="P268" i="5" s="1"/>
  <c r="AA458" i="6"/>
  <c r="T307" i="5"/>
  <c r="K304" i="5" s="1"/>
  <c r="P187" i="1"/>
  <c r="EH210" i="1"/>
  <c r="EH147" i="1"/>
  <c r="GM169" i="1"/>
  <c r="GN169" i="1"/>
  <c r="GM32" i="1"/>
  <c r="GN32" i="1"/>
  <c r="AF147" i="1"/>
  <c r="S178" i="1"/>
  <c r="T375" i="6"/>
  <c r="H375" i="6"/>
  <c r="K243" i="5"/>
  <c r="GM109" i="1"/>
  <c r="GN109" i="1"/>
  <c r="K315" i="5"/>
  <c r="AV147" i="1"/>
  <c r="F183" i="1"/>
  <c r="GM85" i="1"/>
  <c r="GN85" i="1"/>
  <c r="T274" i="6"/>
  <c r="H289" i="6"/>
  <c r="H274" i="6"/>
  <c r="H104" i="5"/>
  <c r="W111" i="5" s="1"/>
  <c r="CR47" i="1"/>
  <c r="Q47" i="1" s="1"/>
  <c r="GM58" i="1"/>
  <c r="GN58" i="1"/>
  <c r="CZ66" i="1"/>
  <c r="Y66" i="1" s="1"/>
  <c r="CY66" i="1"/>
  <c r="X66" i="1" s="1"/>
  <c r="GK66" i="1"/>
  <c r="H40" i="5"/>
  <c r="G45" i="5" s="1"/>
  <c r="O45" i="5" s="1"/>
  <c r="CR31" i="1"/>
  <c r="Q31" i="1" s="1"/>
  <c r="AB31" i="1"/>
  <c r="H136" i="5"/>
  <c r="W144" i="5" s="1"/>
  <c r="CR57" i="1"/>
  <c r="Q57" i="1" s="1"/>
  <c r="CY60" i="1"/>
  <c r="X60" i="1" s="1"/>
  <c r="CZ60" i="1"/>
  <c r="Y60" i="1" s="1"/>
  <c r="GK60" i="1"/>
  <c r="X242" i="6"/>
  <c r="GK67" i="1"/>
  <c r="CY67" i="1"/>
  <c r="X67" i="1" s="1"/>
  <c r="GM67" i="1" s="1"/>
  <c r="GN36" i="1"/>
  <c r="GM36" i="1"/>
  <c r="H177" i="6"/>
  <c r="AA166" i="6"/>
  <c r="T112" i="5"/>
  <c r="K118" i="5" s="1"/>
  <c r="CJ26" i="1"/>
  <c r="BA113" i="1"/>
  <c r="H237" i="6"/>
  <c r="AA226" i="6"/>
  <c r="T155" i="5"/>
  <c r="R184" i="5"/>
  <c r="W190" i="5"/>
  <c r="DY113" i="1"/>
  <c r="U176" i="5"/>
  <c r="H173" i="5" s="1"/>
  <c r="W272" i="6"/>
  <c r="CP83" i="1"/>
  <c r="O83" i="1" s="1"/>
  <c r="U388" i="6"/>
  <c r="K255" i="5"/>
  <c r="CP150" i="1"/>
  <c r="O150" i="1" s="1"/>
  <c r="DU178" i="1"/>
  <c r="CR155" i="1"/>
  <c r="Q155" i="1" s="1"/>
  <c r="CP155" i="1" s="1"/>
  <c r="O155" i="1" s="1"/>
  <c r="AB155" i="1"/>
  <c r="W424" i="6"/>
  <c r="K290" i="5"/>
  <c r="W442" i="6"/>
  <c r="K301" i="5"/>
  <c r="W460" i="6"/>
  <c r="K312" i="5"/>
  <c r="V113" i="1"/>
  <c r="AI26" i="1"/>
  <c r="CZ54" i="1"/>
  <c r="Y54" i="1" s="1"/>
  <c r="AL113" i="1" s="1"/>
  <c r="W211" i="6"/>
  <c r="CP59" i="1"/>
  <c r="O59" i="1" s="1"/>
  <c r="R75" i="1"/>
  <c r="DW113" i="1" s="1"/>
  <c r="CR94" i="1"/>
  <c r="Q94" i="1" s="1"/>
  <c r="CP94" i="1" s="1"/>
  <c r="O94" i="1" s="1"/>
  <c r="AB94" i="1"/>
  <c r="G223" i="5"/>
  <c r="O223" i="5" s="1"/>
  <c r="R214" i="5"/>
  <c r="CR96" i="1"/>
  <c r="Q96" i="1" s="1"/>
  <c r="CP96" i="1" s="1"/>
  <c r="O96" i="1" s="1"/>
  <c r="AB96" i="1"/>
  <c r="AB149" i="1"/>
  <c r="CR149" i="1"/>
  <c r="Q149" i="1" s="1"/>
  <c r="AB153" i="1"/>
  <c r="CR153" i="1"/>
  <c r="Q153" i="1" s="1"/>
  <c r="CP153" i="1" s="1"/>
  <c r="O153" i="1" s="1"/>
  <c r="H294" i="5"/>
  <c r="W297" i="5" s="1"/>
  <c r="GK159" i="1"/>
  <c r="CZ159" i="1"/>
  <c r="Y159" i="1" s="1"/>
  <c r="GN159" i="1" s="1"/>
  <c r="H305" i="5"/>
  <c r="G308" i="5" s="1"/>
  <c r="O308" i="5" s="1"/>
  <c r="H316" i="5"/>
  <c r="W319" i="5" s="1"/>
  <c r="AB442" i="6"/>
  <c r="H455" i="6"/>
  <c r="V298" i="5"/>
  <c r="K305" i="5" s="1"/>
  <c r="AB79" i="1"/>
  <c r="G268" i="6" s="1"/>
  <c r="DX147" i="1"/>
  <c r="DK178" i="1"/>
  <c r="CP154" i="1"/>
  <c r="O154" i="1" s="1"/>
  <c r="AA440" i="6"/>
  <c r="T296" i="5"/>
  <c r="K293" i="5" s="1"/>
  <c r="F187" i="1"/>
  <c r="AP210" i="1"/>
  <c r="AP147" i="1"/>
  <c r="W415" i="6"/>
  <c r="K281" i="5"/>
  <c r="J286" i="5" s="1"/>
  <c r="P286" i="5" s="1"/>
  <c r="K239" i="5"/>
  <c r="X308" i="6"/>
  <c r="GK91" i="1"/>
  <c r="CY91" i="1"/>
  <c r="X91" i="1" s="1"/>
  <c r="CZ91" i="1"/>
  <c r="Y91" i="1" s="1"/>
  <c r="AB478" i="6"/>
  <c r="H491" i="6"/>
  <c r="V320" i="5"/>
  <c r="GA147" i="1"/>
  <c r="ER178" i="1"/>
  <c r="GN176" i="1"/>
  <c r="GM176" i="1"/>
  <c r="H372" i="6"/>
  <c r="F196" i="1"/>
  <c r="AT210" i="1"/>
  <c r="AT147" i="1"/>
  <c r="W321" i="6"/>
  <c r="K215" i="5"/>
  <c r="CP95" i="1"/>
  <c r="O95" i="1" s="1"/>
  <c r="X244" i="6"/>
  <c r="GK69" i="1"/>
  <c r="P200" i="1"/>
  <c r="DM147" i="1"/>
  <c r="K186" i="5"/>
  <c r="H351" i="6"/>
  <c r="AA341" i="6"/>
  <c r="T224" i="5"/>
  <c r="K229" i="5" s="1"/>
  <c r="F135" i="1"/>
  <c r="U210" i="1"/>
  <c r="U26" i="1"/>
  <c r="AB373" i="6"/>
  <c r="V242" i="5"/>
  <c r="GN97" i="1"/>
  <c r="T337" i="6"/>
  <c r="T262" i="6"/>
  <c r="H262" i="6"/>
  <c r="K175" i="5"/>
  <c r="GM73" i="1"/>
  <c r="GN73" i="1"/>
  <c r="G211" i="5" l="1"/>
  <c r="O211" i="5" s="1"/>
  <c r="J319" i="5"/>
  <c r="P319" i="5" s="1"/>
  <c r="G297" i="5"/>
  <c r="O297" i="5" s="1"/>
  <c r="J233" i="5"/>
  <c r="P233" i="5" s="1"/>
  <c r="G245" i="5"/>
  <c r="O245" i="5" s="1"/>
  <c r="AL26" i="1"/>
  <c r="Y113" i="1"/>
  <c r="GB26" i="1"/>
  <c r="ES113" i="1"/>
  <c r="DJ113" i="1"/>
  <c r="DW26" i="1"/>
  <c r="G181" i="5"/>
  <c r="O181" i="5" s="1"/>
  <c r="W181" i="5"/>
  <c r="AK26" i="1"/>
  <c r="X113" i="1"/>
  <c r="ER147" i="1"/>
  <c r="ER210" i="1"/>
  <c r="P189" i="1"/>
  <c r="U22" i="1"/>
  <c r="U242" i="1"/>
  <c r="F232" i="1"/>
  <c r="AA308" i="6"/>
  <c r="T200" i="5"/>
  <c r="K197" i="5" s="1"/>
  <c r="GM94" i="1"/>
  <c r="GN94" i="1"/>
  <c r="W56" i="6"/>
  <c r="K40" i="5"/>
  <c r="J45" i="5" s="1"/>
  <c r="P45" i="5" s="1"/>
  <c r="CP31" i="1"/>
  <c r="O31" i="1" s="1"/>
  <c r="H394" i="6"/>
  <c r="AA388" i="6"/>
  <c r="T250" i="5"/>
  <c r="K256" i="5" s="1"/>
  <c r="EC178" i="1"/>
  <c r="H318" i="6"/>
  <c r="AB310" i="6"/>
  <c r="V202" i="5"/>
  <c r="K209" i="5" s="1"/>
  <c r="EP26" i="1"/>
  <c r="P120" i="1"/>
  <c r="EP210" i="1"/>
  <c r="G94" i="6"/>
  <c r="G104" i="6"/>
  <c r="G20" i="5"/>
  <c r="W165" i="5"/>
  <c r="AA164" i="6"/>
  <c r="T110" i="5"/>
  <c r="H71" i="6"/>
  <c r="AA65" i="6"/>
  <c r="T46" i="5"/>
  <c r="K49" i="5" s="1"/>
  <c r="T164" i="6"/>
  <c r="H164" i="6"/>
  <c r="K110" i="5"/>
  <c r="GM49" i="1"/>
  <c r="GN49" i="1"/>
  <c r="DN147" i="1"/>
  <c r="P201" i="1"/>
  <c r="F188" i="1"/>
  <c r="AQ210" i="1"/>
  <c r="AQ147" i="1"/>
  <c r="GM159" i="1"/>
  <c r="K240" i="5"/>
  <c r="DZ26" i="1"/>
  <c r="DM113" i="1"/>
  <c r="GM151" i="1"/>
  <c r="GN151" i="1"/>
  <c r="T440" i="6"/>
  <c r="H440" i="6"/>
  <c r="K296" i="5"/>
  <c r="J297" i="5" s="1"/>
  <c r="P297" i="5" s="1"/>
  <c r="GN160" i="1"/>
  <c r="GM160" i="1"/>
  <c r="W310" i="6"/>
  <c r="K205" i="5"/>
  <c r="CP93" i="1"/>
  <c r="O93" i="1" s="1"/>
  <c r="AF26" i="1"/>
  <c r="S113" i="1"/>
  <c r="AC26" i="1"/>
  <c r="CF113" i="1"/>
  <c r="P113" i="1"/>
  <c r="CE113" i="1"/>
  <c r="CH113" i="1"/>
  <c r="G215" i="6"/>
  <c r="G225" i="6"/>
  <c r="G105" i="6"/>
  <c r="G120" i="6"/>
  <c r="G166" i="6"/>
  <c r="G181" i="6"/>
  <c r="G111" i="5"/>
  <c r="O111" i="5" s="1"/>
  <c r="G247" i="5" s="1"/>
  <c r="W77" i="5"/>
  <c r="AB494" i="6"/>
  <c r="V327" i="5"/>
  <c r="AB244" i="6"/>
  <c r="V164" i="5"/>
  <c r="K161" i="5" s="1"/>
  <c r="EA113" i="1"/>
  <c r="U264" i="6"/>
  <c r="CP75" i="1"/>
  <c r="O75" i="1" s="1"/>
  <c r="H424" i="6"/>
  <c r="T424" i="6"/>
  <c r="H439" i="6"/>
  <c r="GN158" i="1"/>
  <c r="GM158" i="1"/>
  <c r="AA215" i="6"/>
  <c r="H221" i="6"/>
  <c r="T145" i="5"/>
  <c r="K151" i="5" s="1"/>
  <c r="W154" i="5"/>
  <c r="AA40" i="6"/>
  <c r="H51" i="6"/>
  <c r="T27" i="5"/>
  <c r="K33" i="5" s="1"/>
  <c r="P193" i="1"/>
  <c r="DK147" i="1"/>
  <c r="T498" i="6"/>
  <c r="H498" i="6"/>
  <c r="K331" i="5"/>
  <c r="J332" i="5" s="1"/>
  <c r="P332" i="5" s="1"/>
  <c r="K325" i="5"/>
  <c r="CP149" i="1"/>
  <c r="O149" i="1" s="1"/>
  <c r="AD178" i="1"/>
  <c r="H388" i="6"/>
  <c r="T388" i="6"/>
  <c r="H396" i="6"/>
  <c r="GM150" i="1"/>
  <c r="GN150" i="1"/>
  <c r="DT178" i="1"/>
  <c r="BA210" i="1"/>
  <c r="BA26" i="1"/>
  <c r="F133" i="1"/>
  <c r="GN60" i="1"/>
  <c r="GM60" i="1"/>
  <c r="V264" i="6"/>
  <c r="CZ75" i="1"/>
  <c r="Y75" i="1" s="1"/>
  <c r="CY75" i="1"/>
  <c r="X75" i="1" s="1"/>
  <c r="EC113" i="1" s="1"/>
  <c r="H406" i="6"/>
  <c r="T406" i="6"/>
  <c r="H414" i="6"/>
  <c r="GN154" i="1"/>
  <c r="GM154" i="1"/>
  <c r="X264" i="6"/>
  <c r="GK75" i="1"/>
  <c r="G190" i="5"/>
  <c r="O190" i="5" s="1"/>
  <c r="W195" i="6"/>
  <c r="K136" i="5"/>
  <c r="CP57" i="1"/>
  <c r="O57" i="1" s="1"/>
  <c r="P219" i="1"/>
  <c r="V16" i="2" s="1"/>
  <c r="V18" i="2" s="1"/>
  <c r="EH242" i="1"/>
  <c r="EH22" i="1"/>
  <c r="BB242" i="1"/>
  <c r="F223" i="1"/>
  <c r="BB22" i="1"/>
  <c r="F189" i="1"/>
  <c r="AZ147" i="1"/>
  <c r="AZ210" i="1"/>
  <c r="AB406" i="6"/>
  <c r="H413" i="6"/>
  <c r="V269" i="5"/>
  <c r="K275" i="5" s="1"/>
  <c r="W290" i="6"/>
  <c r="CP87" i="1"/>
  <c r="O87" i="1" s="1"/>
  <c r="GM52" i="1"/>
  <c r="GN52" i="1"/>
  <c r="AB65" i="6"/>
  <c r="H72" i="6"/>
  <c r="V46" i="5"/>
  <c r="K50" i="5" s="1"/>
  <c r="H341" i="6"/>
  <c r="H355" i="6"/>
  <c r="T341" i="6"/>
  <c r="GN101" i="1"/>
  <c r="GM101" i="1"/>
  <c r="H412" i="6"/>
  <c r="AA406" i="6"/>
  <c r="T269" i="5"/>
  <c r="K274" i="5" s="1"/>
  <c r="J277" i="5" s="1"/>
  <c r="P277" i="5" s="1"/>
  <c r="EG242" i="1"/>
  <c r="EG22" i="1"/>
  <c r="P214" i="1"/>
  <c r="G319" i="5"/>
  <c r="O319" i="5" s="1"/>
  <c r="G144" i="5"/>
  <c r="O144" i="5" s="1"/>
  <c r="GN48" i="1"/>
  <c r="GM48" i="1"/>
  <c r="W215" i="6"/>
  <c r="K148" i="5"/>
  <c r="CP63" i="1"/>
  <c r="O63" i="1" s="1"/>
  <c r="W105" i="6"/>
  <c r="K80" i="5"/>
  <c r="J85" i="5" s="1"/>
  <c r="P85" i="5" s="1"/>
  <c r="CP41" i="1"/>
  <c r="O41" i="1" s="1"/>
  <c r="W166" i="6"/>
  <c r="K115" i="5"/>
  <c r="J122" i="5" s="1"/>
  <c r="P122" i="5" s="1"/>
  <c r="CP51" i="1"/>
  <c r="O51" i="1" s="1"/>
  <c r="AB211" i="6"/>
  <c r="V142" i="5"/>
  <c r="K140" i="5" s="1"/>
  <c r="G40" i="6"/>
  <c r="G55" i="6"/>
  <c r="GN67" i="1"/>
  <c r="T242" i="6"/>
  <c r="AA494" i="6"/>
  <c r="T327" i="5"/>
  <c r="K324" i="5" s="1"/>
  <c r="AA244" i="6"/>
  <c r="T164" i="5"/>
  <c r="V339" i="6"/>
  <c r="CZ99" i="1"/>
  <c r="Y99" i="1" s="1"/>
  <c r="CY99" i="1"/>
  <c r="X99" i="1" s="1"/>
  <c r="W308" i="5"/>
  <c r="AB388" i="6"/>
  <c r="H395" i="6"/>
  <c r="V250" i="5"/>
  <c r="K257" i="5" s="1"/>
  <c r="ED178" i="1"/>
  <c r="H442" i="6"/>
  <c r="T442" i="6"/>
  <c r="H457" i="6"/>
  <c r="GN162" i="1"/>
  <c r="GM162" i="1"/>
  <c r="K107" i="5"/>
  <c r="G121" i="6"/>
  <c r="G136" i="6"/>
  <c r="CP34" i="1"/>
  <c r="O34" i="1" s="1"/>
  <c r="AD113" i="1"/>
  <c r="W85" i="5"/>
  <c r="W122" i="5"/>
  <c r="DY26" i="1"/>
  <c r="DL113" i="1"/>
  <c r="GN54" i="1"/>
  <c r="GM54" i="1"/>
  <c r="T268" i="6"/>
  <c r="H268" i="6"/>
  <c r="K178" i="5"/>
  <c r="GN79" i="1"/>
  <c r="GM79" i="1"/>
  <c r="G226" i="6"/>
  <c r="G241" i="6"/>
  <c r="R113" i="1"/>
  <c r="AE26" i="1"/>
  <c r="P199" i="1"/>
  <c r="DL147" i="1"/>
  <c r="AX178" i="1"/>
  <c r="CG147" i="1"/>
  <c r="AB337" i="6"/>
  <c r="V221" i="5"/>
  <c r="AE147" i="1"/>
  <c r="R178" i="1"/>
  <c r="GN102" i="1"/>
  <c r="GM102" i="1"/>
  <c r="H261" i="6"/>
  <c r="H246" i="6"/>
  <c r="T246" i="6"/>
  <c r="GN71" i="1"/>
  <c r="GM71" i="1"/>
  <c r="H458" i="6"/>
  <c r="T458" i="6"/>
  <c r="K307" i="5"/>
  <c r="J308" i="5" s="1"/>
  <c r="P308" i="5" s="1"/>
  <c r="GM164" i="1"/>
  <c r="GN164" i="1"/>
  <c r="T65" i="6"/>
  <c r="H65" i="6"/>
  <c r="H73" i="6"/>
  <c r="GM33" i="1"/>
  <c r="GN33" i="1"/>
  <c r="FX113" i="1"/>
  <c r="DU26" i="1"/>
  <c r="FZ113" i="1"/>
  <c r="FW113" i="1"/>
  <c r="DH113" i="1"/>
  <c r="W45" i="5"/>
  <c r="G15" i="5" s="1"/>
  <c r="AA211" i="6"/>
  <c r="T142" i="5"/>
  <c r="K139" i="5" s="1"/>
  <c r="W40" i="6"/>
  <c r="K30" i="5"/>
  <c r="DV113" i="1"/>
  <c r="CP29" i="1"/>
  <c r="O29" i="1" s="1"/>
  <c r="H373" i="6"/>
  <c r="T373" i="6"/>
  <c r="K242" i="5"/>
  <c r="GN107" i="1"/>
  <c r="GM107" i="1"/>
  <c r="DJ178" i="1"/>
  <c r="DW147" i="1"/>
  <c r="U339" i="6"/>
  <c r="CP99" i="1"/>
  <c r="O99" i="1" s="1"/>
  <c r="H460" i="6"/>
  <c r="T460" i="6"/>
  <c r="H475" i="6"/>
  <c r="GN166" i="1"/>
  <c r="GM166" i="1"/>
  <c r="GM100" i="1"/>
  <c r="GN100" i="1"/>
  <c r="W245" i="5"/>
  <c r="T210" i="1"/>
  <c r="T26" i="1"/>
  <c r="F134" i="1"/>
  <c r="GN68" i="1"/>
  <c r="GM68" i="1"/>
  <c r="DX113" i="1"/>
  <c r="GN153" i="1"/>
  <c r="GM153" i="1"/>
  <c r="T211" i="6"/>
  <c r="H211" i="6"/>
  <c r="K142" i="5"/>
  <c r="GN59" i="1"/>
  <c r="GM59" i="1"/>
  <c r="V210" i="1"/>
  <c r="V26" i="1"/>
  <c r="F136" i="1"/>
  <c r="GN155" i="1"/>
  <c r="GM155" i="1"/>
  <c r="H336" i="6"/>
  <c r="T321" i="6"/>
  <c r="H321" i="6"/>
  <c r="GM95" i="1"/>
  <c r="GN95" i="1"/>
  <c r="F228" i="1"/>
  <c r="F16" i="2" s="1"/>
  <c r="F18" i="2" s="1"/>
  <c r="AT242" i="1"/>
  <c r="AT22" i="1"/>
  <c r="AB308" i="6"/>
  <c r="V200" i="5"/>
  <c r="K198" i="5" s="1"/>
  <c r="F219" i="1"/>
  <c r="G16" i="2" s="1"/>
  <c r="G18" i="2" s="1"/>
  <c r="AP22" i="1"/>
  <c r="AP242" i="1"/>
  <c r="GM96" i="1"/>
  <c r="GN96" i="1"/>
  <c r="DU147" i="1"/>
  <c r="FX178" i="1"/>
  <c r="FZ178" i="1"/>
  <c r="FW178" i="1"/>
  <c r="DH178" i="1"/>
  <c r="T272" i="6"/>
  <c r="H272" i="6"/>
  <c r="K180" i="5"/>
  <c r="GM83" i="1"/>
  <c r="GN83" i="1"/>
  <c r="AA242" i="6"/>
  <c r="T163" i="5"/>
  <c r="K160" i="5" s="1"/>
  <c r="G56" i="6"/>
  <c r="G64" i="6"/>
  <c r="GN66" i="1"/>
  <c r="GM66" i="1"/>
  <c r="W148" i="6"/>
  <c r="K104" i="5"/>
  <c r="CP47" i="1"/>
  <c r="O47" i="1" s="1"/>
  <c r="S147" i="1"/>
  <c r="F193" i="1"/>
  <c r="X178" i="1"/>
  <c r="AK147" i="1"/>
  <c r="T244" i="6"/>
  <c r="H244" i="6"/>
  <c r="K164" i="5"/>
  <c r="GM69" i="1"/>
  <c r="GN69" i="1"/>
  <c r="ES147" i="1"/>
  <c r="P198" i="1"/>
  <c r="EB26" i="1"/>
  <c r="DO113" i="1"/>
  <c r="ET22" i="1"/>
  <c r="ET242" i="1"/>
  <c r="P223" i="1"/>
  <c r="AA310" i="6"/>
  <c r="H316" i="6"/>
  <c r="T202" i="5"/>
  <c r="K208" i="5" s="1"/>
  <c r="W226" i="6"/>
  <c r="K158" i="5"/>
  <c r="CP65" i="1"/>
  <c r="O65" i="1" s="1"/>
  <c r="AB164" i="6"/>
  <c r="V110" i="5"/>
  <c r="K108" i="5" s="1"/>
  <c r="AY178" i="1"/>
  <c r="CH147" i="1"/>
  <c r="T308" i="6"/>
  <c r="H308" i="6"/>
  <c r="K200" i="5"/>
  <c r="GN91" i="1"/>
  <c r="GM91" i="1"/>
  <c r="AL178" i="1"/>
  <c r="G310" i="6"/>
  <c r="G320" i="6"/>
  <c r="H74" i="6"/>
  <c r="H84" i="6"/>
  <c r="T74" i="6"/>
  <c r="GM35" i="1"/>
  <c r="GN35" i="1"/>
  <c r="G184" i="6"/>
  <c r="G194" i="6"/>
  <c r="W94" i="6"/>
  <c r="K72" i="5"/>
  <c r="J77" i="5" s="1"/>
  <c r="P77" i="5" s="1"/>
  <c r="CP39" i="1"/>
  <c r="O39" i="1" s="1"/>
  <c r="H93" i="6"/>
  <c r="T85" i="6"/>
  <c r="H85" i="6"/>
  <c r="GM37" i="1"/>
  <c r="GN37" i="1"/>
  <c r="GM97" i="1"/>
  <c r="H494" i="6"/>
  <c r="T494" i="6"/>
  <c r="K327" i="5"/>
  <c r="GM172" i="1"/>
  <c r="GN172" i="1"/>
  <c r="EP147" i="1"/>
  <c r="P185" i="1"/>
  <c r="X339" i="6"/>
  <c r="GK99" i="1"/>
  <c r="DI178" i="1"/>
  <c r="DV147" i="1"/>
  <c r="H223" i="6"/>
  <c r="AB215" i="6"/>
  <c r="V145" i="5"/>
  <c r="K152" i="5" s="1"/>
  <c r="W121" i="6"/>
  <c r="K88" i="5"/>
  <c r="J93" i="5" s="1"/>
  <c r="P93" i="5" s="1"/>
  <c r="CP43" i="1"/>
  <c r="O43" i="1" s="1"/>
  <c r="W184" i="6"/>
  <c r="K126" i="5"/>
  <c r="J132" i="5" s="1"/>
  <c r="P132" i="5" s="1"/>
  <c r="CP55" i="1"/>
  <c r="O55" i="1" s="1"/>
  <c r="H53" i="6"/>
  <c r="AB40" i="6"/>
  <c r="V27" i="5"/>
  <c r="K34" i="5" s="1"/>
  <c r="ED113" i="1"/>
  <c r="P202" i="1"/>
  <c r="DO147" i="1"/>
  <c r="W26" i="1"/>
  <c r="W210" i="1"/>
  <c r="F137" i="1"/>
  <c r="G14" i="5" l="1"/>
  <c r="J245" i="5"/>
  <c r="P245" i="5" s="1"/>
  <c r="J111" i="5"/>
  <c r="P111" i="5" s="1"/>
  <c r="G334" i="5"/>
  <c r="J36" i="5"/>
  <c r="P36" i="5" s="1"/>
  <c r="J259" i="5"/>
  <c r="P259" i="5" s="1"/>
  <c r="EC26" i="1"/>
  <c r="DP113" i="1"/>
  <c r="W22" i="1"/>
  <c r="F234" i="1"/>
  <c r="W242" i="1"/>
  <c r="DQ113" i="1"/>
  <c r="ED26" i="1"/>
  <c r="H184" i="6"/>
  <c r="H194" i="6"/>
  <c r="T184" i="6"/>
  <c r="GM55" i="1"/>
  <c r="GN55" i="1"/>
  <c r="H241" i="6"/>
  <c r="T226" i="6"/>
  <c r="H226" i="6"/>
  <c r="GM65" i="1"/>
  <c r="GN65" i="1"/>
  <c r="ET18" i="1"/>
  <c r="P255" i="1"/>
  <c r="X147" i="1"/>
  <c r="F203" i="1"/>
  <c r="FX147" i="1"/>
  <c r="EO178" i="1"/>
  <c r="AP18" i="1"/>
  <c r="F251" i="1"/>
  <c r="H40" i="6"/>
  <c r="H55" i="6"/>
  <c r="T40" i="6"/>
  <c r="GM29" i="1"/>
  <c r="GN29" i="1"/>
  <c r="DT113" i="1"/>
  <c r="FW26" i="1"/>
  <c r="EN113" i="1"/>
  <c r="P134" i="1"/>
  <c r="DL210" i="1"/>
  <c r="DL26" i="1"/>
  <c r="ED147" i="1"/>
  <c r="DQ178" i="1"/>
  <c r="H215" i="6"/>
  <c r="H225" i="6"/>
  <c r="T215" i="6"/>
  <c r="GM63" i="1"/>
  <c r="GN63" i="1"/>
  <c r="BB18" i="1"/>
  <c r="F255" i="1"/>
  <c r="H210" i="6"/>
  <c r="T195" i="6"/>
  <c r="H195" i="6"/>
  <c r="GN57" i="1"/>
  <c r="GM57" i="1"/>
  <c r="AB264" i="6"/>
  <c r="V176" i="5"/>
  <c r="K173" i="5" s="1"/>
  <c r="FT178" i="1"/>
  <c r="DN113" i="1"/>
  <c r="EA26" i="1"/>
  <c r="CF26" i="1"/>
  <c r="AW113" i="1"/>
  <c r="H310" i="6"/>
  <c r="H320" i="6"/>
  <c r="T310" i="6"/>
  <c r="GN93" i="1"/>
  <c r="GM93" i="1"/>
  <c r="J52" i="5"/>
  <c r="P52" i="5" s="1"/>
  <c r="U18" i="1"/>
  <c r="F264" i="1"/>
  <c r="X210" i="1"/>
  <c r="X26" i="1"/>
  <c r="F138" i="1"/>
  <c r="DJ26" i="1"/>
  <c r="P127" i="1"/>
  <c r="DJ210" i="1"/>
  <c r="H136" i="6"/>
  <c r="T121" i="6"/>
  <c r="H121" i="6"/>
  <c r="GM43" i="1"/>
  <c r="GN43" i="1"/>
  <c r="J165" i="5"/>
  <c r="P165" i="5" s="1"/>
  <c r="DX26" i="1"/>
  <c r="DK113" i="1"/>
  <c r="DV26" i="1"/>
  <c r="DI113" i="1"/>
  <c r="FZ26" i="1"/>
  <c r="EQ113" i="1"/>
  <c r="R147" i="1"/>
  <c r="F192" i="1"/>
  <c r="Q113" i="1"/>
  <c r="AD26" i="1"/>
  <c r="AA339" i="6"/>
  <c r="T222" i="5"/>
  <c r="K218" i="5" s="1"/>
  <c r="H120" i="6"/>
  <c r="T105" i="6"/>
  <c r="H105" i="6"/>
  <c r="GM41" i="1"/>
  <c r="GN41" i="1"/>
  <c r="J154" i="5"/>
  <c r="P154" i="5" s="1"/>
  <c r="J144" i="5"/>
  <c r="P144" i="5" s="1"/>
  <c r="FS178" i="1"/>
  <c r="Q178" i="1"/>
  <c r="AD147" i="1"/>
  <c r="AY113" i="1"/>
  <c r="CH26" i="1"/>
  <c r="J211" i="5"/>
  <c r="P211" i="5" s="1"/>
  <c r="EP242" i="1"/>
  <c r="EP22" i="1"/>
  <c r="P217" i="1"/>
  <c r="J201" i="5"/>
  <c r="P201" i="5" s="1"/>
  <c r="ES26" i="1"/>
  <c r="P133" i="1"/>
  <c r="ES210" i="1"/>
  <c r="AY147" i="1"/>
  <c r="F186" i="1"/>
  <c r="DH147" i="1"/>
  <c r="P181" i="1"/>
  <c r="F233" i="1"/>
  <c r="V242" i="1"/>
  <c r="V22" i="1"/>
  <c r="DI147" i="1"/>
  <c r="P190" i="1"/>
  <c r="H104" i="6"/>
  <c r="T94" i="6"/>
  <c r="H94" i="6"/>
  <c r="GM39" i="1"/>
  <c r="GN39" i="1"/>
  <c r="AL147" i="1"/>
  <c r="Y178" i="1"/>
  <c r="DO210" i="1"/>
  <c r="DO26" i="1"/>
  <c r="P137" i="1"/>
  <c r="FW147" i="1"/>
  <c r="EN178" i="1"/>
  <c r="AT18" i="1"/>
  <c r="F260" i="1"/>
  <c r="T22" i="1"/>
  <c r="F231" i="1"/>
  <c r="T242" i="1"/>
  <c r="P192" i="1"/>
  <c r="DJ147" i="1"/>
  <c r="AX147" i="1"/>
  <c r="F185" i="1"/>
  <c r="AX210" i="1"/>
  <c r="R26" i="1"/>
  <c r="F127" i="1"/>
  <c r="R210" i="1"/>
  <c r="GN34" i="1"/>
  <c r="CB113" i="1" s="1"/>
  <c r="GM34" i="1"/>
  <c r="CA113" i="1" s="1"/>
  <c r="AB113" i="1"/>
  <c r="AB339" i="6"/>
  <c r="V222" i="5"/>
  <c r="J328" i="5"/>
  <c r="P328" i="5" s="1"/>
  <c r="J334" i="5" s="1"/>
  <c r="H181" i="6"/>
  <c r="T166" i="6"/>
  <c r="H166" i="6"/>
  <c r="GN51" i="1"/>
  <c r="GM51" i="1"/>
  <c r="EG18" i="1"/>
  <c r="P246" i="1"/>
  <c r="K189" i="5"/>
  <c r="J190" i="5" s="1"/>
  <c r="P190" i="5" s="1"/>
  <c r="GM87" i="1"/>
  <c r="T290" i="6"/>
  <c r="GN87" i="1"/>
  <c r="H290" i="6"/>
  <c r="P251" i="1"/>
  <c r="I17" i="5" s="1"/>
  <c r="EH18" i="1"/>
  <c r="BA22" i="1"/>
  <c r="BA242" i="1"/>
  <c r="F230" i="1"/>
  <c r="H16" i="2" s="1"/>
  <c r="H18" i="2" s="1"/>
  <c r="GN149" i="1"/>
  <c r="CB178" i="1" s="1"/>
  <c r="GM149" i="1"/>
  <c r="CA178" i="1" s="1"/>
  <c r="AB178" i="1"/>
  <c r="T264" i="6"/>
  <c r="H264" i="6"/>
  <c r="K176" i="5"/>
  <c r="GN75" i="1"/>
  <c r="GM75" i="1"/>
  <c r="CE26" i="1"/>
  <c r="AV113" i="1"/>
  <c r="S26" i="1"/>
  <c r="F128" i="1"/>
  <c r="S210" i="1"/>
  <c r="DM26" i="1"/>
  <c r="P135" i="1"/>
  <c r="DM210" i="1"/>
  <c r="H148" i="6"/>
  <c r="H163" i="6"/>
  <c r="T148" i="6"/>
  <c r="GN47" i="1"/>
  <c r="GM47" i="1"/>
  <c r="FZ147" i="1"/>
  <c r="EQ178" i="1"/>
  <c r="T339" i="6"/>
  <c r="H339" i="6"/>
  <c r="K222" i="5"/>
  <c r="GN99" i="1"/>
  <c r="GM99" i="1"/>
  <c r="DH26" i="1"/>
  <c r="P116" i="1"/>
  <c r="DH210" i="1"/>
  <c r="EO113" i="1"/>
  <c r="FX26" i="1"/>
  <c r="K219" i="5"/>
  <c r="F221" i="1"/>
  <c r="AZ22" i="1"/>
  <c r="AZ242" i="1"/>
  <c r="AA264" i="6"/>
  <c r="T176" i="5"/>
  <c r="K172" i="5" s="1"/>
  <c r="J181" i="5" s="1"/>
  <c r="P181" i="5" s="1"/>
  <c r="DT147" i="1"/>
  <c r="DG178" i="1"/>
  <c r="H501" i="6"/>
  <c r="F116" i="1"/>
  <c r="P210" i="1"/>
  <c r="P26" i="1"/>
  <c r="AQ22" i="1"/>
  <c r="AQ242" i="1"/>
  <c r="F220" i="1"/>
  <c r="DP178" i="1"/>
  <c r="EC147" i="1"/>
  <c r="H64" i="6"/>
  <c r="T56" i="6"/>
  <c r="H56" i="6"/>
  <c r="GM31" i="1"/>
  <c r="GN31" i="1"/>
  <c r="ER242" i="1"/>
  <c r="ER22" i="1"/>
  <c r="P221" i="1"/>
  <c r="F139" i="1"/>
  <c r="Y210" i="1"/>
  <c r="Y26" i="1"/>
  <c r="Y22" i="1" l="1"/>
  <c r="Y242" i="1"/>
  <c r="F236" i="1"/>
  <c r="ER18" i="1"/>
  <c r="P253" i="1"/>
  <c r="F213" i="1"/>
  <c r="P242" i="1"/>
  <c r="P22" i="1"/>
  <c r="EO26" i="1"/>
  <c r="P119" i="1"/>
  <c r="EO210" i="1"/>
  <c r="P232" i="1"/>
  <c r="DM242" i="1"/>
  <c r="DM22" i="1"/>
  <c r="O113" i="1"/>
  <c r="AB26" i="1"/>
  <c r="P183" i="1"/>
  <c r="EN147" i="1"/>
  <c r="DO242" i="1"/>
  <c r="DO22" i="1"/>
  <c r="P234" i="1"/>
  <c r="Q147" i="1"/>
  <c r="F190" i="1"/>
  <c r="Q26" i="1"/>
  <c r="F125" i="1"/>
  <c r="Q210" i="1"/>
  <c r="X242" i="1"/>
  <c r="X22" i="1"/>
  <c r="F235" i="1"/>
  <c r="DN26" i="1"/>
  <c r="P136" i="1"/>
  <c r="DN210" i="1"/>
  <c r="DQ147" i="1"/>
  <c r="P204" i="1"/>
  <c r="FT113" i="1"/>
  <c r="DQ210" i="1"/>
  <c r="DQ26" i="1"/>
  <c r="P139" i="1"/>
  <c r="AB147" i="1"/>
  <c r="O178" i="1"/>
  <c r="F262" i="1"/>
  <c r="BA18" i="1"/>
  <c r="CA26" i="1"/>
  <c r="AR113" i="1"/>
  <c r="F204" i="1"/>
  <c r="Y147" i="1"/>
  <c r="ES22" i="1"/>
  <c r="ES242" i="1"/>
  <c r="P230" i="1"/>
  <c r="W16" i="2" s="1"/>
  <c r="W18" i="2" s="1"/>
  <c r="EJ178" i="1"/>
  <c r="FS147" i="1"/>
  <c r="J223" i="5"/>
  <c r="P223" i="5" s="1"/>
  <c r="J247" i="5" s="1"/>
  <c r="P125" i="1"/>
  <c r="DI210" i="1"/>
  <c r="DI26" i="1"/>
  <c r="F119" i="1"/>
  <c r="AW210" i="1"/>
  <c r="AW26" i="1"/>
  <c r="FT147" i="1"/>
  <c r="EK178" i="1"/>
  <c r="P118" i="1"/>
  <c r="EN210" i="1"/>
  <c r="EN26" i="1"/>
  <c r="FS113" i="1"/>
  <c r="F266" i="1"/>
  <c r="W18" i="1"/>
  <c r="DP210" i="1"/>
  <c r="DP26" i="1"/>
  <c r="P138" i="1"/>
  <c r="AQ18" i="1"/>
  <c r="F252" i="1"/>
  <c r="DH242" i="1"/>
  <c r="DH22" i="1"/>
  <c r="P213" i="1"/>
  <c r="P186" i="1"/>
  <c r="EQ147" i="1"/>
  <c r="F118" i="1"/>
  <c r="AV210" i="1"/>
  <c r="AV26" i="1"/>
  <c r="AR178" i="1"/>
  <c r="CA147" i="1"/>
  <c r="AS113" i="1"/>
  <c r="CB26" i="1"/>
  <c r="F217" i="1"/>
  <c r="AX242" i="1"/>
  <c r="AX22" i="1"/>
  <c r="F121" i="1"/>
  <c r="AY26" i="1"/>
  <c r="AY210" i="1"/>
  <c r="H508" i="6"/>
  <c r="H515" i="6"/>
  <c r="H380" i="6"/>
  <c r="P203" i="1"/>
  <c r="DP147" i="1"/>
  <c r="DG147" i="1"/>
  <c r="P180" i="1"/>
  <c r="AZ18" i="1"/>
  <c r="F253" i="1"/>
  <c r="S22" i="1"/>
  <c r="S242" i="1"/>
  <c r="F225" i="1"/>
  <c r="J16" i="2" s="1"/>
  <c r="J18" i="2" s="1"/>
  <c r="CB147" i="1"/>
  <c r="AS178" i="1"/>
  <c r="R242" i="1"/>
  <c r="R22" i="1"/>
  <c r="F224" i="1"/>
  <c r="T18" i="1"/>
  <c r="F263" i="1"/>
  <c r="V18" i="1"/>
  <c r="F265" i="1"/>
  <c r="P249" i="1"/>
  <c r="EP18" i="1"/>
  <c r="EQ26" i="1"/>
  <c r="P121" i="1"/>
  <c r="EQ210" i="1"/>
  <c r="P128" i="1"/>
  <c r="DK210" i="1"/>
  <c r="DK26" i="1"/>
  <c r="DJ22" i="1"/>
  <c r="P224" i="1"/>
  <c r="DJ242" i="1"/>
  <c r="DL242" i="1"/>
  <c r="DL22" i="1"/>
  <c r="P231" i="1"/>
  <c r="DG113" i="1"/>
  <c r="DT26" i="1"/>
  <c r="EO147" i="1"/>
  <c r="P184" i="1"/>
  <c r="P235" i="1" l="1"/>
  <c r="DP22" i="1"/>
  <c r="DP242" i="1"/>
  <c r="FT26" i="1"/>
  <c r="EK113" i="1"/>
  <c r="X18" i="1"/>
  <c r="F267" i="1"/>
  <c r="DO18" i="1"/>
  <c r="P266" i="1"/>
  <c r="F115" i="1"/>
  <c r="O210" i="1"/>
  <c r="O26" i="1"/>
  <c r="EO242" i="1"/>
  <c r="EO22" i="1"/>
  <c r="P216" i="1"/>
  <c r="P18" i="1"/>
  <c r="F245" i="1"/>
  <c r="AS26" i="1"/>
  <c r="F130" i="1"/>
  <c r="AS210" i="1"/>
  <c r="AV242" i="1"/>
  <c r="F215" i="1"/>
  <c r="AV22" i="1"/>
  <c r="EN242" i="1"/>
  <c r="EN22" i="1"/>
  <c r="P215" i="1"/>
  <c r="DI242" i="1"/>
  <c r="DI22" i="1"/>
  <c r="P222" i="1"/>
  <c r="P205" i="1"/>
  <c r="P206" i="1" s="1"/>
  <c r="EJ147" i="1"/>
  <c r="Q22" i="1"/>
  <c r="Q242" i="1"/>
  <c r="F222" i="1"/>
  <c r="Y18" i="1"/>
  <c r="F268" i="1"/>
  <c r="R18" i="1"/>
  <c r="F256" i="1"/>
  <c r="S18" i="1"/>
  <c r="F257" i="1"/>
  <c r="P218" i="1"/>
  <c r="EQ242" i="1"/>
  <c r="EQ22" i="1"/>
  <c r="AS147" i="1"/>
  <c r="F195" i="1"/>
  <c r="DL18" i="1"/>
  <c r="P263" i="1"/>
  <c r="P115" i="1"/>
  <c r="DG210" i="1"/>
  <c r="DG26" i="1"/>
  <c r="DJ18" i="1"/>
  <c r="P256" i="1"/>
  <c r="DK22" i="1"/>
  <c r="DK242" i="1"/>
  <c r="P225" i="1"/>
  <c r="Y16" i="2" s="1"/>
  <c r="Y18" i="2" s="1"/>
  <c r="AY22" i="1"/>
  <c r="AY242" i="1"/>
  <c r="F218" i="1"/>
  <c r="AX18" i="1"/>
  <c r="F249" i="1"/>
  <c r="AW242" i="1"/>
  <c r="AW22" i="1"/>
  <c r="F216" i="1"/>
  <c r="DM18" i="1"/>
  <c r="P264" i="1"/>
  <c r="F205" i="1"/>
  <c r="F206" i="1" s="1"/>
  <c r="AR147" i="1"/>
  <c r="DH18" i="1"/>
  <c r="P245" i="1"/>
  <c r="FS26" i="1"/>
  <c r="EJ113" i="1"/>
  <c r="EK147" i="1"/>
  <c r="P195" i="1"/>
  <c r="P262" i="1"/>
  <c r="I18" i="5" s="1"/>
  <c r="ES18" i="1"/>
  <c r="AR26" i="1"/>
  <c r="F140" i="1"/>
  <c r="F141" i="1" s="1"/>
  <c r="AR210" i="1"/>
  <c r="O147" i="1"/>
  <c r="F180" i="1"/>
  <c r="DQ242" i="1"/>
  <c r="DQ22" i="1"/>
  <c r="P236" i="1"/>
  <c r="DN22" i="1"/>
  <c r="P233" i="1"/>
  <c r="DN242" i="1"/>
  <c r="DQ18" i="1" l="1"/>
  <c r="P268" i="1"/>
  <c r="P247" i="1"/>
  <c r="EN18" i="1"/>
  <c r="AS22" i="1"/>
  <c r="F227" i="1"/>
  <c r="E16" i="2" s="1"/>
  <c r="AS242" i="1"/>
  <c r="EJ26" i="1"/>
  <c r="EJ210" i="1"/>
  <c r="P140" i="1"/>
  <c r="P141" i="1" s="1"/>
  <c r="P254" i="1"/>
  <c r="DI18" i="1"/>
  <c r="O242" i="1"/>
  <c r="O22" i="1"/>
  <c r="F212" i="1"/>
  <c r="DP18" i="1"/>
  <c r="P267" i="1"/>
  <c r="DN18" i="1"/>
  <c r="P265" i="1"/>
  <c r="I19" i="5" s="1"/>
  <c r="G19" i="5" s="1"/>
  <c r="F237" i="1"/>
  <c r="F238" i="1" s="1"/>
  <c r="AR22" i="1"/>
  <c r="AR242" i="1"/>
  <c r="F208" i="1"/>
  <c r="F207" i="1"/>
  <c r="DK18" i="1"/>
  <c r="P257" i="1"/>
  <c r="I20" i="5" s="1"/>
  <c r="EQ18" i="1"/>
  <c r="P250" i="1"/>
  <c r="G504" i="6"/>
  <c r="P207" i="1"/>
  <c r="G505" i="6" s="1"/>
  <c r="F142" i="1"/>
  <c r="F143" i="1" s="1"/>
  <c r="AW18" i="1"/>
  <c r="F248" i="1"/>
  <c r="F250" i="1"/>
  <c r="AY18" i="1"/>
  <c r="DG22" i="1"/>
  <c r="P212" i="1"/>
  <c r="DG242" i="1"/>
  <c r="Q18" i="1"/>
  <c r="F254" i="1"/>
  <c r="AV18" i="1"/>
  <c r="F247" i="1"/>
  <c r="EO18" i="1"/>
  <c r="P248" i="1"/>
  <c r="EK26" i="1"/>
  <c r="P130" i="1"/>
  <c r="EK210" i="1"/>
  <c r="AS18" i="1" l="1"/>
  <c r="F259" i="1"/>
  <c r="F269" i="1"/>
  <c r="F270" i="1" s="1"/>
  <c r="AR18" i="1"/>
  <c r="G383" i="6"/>
  <c r="P142" i="1"/>
  <c r="G384" i="6" s="1"/>
  <c r="P143" i="1"/>
  <c r="G385" i="6" s="1"/>
  <c r="E18" i="2"/>
  <c r="I16" i="2"/>
  <c r="I18" i="2" s="1"/>
  <c r="EK242" i="1"/>
  <c r="EK22" i="1"/>
  <c r="P227" i="1"/>
  <c r="T16" i="2" s="1"/>
  <c r="P208" i="1"/>
  <c r="G506" i="6" s="1"/>
  <c r="O18" i="1"/>
  <c r="F244" i="1"/>
  <c r="EJ22" i="1"/>
  <c r="EJ242" i="1"/>
  <c r="P237" i="1"/>
  <c r="P238" i="1" s="1"/>
  <c r="DG18" i="1"/>
  <c r="P244" i="1"/>
  <c r="F239" i="1"/>
  <c r="F240" i="1" s="1"/>
  <c r="X16" i="2" l="1"/>
  <c r="X18" i="2" s="1"/>
  <c r="T18" i="2"/>
  <c r="F271" i="1"/>
  <c r="F272" i="1" s="1"/>
  <c r="G511" i="6"/>
  <c r="P239" i="1"/>
  <c r="G512" i="6" s="1"/>
  <c r="EK18" i="1"/>
  <c r="P259" i="1"/>
  <c r="I15" i="5" s="1"/>
  <c r="EJ18" i="1"/>
  <c r="P269" i="1"/>
  <c r="P270" i="1" s="1"/>
  <c r="G517" i="6" l="1"/>
  <c r="P271" i="1"/>
  <c r="J335" i="5"/>
  <c r="P272" i="1"/>
  <c r="P240" i="1"/>
  <c r="G513" i="6" s="1"/>
  <c r="I14" i="5" l="1"/>
  <c r="G519" i="6"/>
  <c r="F31" i="6"/>
  <c r="J337" i="5"/>
  <c r="J336" i="5"/>
  <c r="G518" i="6"/>
</calcChain>
</file>

<file path=xl/sharedStrings.xml><?xml version="1.0" encoding="utf-8"?>
<sst xmlns="http://schemas.openxmlformats.org/spreadsheetml/2006/main" count="12071" uniqueCount="846">
  <si>
    <t>ФССЦ-2001, 12.2.03.02-0002, приказ Минстроя России №1039/пр от 30.12.2016г.</t>
  </si>
  <si>
    <t>Вата минеральная</t>
  </si>
  <si>
    <t>14.4.02.04-0004</t>
  </si>
  <si>
    <t>ФССЦ-2001, 14.4.02.04-0004, приказ Минстроя России №1039/пр от 30.12.2016г.</t>
  </si>
  <si>
    <t>Краска для наружных работ защитная, марки МА-015</t>
  </si>
  <si>
    <t>14.5.01.07-0134</t>
  </si>
  <si>
    <t>ФССЦ-2001, 14.5.01.07-0134, приказ Минстроя России №1039/пр от 30.12.2016г.</t>
  </si>
  <si>
    <t>Герметик силиконовый для наружных швов</t>
  </si>
  <si>
    <t>л</t>
  </si>
  <si>
    <t>1-100-30</t>
  </si>
  <si>
    <t>Рабочий среднего разряда 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</si>
  <si>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</si>
  <si>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</si>
  <si>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</si>
  <si>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01.7.15.06-0094</t>
  </si>
  <si>
    <t>ФССЦ-2001, 01.7.15.06-0094, приказ Минстроя России №1039/пр от 30.12.2016г.</t>
  </si>
  <si>
    <t>Гвозди проволочные оцинкованные для асбестоцементной кровли 4,5х120 мм</t>
  </si>
  <si>
    <t>08.1.02.11-0013</t>
  </si>
  <si>
    <t>ФССЦ-2001, 08.1.02.11-0013, приказ Минстроя России №1039/пр от 30.12.2016г.</t>
  </si>
  <si>
    <t>Поковки оцинкованные, масса 2,825 кг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</si>
  <si>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</si>
  <si>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</si>
  <si>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</si>
  <si>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11.1.03.06-0079</t>
  </si>
  <si>
    <t>ФССЦ-2001, 11.1.03.06-0079, приказ Минстроя России №1039/пр от 30.12.2016г.</t>
  </si>
  <si>
    <t>Доски обрезные хвойных пород длиной 2-3,75 м, шириной 75-150 мм, толщиной 44 мм и более, III сорта</t>
  </si>
  <si>
    <t>14.2.04.01-0001</t>
  </si>
  <si>
    <t>ФССЦ-2001, 14.2.04.01-0001, приказ Минстроя России №1039/пр от 30.12.2016г.</t>
  </si>
  <si>
    <t>Смола каменноугольная для дорожного строительства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</si>
  <si>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</si>
  <si>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</si>
  <si>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</si>
  <si>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1-100-29</t>
  </si>
  <si>
    <t>Рабочий среднего разряда 2.9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</si>
  <si>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</si>
  <si>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</si>
  <si>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</si>
  <si>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</si>
  <si>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</si>
  <si>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</si>
  <si>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</si>
  <si>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</si>
  <si>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</si>
  <si>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</si>
  <si>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</si>
  <si>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</si>
  <si>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</si>
  <si>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</si>
  <si>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</si>
  <si>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</si>
  <si>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</si>
  <si>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</si>
  <si>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</si>
  <si>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</si>
  <si>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</si>
  <si>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01.7.07.29-0031</t>
  </si>
  <si>
    <t>ФССЦ-2001, 01.7.07.29-0031, приказ Минстроя России №1039/пр от 30.12.2016г.</t>
  </si>
  <si>
    <t>Каболка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</si>
  <si>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</si>
  <si>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</si>
  <si>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</si>
  <si>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01.7.16.02</t>
  </si>
  <si>
    <t>Детали деревянные лесов</t>
  </si>
  <si>
    <t>Детали стальных трубчатых лесов</t>
  </si>
  <si>
    <t>01.7.07.07</t>
  </si>
  <si>
    <t>Строительный мусор</t>
  </si>
  <si>
    <t>01.7.04.11</t>
  </si>
  <si>
    <t>Скобяные изделия</t>
  </si>
  <si>
    <t>07.1.01.03</t>
  </si>
  <si>
    <t>Блоки дверные металлические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</si>
  <si>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</si>
  <si>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</si>
  <si>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</si>
  <si>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07.2.07.13</t>
  </si>
  <si>
    <t>Конструкции стальные</t>
  </si>
  <si>
    <t>14.4.01.21</t>
  </si>
  <si>
    <t>Грунтовка</t>
  </si>
  <si>
    <t>14.3.02.01</t>
  </si>
  <si>
    <t>Краска водоэмульсионная</t>
  </si>
  <si>
    <t>Краска акриловая</t>
  </si>
  <si>
    <t>02.3.01.02</t>
  </si>
  <si>
    <t>Песок для строительных работ природный</t>
  </si>
  <si>
    <t>01.6.03.04</t>
  </si>
  <si>
    <t>Линолеум на теплозвукоизолирующей подоснове</t>
  </si>
  <si>
    <t>01.7.06.03</t>
  </si>
  <si>
    <t>Лента полимерная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</si>
  <si>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</si>
  <si>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</si>
  <si>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</si>
  <si>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</si>
  <si>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</si>
  <si>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</si>
  <si>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</si>
  <si>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</si>
  <si>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09.2.03.02</t>
  </si>
  <si>
    <t>Профили стыкоперекрывающие из алюминиевых сплавов (порожки) с покрытием</t>
  </si>
  <si>
    <t>08.1.02.07</t>
  </si>
  <si>
    <t>Дополнительные элементы металлочерепичной кровли: разжелобки, коньки, ендовы, карнизные и торцевые планки, заглушки и т.д.</t>
  </si>
  <si>
    <t>12.1.03.02</t>
  </si>
  <si>
    <t>Металлочерепица</t>
  </si>
  <si>
    <t>12.1.02.15</t>
  </si>
  <si>
    <t>Материалы рулонные кровельные для верхнего слоя</t>
  </si>
  <si>
    <t>Материалы рулонные кровельные для нижних слоев</t>
  </si>
  <si>
    <t>Строительный мусор и масса возвратных материалов</t>
  </si>
  <si>
    <t>18.1.01.01</t>
  </si>
  <si>
    <t>Арматура муфтовая</t>
  </si>
  <si>
    <t>19.1.01.11</t>
  </si>
  <si>
    <t>Крепления</t>
  </si>
  <si>
    <t>23.7.01.07</t>
  </si>
  <si>
    <t>Трубопроводы с гильзами</t>
  </si>
  <si>
    <t>18.1.02.03</t>
  </si>
  <si>
    <t>Задвижки</t>
  </si>
  <si>
    <t>24.3.03.02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</si>
  <si>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</si>
  <si>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</si>
  <si>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</si>
  <si>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</si>
  <si>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</si>
  <si>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Замазка суриковая</t>
  </si>
  <si>
    <t>18.2.06.12</t>
  </si>
  <si>
    <t>Приборы санитарно-технические</t>
  </si>
  <si>
    <t>18.1.10.10</t>
  </si>
  <si>
    <t>Смесители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</si>
  <si>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</si>
  <si>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Прил. 9.3, п.5  Наименование: Разборка (демонтаж) металлических конструкций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</si>
  <si>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</si>
  <si>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</si>
  <si>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</si>
  <si>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</si>
  <si>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</si>
  <si>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</si>
  <si>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</si>
  <si>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</si>
  <si>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</si>
  <si>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</si>
  <si>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</si>
  <si>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</si>
  <si>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</si>
  <si>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</si>
  <si>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</si>
  <si>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</si>
  <si>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</si>
  <si>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</si>
  <si>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</si>
  <si>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</si>
  <si>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</si>
  <si>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</si>
  <si>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</si>
  <si>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</si>
  <si>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</si>
  <si>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</si>
  <si>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</si>
  <si>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</si>
  <si>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</si>
  <si>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</si>
  <si>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</si>
  <si>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</si>
  <si>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</si>
  <si>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</si>
  <si>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</si>
  <si>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</si>
  <si>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</si>
  <si>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</si>
  <si>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</si>
  <si>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</si>
  <si>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</si>
  <si>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</si>
  <si>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</si>
  <si>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</si>
  <si>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</si>
  <si>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</si>
  <si>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</si>
  <si>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</si>
  <si>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</si>
  <si>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</si>
  <si>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</si>
  <si>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</si>
  <si>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</si>
  <si>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</si>
  <si>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</si>
  <si>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</si>
  <si>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</si>
  <si>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</si>
  <si>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</si>
  <si>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</si>
  <si>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</si>
  <si>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</si>
  <si>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</si>
  <si>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</si>
  <si>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</si>
  <si>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</si>
  <si>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</si>
  <si>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</si>
  <si>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</si>
  <si>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</si>
  <si>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</si>
  <si>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</si>
  <si>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</si>
  <si>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</si>
  <si>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</si>
  <si>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</si>
  <si>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</si>
  <si>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</si>
  <si>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</si>
  <si>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</si>
  <si>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</si>
  <si>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</si>
  <si>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</si>
  <si>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</si>
  <si>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</si>
  <si>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</si>
  <si>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</si>
  <si>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</si>
  <si>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</si>
  <si>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</si>
  <si>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</si>
  <si>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</si>
  <si>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</si>
  <si>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</si>
  <si>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Капитальный ремонт помещений №58, №59 , участка кровли над помещением №58 здания учебного корпуса СФТИ НИЯУ МИФИ по адресу: Челябинская обл., г. Снежинск, ул. Комсомольская, д.8</t>
  </si>
  <si>
    <t>Smeta.RU  (495) 974-1589</t>
  </si>
  <si>
    <t>_PS_</t>
  </si>
  <si>
    <t>Smeta.RU</t>
  </si>
  <si>
    <t>НИЯУ МИФИ  Доп. раб. место  MCCS-0027251</t>
  </si>
  <si>
    <t/>
  </si>
  <si>
    <t>Капитальный помещений №58,59 1-го этажа учебного корпуса СФТИ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</si>
  <si>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</si>
  <si>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</si>
  <si>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</si>
  <si>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</si>
  <si>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</si>
  <si>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</si>
  <si>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</si>
  <si>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Общестроительные работы</t>
  </si>
  <si>
    <t>1</t>
  </si>
  <si>
    <t>08-07-001-02</t>
  </si>
  <si>
    <t>Установка и разборка наружных инвентарных лесов высотой до 16 м трубчатых для прочих отделочных работ</t>
  </si>
  <si>
    <t>100 м2</t>
  </si>
  <si>
    <t>ФЕР-2001, 08-07-001-02, приказ Минстроя России №1039/пр от 30.12.2016г.</t>
  </si>
  <si>
    <t>)*1,25</t>
  </si>
  <si>
    <t>)*1,15</t>
  </si>
  <si>
    <t>Конструкции из кирпича и блоков</t>
  </si>
  <si>
    <t>ФЕР-08</t>
  </si>
  <si>
    <t>Поправка: МДС 81-35.2004, п.4.7</t>
  </si>
  <si>
    <t>*0,9</t>
  </si>
  <si>
    <t>*0,85</t>
  </si>
  <si>
    <t>2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</si>
  <si>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</si>
  <si>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</si>
  <si>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</si>
  <si>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Ремонтно-строительные работы</t>
  </si>
  <si>
    <t>Полы</t>
  </si>
  <si>
    <t>рФЕР-57</t>
  </si>
  <si>
    <t>3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</si>
  <si>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</si>
  <si>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</si>
  <si>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</si>
  <si>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</si>
  <si>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4</t>
  </si>
  <si>
    <t>46-04-008-03</t>
  </si>
  <si>
    <t>Разборка покрытий кровель из  черепицы</t>
  </si>
  <si>
    <t>ФЕР-2001, 46-04-008-03, приказ Минстроя России №1039/пр от 30.12.2016г.</t>
  </si>
  <si>
    <t>Реконструкция зданий и сооружений</t>
  </si>
  <si>
    <t>ФЕР-46</t>
  </si>
  <si>
    <t>5</t>
  </si>
  <si>
    <t>58-3-1</t>
  </si>
  <si>
    <t>Разборка мелких покрытий и обделок из листовой стали поясков, сандриков, желобов, отливов, свесов и т.п.</t>
  </si>
  <si>
    <t>ФЕР-2001, 58-3-1, приказ Минстроя России №1039/пр от 30.12.2016г.</t>
  </si>
  <si>
    <t>Крыши, кровля</t>
  </si>
  <si>
    <t>рФЕР-58</t>
  </si>
  <si>
    <t>6</t>
  </si>
  <si>
    <t>46-04-012-03</t>
  </si>
  <si>
    <t>Разборка деревянных заполнений проемов дверных</t>
  </si>
  <si>
    <t>ФЕР-2001, 46-04-012-03, приказ Минстроя России №1039/пр от 30.12.2016г.</t>
  </si>
  <si>
    <t>7</t>
  </si>
  <si>
    <t>09-04-012-01</t>
  </si>
  <si>
    <t>Демонтаж 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</si>
  <si>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</si>
  <si>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</si>
  <si>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</si>
  <si>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</t>
  </si>
  <si>
    <t>)*0,7</t>
  </si>
  <si>
    <t>Металлические конструкции</t>
  </si>
  <si>
    <t>ФЕР-09</t>
  </si>
  <si>
    <t>Поправка: Прил. 9.3, п.5</t>
  </si>
  <si>
    <t>8</t>
  </si>
  <si>
    <t>09-04-011-01</t>
  </si>
  <si>
    <t>Демонтаж каркасов ворот  зданий, ангаров и др.</t>
  </si>
  <si>
    <t>т</t>
  </si>
  <si>
    <t>ФЕР-2001, 09-04-011-01, приказ Минстроя России №1039/пр от 30.12.2016г.</t>
  </si>
  <si>
    <t>9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</si>
  <si>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</si>
  <si>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</si>
  <si>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</si>
  <si>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10</t>
  </si>
  <si>
    <t>15-04-006-02</t>
  </si>
  <si>
    <t>Покрытие поверхностей грунтовкой глубокого проникновения за 2 раза потолков</t>
  </si>
  <si>
    <t>ФЕР-2001, 15-04-006-02, приказ Минстроя России №1039/пр от 30.12.2016г.</t>
  </si>
  <si>
    <t>Отделочные работы</t>
  </si>
  <si>
    <t>ФЕР-15</t>
  </si>
  <si>
    <t>10,1</t>
  </si>
  <si>
    <t>14.4.01.02-0113</t>
  </si>
  <si>
    <t>Грунтовка акриловая CERESIT</t>
  </si>
  <si>
    <t>кг</t>
  </si>
  <si>
    <t>ФССЦ-2001, 14.4.01.02-0113, приказ Минстроя России №1039/пр от 30.12.2016г.</t>
  </si>
  <si>
    <t>11</t>
  </si>
  <si>
    <t>15-04-005-04</t>
  </si>
  <si>
    <t>Окраска поливинилацетатными водоэмульсионными составами улучшенная по штукатурке потолков</t>
  </si>
  <si>
    <t>ФЕР-2001, 15-04-005-04, приказ Минстроя России №1039/пр от 30.12.2016г.</t>
  </si>
  <si>
    <t>11,1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</si>
  <si>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</si>
  <si>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</si>
  <si>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</si>
  <si>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12</t>
  </si>
  <si>
    <t>15-02-015-05</t>
  </si>
  <si>
    <t>Штукатурка поверхностей внутри здания известковым раствором улучшенная по камню и бетону стен</t>
  </si>
  <si>
    <t>ФЕР-2001, 15-02-015-05, приказ Минстроя России №1039/пр от 30.12.2016г.</t>
  </si>
  <si>
    <t>13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</si>
  <si>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</si>
  <si>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</si>
  <si>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</si>
  <si>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13,1</t>
  </si>
  <si>
    <t>Грунтовка акриловая НОРТЕКС-ГРУНТ</t>
  </si>
  <si>
    <t>13,2</t>
  </si>
  <si>
    <t>14.3.02.01-0122</t>
  </si>
  <si>
    <t>Краска акриловая ОКТАВА-ЛЮКС для стен и потолков</t>
  </si>
  <si>
    <t>ФССЦ-2001, 14.3.02.01-0122, приказ Минстроя России №1039/пр от 30.12.2016г.</t>
  </si>
  <si>
    <t>14</t>
  </si>
  <si>
    <t>11-01-022-01</t>
  </si>
  <si>
    <t>Устройство пола наливного выравнивающего толщиной 20 мм</t>
  </si>
  <si>
    <t>ФЕР-2001, 11-01-022-01, приказ Минстроя России №1039/пр от 30.12.2016г.</t>
  </si>
  <si>
    <t>ФЕР-11</t>
  </si>
  <si>
    <t>15</t>
  </si>
  <si>
    <t>11-01-036-04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</si>
  <si>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</si>
  <si>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</si>
  <si>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15,1</t>
  </si>
  <si>
    <t>01.6.03.04-0028</t>
  </si>
  <si>
    <t>Линолеум UPOFLOOR, ПВХ, толщиной 2,0 мм</t>
  </si>
  <si>
    <t>ФССЦ-2001, 01.6.03.04-0028, приказ Минстроя России №1039/пр от 30.12.2016г.</t>
  </si>
  <si>
    <t>15,2</t>
  </si>
  <si>
    <t>01.7.06.14-0034</t>
  </si>
  <si>
    <t>Лента полимерная (фторопластовая) для сварки линолеума</t>
  </si>
  <si>
    <t>ФССЦ-2001, 01.7.06.14-0034, приказ Минстроя России №1039/пр от 30.12.2016г.</t>
  </si>
  <si>
    <t>16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</si>
  <si>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</si>
  <si>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</si>
  <si>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</si>
  <si>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16,1</t>
  </si>
  <si>
    <t>11.3.03.06-0002</t>
  </si>
  <si>
    <t>Плинтуса для полов с кабель-каналом пластиковые, 22х49 мм</t>
  </si>
  <si>
    <t>м</t>
  </si>
  <si>
    <t>ФССЦ-2001, 11.3.03.06-0002, приказ Минстроя России №1039/пр от 30.12.2016г.</t>
  </si>
  <si>
    <t>16,2</t>
  </si>
  <si>
    <t>11.3.03.14-0002</t>
  </si>
  <si>
    <t>Заглушка торцевая для пластикового плинтуса левая, высота 49 мм</t>
  </si>
  <si>
    <t>100 шт.</t>
  </si>
  <si>
    <t>ФССЦ-2001, 11.3.03.14-0002, приказ Минстроя России №1039/пр от 30.12.2016г.</t>
  </si>
  <si>
    <t>16,3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</si>
  <si>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</si>
  <si>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</si>
  <si>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</si>
  <si>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16,4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</si>
  <si>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</si>
  <si>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</si>
  <si>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</si>
  <si>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16,5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</si>
  <si>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</si>
  <si>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</si>
  <si>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</si>
  <si>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16,6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</si>
  <si>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</si>
  <si>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</si>
  <si>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</si>
  <si>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17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</si>
  <si>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</si>
  <si>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</si>
  <si>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</si>
  <si>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17,1</t>
  </si>
  <si>
    <t>09.2.03.02-0027</t>
  </si>
  <si>
    <t>Профили стыкоперекрывающие из алюминиевых сплавов (порожки) с покрытием, шириной 90 мм</t>
  </si>
  <si>
    <t>ФССЦ-2001, 09.2.03.02-0027, приказ Минстроя России №1039/пр от 30.12.2016г.</t>
  </si>
  <si>
    <t>18</t>
  </si>
  <si>
    <t>12-01-020-01</t>
  </si>
  <si>
    <t>Устройство кровель различных типов из металлочерепицы</t>
  </si>
  <si>
    <t>ФЕР-2001, 12-01-020-01, приказ Минстроя России №1039/пр от 30.12.2016г.</t>
  </si>
  <si>
    <t>Кровли</t>
  </si>
  <si>
    <t>ФЕР-12</t>
  </si>
  <si>
    <t>18,1</t>
  </si>
  <si>
    <t>12.1.03.02-0011</t>
  </si>
  <si>
    <t>Металлочерепица «Элит» с покрытием полиэстер</t>
  </si>
  <si>
    <t>ФССЦ-2001, 12.1.03.02-0011, приказ Минстроя России №1039/пр от 30.12.2016г.</t>
  </si>
  <si>
    <t>19</t>
  </si>
  <si>
    <t>12-01-009-01</t>
  </si>
  <si>
    <t>Устройство желобов настенных</t>
  </si>
  <si>
    <t>ФЕР-2001, 12-01-009-01, приказ Минстроя России №1039/пр от 30.12.2016г.</t>
  </si>
  <si>
    <t>20</t>
  </si>
  <si>
    <t>12-01-002-09</t>
  </si>
  <si>
    <t>Устройство кровель плоских из наплавляемых материалов в два слоя</t>
  </si>
  <si>
    <t>ФЕР-2001, 12-01-002-09, приказ Минстроя России №1039/пр от 30.12.2016г.</t>
  </si>
  <si>
    <t>20,1</t>
  </si>
  <si>
    <t>12.1.02.04-0142</t>
  </si>
  <si>
    <t>Унифлекс ТКП</t>
  </si>
  <si>
    <t>ФССЦ-2001, 12.1.02.04-0142, приказ Минстроя России №1039/пр от 30.12.2016г.</t>
  </si>
  <si>
    <t>20,2</t>
  </si>
  <si>
    <t>12.1.02.04-0143</t>
  </si>
  <si>
    <t>Унифлекс ТПП</t>
  </si>
  <si>
    <t>ФССЦ-2001, 12.1.02.04-0143, приказ Минстроя России №1039/пр от 30.12.2016г.</t>
  </si>
  <si>
    <t>21</t>
  </si>
  <si>
    <t>Монтаж каркасов ворот большепролетных зданий, ангаров и др. без механизмов открывания</t>
  </si>
  <si>
    <t>21,1</t>
  </si>
  <si>
    <t>08.1.06.01-0014</t>
  </si>
  <si>
    <t>Ворота распашные складчатые РСВ 2,67х2,56 м</t>
  </si>
  <si>
    <t>шт.</t>
  </si>
  <si>
    <t>ФССЦ-2001, 08.1.06.01-0014, приказ Минстроя России №1039/пр от 30.12.2016г.</t>
  </si>
  <si>
    <t>22</t>
  </si>
  <si>
    <t>Монтаж  металлических дверных блоков в готовые проемы</t>
  </si>
  <si>
    <t>Поправка: Прил. 9.3, п.5  Поправка: МДС 81-35.2004, п.4.7</t>
  </si>
  <si>
    <t>22,1</t>
  </si>
  <si>
    <t>07.1.01.03-0021</t>
  </si>
  <si>
    <t>Дверь металлическая распашная с притвором, двупольная с порогомразмером  2,0х1,33м</t>
  </si>
  <si>
    <t>ФССЦ-2001, 07.1.01.03-0021, приказ Минстроя России №1039/пр от 30.12.2016г.</t>
  </si>
  <si>
    <t>22,2</t>
  </si>
  <si>
    <t>07.1.01.03-0002</t>
  </si>
  <si>
    <t>Дверь металлическая распашная с притвором, двупольная с порогом размером 2,1х2,32 м</t>
  </si>
  <si>
    <t>ФССЦ-2001, 07.1.01.03-0002, приказ Минстроя России №1039/пр от 30.12.2016г.</t>
  </si>
  <si>
    <t>22,3</t>
  </si>
  <si>
    <t>07.1.01.03-0022</t>
  </si>
  <si>
    <t>Дверь металлическая двупольная , распашная с притвором , с порогом   размером  2,25х1,23 м</t>
  </si>
  <si>
    <t>ФССЦ-2001, 07.1.01.03-0022,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</si>
  <si>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</si>
  <si>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</si>
  <si>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</si>
  <si>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</si>
  <si>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</si>
  <si>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</si>
  <si>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</si>
  <si>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</si>
  <si>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</si>
  <si>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</si>
  <si>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</si>
  <si>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</si>
  <si>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</si>
  <si>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</si>
  <si>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</si>
  <si>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</si>
  <si>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</si>
  <si>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</si>
  <si>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</si>
  <si>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</si>
  <si>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</si>
  <si>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</si>
  <si>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</si>
  <si>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</si>
  <si>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</si>
  <si>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</si>
  <si>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</si>
  <si>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</si>
  <si>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</si>
  <si>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</si>
  <si>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</si>
  <si>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</si>
  <si>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</si>
  <si>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</si>
  <si>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</si>
  <si>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</si>
  <si>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</si>
  <si>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</si>
  <si>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</si>
  <si>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</si>
  <si>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</si>
  <si>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</si>
  <si>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</si>
  <si>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</si>
  <si>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</si>
  <si>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</si>
  <si>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</si>
  <si>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</si>
  <si>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</si>
  <si>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</si>
  <si>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</si>
  <si>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</si>
  <si>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</si>
  <si>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</si>
  <si>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</si>
  <si>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</si>
  <si>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</si>
  <si>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Сантехнические работы</t>
  </si>
  <si>
    <t>23</t>
  </si>
  <si>
    <t>65-1-1</t>
  </si>
  <si>
    <t>Разборка трубопроводов из водогазопроводных труб диаметром до 32 мм</t>
  </si>
  <si>
    <t>ФЕР-2001, 65-1-1, приказ Минстроя России №1039/пр от 30.12.2016г.</t>
  </si>
  <si>
    <t>Внтуренниие с/техработы:  демонтаж, разборка, промывка</t>
  </si>
  <si>
    <t>рФЕР-65</t>
  </si>
  <si>
    <t>24</t>
  </si>
  <si>
    <t>65-3-7</t>
  </si>
  <si>
    <t>Снятие смесителя</t>
  </si>
  <si>
    <t>100 ШТ</t>
  </si>
  <si>
    <t>ФЕР-2001, 65-3-7, приказ Минстроя России №1039/пр от 30.12.2016г.</t>
  </si>
  <si>
    <t>25</t>
  </si>
  <si>
    <t>65-4-1</t>
  </si>
  <si>
    <t>Демонтаж умывальников и раковин</t>
  </si>
  <si>
    <t>ФЕР-2001, 65-4-1, приказ Минстроя России №1039/пр от 30.12.2016г.</t>
  </si>
  <si>
    <t>26</t>
  </si>
  <si>
    <t>65-2-1</t>
  </si>
  <si>
    <t>Разборка трубопроводов из чугунных канализационных труб диаметром 50 мм</t>
  </si>
  <si>
    <t>ФЕР-2001, 65-2-1, приказ Минстроя России №1039/пр от 30.12.2016г.</t>
  </si>
  <si>
    <t>27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</si>
  <si>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</si>
  <si>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</si>
  <si>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</si>
  <si>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Трубопроводы внутренние</t>
  </si>
  <si>
    <t>ФЕР-16</t>
  </si>
  <si>
    <t>27,1</t>
  </si>
  <si>
    <t>18.5.13.01-0002</t>
  </si>
  <si>
    <t>Узлы укрупненные монтажные (трубопроводы) из стальных водогазопроводных  неоцинкованных труб с гильзами для систем ГВС и ХВС диаметром 20 мм</t>
  </si>
  <si>
    <t>ФССЦ-2001, 18.5.13.01-0002, приказ Минстроя России №1039/пр от 30.12.2016г.</t>
  </si>
  <si>
    <t>28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</si>
  <si>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</si>
  <si>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</si>
  <si>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</si>
  <si>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28,1</t>
  </si>
  <si>
    <t>24.3.03.02-0001</t>
  </si>
  <si>
    <t>Трубопроводы канализации из полиэтиленовых труб высокой плотности с гильзами, диаметром 50 мм</t>
  </si>
  <si>
    <t>ФССЦ-2001, 24.3.03.02-0001, приказ Минстроя России №1039/пр от 30.12.2016г.</t>
  </si>
  <si>
    <t>29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</si>
  <si>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</si>
  <si>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</si>
  <si>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</si>
  <si>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</si>
  <si>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Водопровод и канализация - внутренние устройства</t>
  </si>
  <si>
    <t>ФЕР-17</t>
  </si>
  <si>
    <t>29,1</t>
  </si>
  <si>
    <t>18.2.02.08-0011</t>
  </si>
  <si>
    <t>Раковины стальные эмалированные</t>
  </si>
  <si>
    <t>компл.</t>
  </si>
  <si>
    <t>ФССЦ-2001, 18.2.02.08-0011, приказ Минстроя России №1039/пр от 30.12.2016г.</t>
  </si>
  <si>
    <t>30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</si>
  <si>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</si>
  <si>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</si>
  <si>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</si>
  <si>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</si>
  <si>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30,1</t>
  </si>
  <si>
    <t>18.1.10.10-0046</t>
  </si>
  <si>
    <t>Смесители для умывальников</t>
  </si>
  <si>
    <t>ФССЦ-2001, 18.1.10.10-0046, приказ Минстроя России №1039/пр от 30.12.2016г.</t>
  </si>
  <si>
    <t>31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</si>
  <si>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</si>
  <si>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</si>
  <si>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</si>
  <si>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</si>
  <si>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</si>
  <si>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</si>
  <si>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</si>
  <si>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32</t>
  </si>
  <si>
    <t>т03-01-01-015</t>
  </si>
  <si>
    <t>Перевозка грузов I класса автомобилями бортовыми грузоподъемностью до 15 т на расстояние до 15 км</t>
  </si>
  <si>
    <t>ФССЦпг-2001, т03-01-01-015,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</si>
  <si>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</si>
  <si>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</si>
  <si>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</si>
  <si>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</si>
  <si>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</si>
  <si>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</si>
  <si>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</si>
  <si>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</si>
  <si>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</si>
  <si>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</si>
  <si>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</si>
  <si>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</si>
  <si>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</si>
  <si>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</si>
  <si>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</si>
  <si>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</si>
  <si>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</si>
  <si>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</si>
  <si>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</si>
  <si>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</si>
  <si>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</si>
  <si>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</si>
  <si>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</si>
  <si>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</si>
  <si>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</si>
  <si>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</si>
  <si>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</si>
  <si>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</si>
  <si>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</si>
  <si>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</si>
  <si>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</si>
  <si>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</si>
  <si>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</si>
  <si>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</si>
  <si>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</si>
  <si>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</si>
  <si>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</si>
  <si>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</si>
  <si>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</si>
  <si>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</si>
  <si>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</si>
  <si>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</si>
  <si>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</si>
  <si>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</si>
  <si>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</si>
  <si>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</si>
  <si>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</si>
  <si>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</si>
  <si>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</si>
  <si>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</si>
  <si>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</si>
  <si>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</si>
  <si>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</si>
  <si>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</si>
  <si>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</si>
  <si>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</si>
  <si>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</si>
  <si>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</si>
  <si>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</si>
  <si>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</si>
  <si>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</si>
  <si>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</si>
  <si>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</si>
  <si>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</si>
  <si>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</si>
  <si>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Новый уровень цен</t>
  </si>
  <si>
    <t>Индексы за итогом</t>
  </si>
  <si>
    <t>_OBSM_</t>
  </si>
  <si>
    <t>1-100-31</t>
  </si>
  <si>
    <t>Рабочий среднего разряда 3.1</t>
  </si>
  <si>
    <t>чел.-ч.</t>
  </si>
  <si>
    <t>4-100-00</t>
  </si>
  <si>
    <t>Затраты труда машинистов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</si>
  <si>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</si>
  <si>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</si>
  <si>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</si>
  <si>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маш.-ч</t>
  </si>
  <si>
    <t>11.2.13.06-0011</t>
  </si>
  <si>
    <t>ФССЦ-2001, 11.2.13.06-0011, приказ Минстроя России №1039/пр от 30.12.2016г.</t>
  </si>
  <si>
    <t>Щиты: настила</t>
  </si>
  <si>
    <t>1-100-20</t>
  </si>
  <si>
    <t>Рабочий среднего разряда 2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</si>
  <si>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</si>
  <si>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</si>
  <si>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</si>
  <si>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</si>
  <si>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</si>
  <si>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</si>
  <si>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</si>
  <si>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</si>
  <si>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</si>
  <si>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1-100-24</t>
  </si>
  <si>
    <t>Рабочий среднего разряда 2.4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</si>
  <si>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</si>
  <si>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</si>
  <si>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</si>
  <si>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</si>
  <si>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</si>
  <si>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</si>
  <si>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</si>
  <si>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</si>
  <si>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</si>
  <si>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</si>
  <si>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</si>
  <si>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</si>
  <si>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</si>
  <si>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</si>
  <si>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1-100-43</t>
  </si>
  <si>
    <t>Рабочий среднего разряда 4.3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</si>
  <si>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</si>
  <si>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</si>
  <si>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</si>
  <si>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</si>
  <si>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</si>
  <si>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</si>
  <si>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91.05.06-010</t>
  </si>
  <si>
    <t>ФСЭМ-2001, 91.05.06-010, приказ Минстроя России №1039/пр от 30.12.2016г.</t>
  </si>
  <si>
    <t>Краны на гусеничном ходу, грузоподъемность 100 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</si>
  <si>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</si>
  <si>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</si>
  <si>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</si>
  <si>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</si>
  <si>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</si>
  <si>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</si>
  <si>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</si>
  <si>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</si>
  <si>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</si>
  <si>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</si>
  <si>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</si>
  <si>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</si>
  <si>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</si>
  <si>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</si>
  <si>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</si>
  <si>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м3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</si>
  <si>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</si>
  <si>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</si>
  <si>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</si>
  <si>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</si>
  <si>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</si>
  <si>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</si>
  <si>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</si>
  <si>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</si>
  <si>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</si>
  <si>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</si>
  <si>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</si>
  <si>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</si>
  <si>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</si>
  <si>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</si>
  <si>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</si>
  <si>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</si>
  <si>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</si>
  <si>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</si>
  <si>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</si>
  <si>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</si>
  <si>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</si>
  <si>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</si>
  <si>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</si>
  <si>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</si>
  <si>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</si>
  <si>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</si>
  <si>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</si>
  <si>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</si>
  <si>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</si>
  <si>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</si>
  <si>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</si>
  <si>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</si>
  <si>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</si>
  <si>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</si>
  <si>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1-100-40</t>
  </si>
  <si>
    <t>Рабочий среднего разряда 4</t>
  </si>
  <si>
    <t>01.7.20.08-0051</t>
  </si>
  <si>
    <t>ФССЦ-2001, 01.7.20.08-0051, приказ Минстроя России №1039/пр от 30.12.2016г.</t>
  </si>
  <si>
    <t>Ветошь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</si>
  <si>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</si>
  <si>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</si>
  <si>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</si>
  <si>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</si>
  <si>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</si>
  <si>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</si>
  <si>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</si>
  <si>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</si>
  <si>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</si>
  <si>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</si>
  <si>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</si>
  <si>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</si>
  <si>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</si>
  <si>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</si>
  <si>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</si>
  <si>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</si>
  <si>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</si>
  <si>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</si>
  <si>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</si>
  <si>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</si>
  <si>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</si>
  <si>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</si>
  <si>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</si>
  <si>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</si>
  <si>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</si>
  <si>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1-100-32</t>
  </si>
  <si>
    <t>Рабочий среднего разряда 3.2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</si>
  <si>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</si>
  <si>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</si>
  <si>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</si>
  <si>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</si>
  <si>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</si>
  <si>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</si>
  <si>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1-100-39</t>
  </si>
  <si>
    <t>Рабочий среднего разряда 3.9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</si>
  <si>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</si>
  <si>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</si>
  <si>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</si>
  <si>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91.07.03-010</t>
  </si>
  <si>
    <t>ФСЭМ-2001, 91.07.03-010, приказ Минстроя России №1039/пр от 30.12.2016г.</t>
  </si>
  <si>
    <t>Бетоносмесители принудительного действия передвижные 250 л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</si>
  <si>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</si>
  <si>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</si>
  <si>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 ат), производительность до 5 м3/мин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</si>
  <si>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</si>
  <si>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</si>
  <si>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</si>
  <si>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01.7.03.01-0001</t>
  </si>
  <si>
    <t>ФССЦ-2001, 01.7.03.01-0001, приказ Минстроя России №1039/пр от 30.12.2016г.</t>
  </si>
  <si>
    <t>Вода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</si>
  <si>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</si>
  <si>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</si>
  <si>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</si>
  <si>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01.7.17.05-0021</t>
  </si>
  <si>
    <t>ФССЦ-2001, 01.7.17.05-0021, приказ Минстроя России №1039/пр от 30.12.2016г.</t>
  </si>
  <si>
    <t>Карборунд</t>
  </si>
  <si>
    <t>02.2.05.03-0011</t>
  </si>
  <si>
    <t>ФССЦ-2001, 02.2.05.03-0011, приказ Минстроя России №1039/пр от 30.12.2016г.</t>
  </si>
  <si>
    <t>Щебень андезитовый фракционный марки № 1 от 10 до 15 мм</t>
  </si>
  <si>
    <t>03.2.01.01-0003</t>
  </si>
  <si>
    <t>ФССЦ-2001, 03.2.01.01-0003, приказ Минстроя России №1039/пр от 30.12.2016г.</t>
  </si>
  <si>
    <t>Портландцемент общестроительного назначения бездобавочный, марки 500</t>
  </si>
  <si>
    <t>11.1.03.01-0063</t>
  </si>
  <si>
    <t>ФССЦ-2001, 11.1.03.01-0063, приказ Минстроя России №1039/пр от 30.12.2016г.</t>
  </si>
  <si>
    <t>Бруски обрезные хвойных пород длиной 2-3,75 м, шириной 75-150 мм, толщиной 40-75 мм, III сорта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</si>
  <si>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</si>
  <si>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</si>
  <si>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</si>
  <si>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1-100-27</t>
  </si>
  <si>
    <t>Рабочий среднего разряда 2.7</t>
  </si>
  <si>
    <t>91.21.22-193</t>
  </si>
  <si>
    <t>ФСЭМ-2001, 91.21.22-193, приказ Минстроя России №1039/пр от 30.12.2016г.</t>
  </si>
  <si>
    <t>Машины для сварки линолеума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</si>
  <si>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</si>
  <si>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</si>
  <si>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</si>
  <si>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</si>
  <si>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</si>
  <si>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</si>
  <si>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</si>
  <si>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</si>
  <si>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</si>
  <si>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91.21.12-004</t>
  </si>
  <si>
    <t>ФСЭМ-2001, 91.21.12-004, приказ Минстроя России №1039/пр от 30.12.2016г.</t>
  </si>
  <si>
    <t>Ножницы электрические</t>
  </si>
  <si>
    <t>01.7.15.04-0041</t>
  </si>
  <si>
    <t>ФССЦ-2001, 01.7.15.04-0041, приказ Минстроя России №1039/пр от 30.12.2016г.</t>
  </si>
  <si>
    <t>Винты самонарезающие 4,5х19 мм</t>
  </si>
  <si>
    <t>01.7.15.06-0092</t>
  </si>
  <si>
    <t>ФССЦ-2001, 01.7.15.06-0092, приказ Минстроя России №1039/пр от 30.12.2016г.</t>
  </si>
  <si>
    <t>Гвозди проволочные оцинкованные для асбестоцементной кровли 4,0х100 мм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</si>
  <si>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</si>
  <si>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</si>
  <si>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</si>
  <si>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01.7.15.14-0063</t>
  </si>
  <si>
    <t>ФССЦ-2001, 01.7.15.14-0063, приказ Минстроя России №1039/пр от 30.12.2016г.</t>
  </si>
  <si>
    <t>Шурупы-саморезы коньковые оцинкованные 4,8х80 мм</t>
  </si>
  <si>
    <t>01.7.15.14-0101</t>
  </si>
  <si>
    <t>ФССЦ-2001, 01.7.15.14-0101, приказ Минстроя России №1039/пр от 30.12.2016г.</t>
  </si>
  <si>
    <t>Шурупы-саморезы с шести-восьмигранной головкой 4,5х25(35) мм и специальной уплотнительной прокладкой (шайбой) из ЭПДМ</t>
  </si>
  <si>
    <t>10 шт.</t>
  </si>
  <si>
    <t>11.1.03.01-0011</t>
  </si>
  <si>
    <t>ФССЦ-2001, 11.1.03.01-0011, приказ Минстроя России №1039/пр от 30.12.2016г.</t>
  </si>
  <si>
    <t>Бруски деревянные пропитанные длиной 1 м и более, шириной 40-75 мм, толщиной 22-32 мм, I сорта</t>
  </si>
  <si>
    <t>11.1.03.06-0001</t>
  </si>
  <si>
    <t>ФССЦ-2001, 11.1.03.06-0001, приказ Минстроя России №1039/пр от 30.12.2016г.</t>
  </si>
  <si>
    <t>Доски антисептированные обрезные длиной 4-6,5 м, шириной 75- 150 мм, толщиной 32-40 мм II сорта</t>
  </si>
  <si>
    <t>12.1.01.03-0039</t>
  </si>
  <si>
    <t>ФССЦ-2001, 12.1.01.03-0039, приказ Минстроя России №1039/пр от 30.12.2016г.</t>
  </si>
  <si>
    <t>Пленка подкровельная антиконденсатная (гидроизоляционная) типа ЮТАКОН</t>
  </si>
  <si>
    <t>12.1.02.14-0002</t>
  </si>
  <si>
    <t>ФССЦ-2001, 12.1.02.14-0002, приказ Минстроя России №1039/пр от 30.12.2016г.</t>
  </si>
  <si>
    <t>Толь с крупнозернистой посыпкой марки ТВК-350</t>
  </si>
  <si>
    <t>12.2.03.02-0002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</si>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</sst>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3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165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 wrapText="1"/>
    </xf>
    <xf numFmtId="164" fontId="13" fillId="0" borderId="3" xfId="0" applyNumberFormat="1" applyFont="1" applyBorder="1" applyAlignment="1">
      <alignment horizontal="right"/>
    </xf>
    <xf numFmtId="164" fontId="12" fillId="0" borderId="3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3" xfId="0" quotePrefix="1" applyFont="1" applyBorder="1" applyAlignment="1">
      <alignment horizontal="right" wrapText="1"/>
    </xf>
    <xf numFmtId="0" fontId="12" fillId="0" borderId="3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left" vertical="top"/>
    </xf>
    <xf numFmtId="0" fontId="13" fillId="0" borderId="3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6" xfId="0" applyFont="1" applyBorder="1" applyAlignment="1">
      <alignment horizontal="left" vertical="center" shrinkToFit="1"/>
    </xf>
    <xf numFmtId="0" fontId="13" fillId="0" borderId="6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0" fillId="0" borderId="0" xfId="0" applyFont="1"/>
    <xf numFmtId="164" fontId="16" fillId="0" borderId="1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horizontal="right"/>
    </xf>
    <xf numFmtId="0" fontId="13" fillId="0" borderId="3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right" vertical="center" shrinkToFit="1"/>
    </xf>
    <xf numFmtId="0" fontId="13" fillId="0" borderId="6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center" vertical="top" shrinkToFit="1"/>
    </xf>
    <xf numFmtId="0" fontId="13" fillId="0" borderId="0" xfId="0" applyFont="1" applyAlignment="1">
      <alignment horizontal="left" wrapText="1"/>
    </xf>
    <xf numFmtId="0" fontId="11" fillId="0" borderId="0" xfId="0" quotePrefix="1" applyFont="1" applyAlignment="1">
      <alignment wrapText="1"/>
    </xf>
    <xf numFmtId="0" fontId="13" fillId="0" borderId="2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2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3" xfId="0" applyFont="1" applyBorder="1" applyAlignment="1">
      <alignment horizontal="right"/>
    </xf>
    <xf numFmtId="0" fontId="13" fillId="0" borderId="4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38"/>
  <sheetViews>
    <sheetView tabSelected="1" zoomScaleNormal="100" workbookViewId="0">
      <selection activeCell="I2" sqref="I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x14ac:dyDescent="0.2">
      <c r="A2" s="12"/>
      <c r="I2" t="s">
        <v>845</v>
      </c>
    </row>
    <row r="3" spans="1:12" x14ac:dyDescent="0.2">
      <c r="A3" s="12"/>
    </row>
    <row r="4" spans="1:12" x14ac:dyDescent="0.2">
      <c r="A4" s="12"/>
    </row>
    <row r="5" spans="1:12" ht="15.75" x14ac:dyDescent="0.25">
      <c r="A5" s="17"/>
      <c r="B5" s="80" t="s">
        <v>218</v>
      </c>
      <c r="C5" s="80"/>
      <c r="D5" s="80"/>
      <c r="E5" s="80"/>
      <c r="F5" s="80"/>
      <c r="G5" s="80"/>
      <c r="H5" s="80"/>
      <c r="I5" s="80"/>
      <c r="J5" s="80"/>
      <c r="K5" s="80"/>
      <c r="L5" s="17"/>
    </row>
    <row r="6" spans="1:12" ht="15.75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7"/>
    </row>
    <row r="7" spans="1:12" ht="18" hidden="1" x14ac:dyDescent="0.25">
      <c r="A7" s="17"/>
      <c r="B7" s="81"/>
      <c r="C7" s="81"/>
      <c r="D7" s="81"/>
      <c r="E7" s="81"/>
      <c r="F7" s="81"/>
      <c r="G7" s="81"/>
      <c r="H7" s="81"/>
      <c r="I7" s="81"/>
      <c r="J7" s="81"/>
      <c r="K7" s="81"/>
      <c r="L7" s="17"/>
    </row>
    <row r="8" spans="1:12" ht="14.25" hidden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ht="55.5" customHeight="1" x14ac:dyDescent="0.25">
      <c r="A9" s="14"/>
      <c r="B9" s="81" t="s">
        <v>219</v>
      </c>
      <c r="C9" s="81"/>
      <c r="D9" s="81"/>
      <c r="E9" s="81"/>
      <c r="F9" s="81"/>
      <c r="G9" s="81"/>
      <c r="H9" s="81"/>
      <c r="I9" s="81"/>
      <c r="J9" s="81"/>
      <c r="K9" s="81"/>
      <c r="L9" s="19"/>
    </row>
    <row r="10" spans="1:12" ht="14.25" x14ac:dyDescent="0.2">
      <c r="A10" s="14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16"/>
    </row>
    <row r="11" spans="1:12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20"/>
      <c r="F13" s="20"/>
      <c r="G13" s="83" t="s">
        <v>125</v>
      </c>
      <c r="H13" s="83"/>
      <c r="I13" s="83" t="s">
        <v>126</v>
      </c>
      <c r="J13" s="83"/>
      <c r="K13" s="14"/>
      <c r="L13" s="14"/>
    </row>
    <row r="14" spans="1:12" ht="15" x14ac:dyDescent="0.25">
      <c r="A14" s="14"/>
      <c r="B14" s="14"/>
      <c r="C14" s="77" t="s">
        <v>127</v>
      </c>
      <c r="D14" s="77"/>
      <c r="E14" s="77"/>
      <c r="F14" s="77"/>
      <c r="G14" s="75">
        <f>SUM(O1:O334)/1000</f>
        <v>190.82841999999999</v>
      </c>
      <c r="H14" s="75"/>
      <c r="I14" s="75">
        <f>(Source!P272/1000)</f>
        <v>1369.4480900000001</v>
      </c>
      <c r="J14" s="75"/>
      <c r="K14" s="76" t="s">
        <v>128</v>
      </c>
      <c r="L14" s="76"/>
    </row>
    <row r="15" spans="1:12" ht="14.25" x14ac:dyDescent="0.2">
      <c r="A15" s="14"/>
      <c r="B15" s="14"/>
      <c r="C15" s="79" t="s">
        <v>129</v>
      </c>
      <c r="D15" s="79"/>
      <c r="E15" s="79"/>
      <c r="F15" s="79"/>
      <c r="G15" s="75">
        <f>SUM(W1:W334)/1000</f>
        <v>190.82842000000002</v>
      </c>
      <c r="H15" s="75"/>
      <c r="I15" s="75">
        <f>(Source!P259)/1000</f>
        <v>1160.5492300000001</v>
      </c>
      <c r="J15" s="75"/>
      <c r="K15" s="76" t="s">
        <v>128</v>
      </c>
      <c r="L15" s="76"/>
    </row>
    <row r="16" spans="1:12" ht="14.25" x14ac:dyDescent="0.2">
      <c r="A16" s="14"/>
      <c r="B16" s="14"/>
      <c r="C16" s="79" t="s">
        <v>130</v>
      </c>
      <c r="D16" s="79"/>
      <c r="E16" s="79"/>
      <c r="F16" s="79"/>
      <c r="G16" s="75">
        <f>SUM(X1:X334)/1000</f>
        <v>0</v>
      </c>
      <c r="H16" s="75"/>
      <c r="I16" s="75">
        <f>(Source!P260)/1000</f>
        <v>0</v>
      </c>
      <c r="J16" s="75"/>
      <c r="K16" s="76" t="s">
        <v>128</v>
      </c>
      <c r="L16" s="76"/>
    </row>
    <row r="17" spans="1:22" ht="14.25" x14ac:dyDescent="0.2">
      <c r="A17" s="14"/>
      <c r="B17" s="14"/>
      <c r="C17" s="79" t="s">
        <v>131</v>
      </c>
      <c r="D17" s="79"/>
      <c r="E17" s="79"/>
      <c r="F17" s="79"/>
      <c r="G17" s="75">
        <f>SUM(Y1:Y334)/1000</f>
        <v>0</v>
      </c>
      <c r="H17" s="75"/>
      <c r="I17" s="75">
        <f>(Source!P251)/1000</f>
        <v>0</v>
      </c>
      <c r="J17" s="75"/>
      <c r="K17" s="76" t="s">
        <v>128</v>
      </c>
      <c r="L17" s="76"/>
    </row>
    <row r="18" spans="1:22" ht="14.25" x14ac:dyDescent="0.2">
      <c r="A18" s="14"/>
      <c r="B18" s="14"/>
      <c r="C18" s="79" t="s">
        <v>132</v>
      </c>
      <c r="D18" s="79"/>
      <c r="E18" s="79"/>
      <c r="F18" s="79"/>
      <c r="G18" s="75">
        <f>SUM(Z1:Z334)/1000</f>
        <v>0</v>
      </c>
      <c r="H18" s="75"/>
      <c r="I18" s="75">
        <f>(Source!P261+Source!P262)/1000</f>
        <v>0</v>
      </c>
      <c r="J18" s="75"/>
      <c r="K18" s="76" t="s">
        <v>128</v>
      </c>
      <c r="L18" s="76"/>
    </row>
    <row r="19" spans="1:22" ht="15" x14ac:dyDescent="0.25">
      <c r="A19" s="14"/>
      <c r="B19" s="14"/>
      <c r="C19" s="77" t="s">
        <v>133</v>
      </c>
      <c r="D19" s="77"/>
      <c r="E19" s="77"/>
      <c r="F19" s="77"/>
      <c r="G19" s="75">
        <f>I19</f>
        <v>2108.0773169999993</v>
      </c>
      <c r="H19" s="75"/>
      <c r="I19" s="75">
        <f>(Source!P264+Source!P265)</f>
        <v>2108.0773169999993</v>
      </c>
      <c r="J19" s="75"/>
      <c r="K19" s="76" t="s">
        <v>134</v>
      </c>
      <c r="L19" s="76"/>
    </row>
    <row r="20" spans="1:22" ht="15" x14ac:dyDescent="0.25">
      <c r="A20" s="14"/>
      <c r="B20" s="14"/>
      <c r="C20" s="77" t="s">
        <v>135</v>
      </c>
      <c r="D20" s="77"/>
      <c r="E20" s="77"/>
      <c r="F20" s="77"/>
      <c r="G20" s="75">
        <f>SUM(R1:R334)/1000</f>
        <v>18.986580000000011</v>
      </c>
      <c r="H20" s="75"/>
      <c r="I20" s="75">
        <f>((Source!P257 + Source!P256)/1000)</f>
        <v>115.43827</v>
      </c>
      <c r="J20" s="75"/>
      <c r="K20" s="76" t="s">
        <v>128</v>
      </c>
      <c r="L20" s="76"/>
    </row>
    <row r="21" spans="1:22" ht="14.25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22" ht="14.25" x14ac:dyDescent="0.2">
      <c r="A22" s="78" t="s">
        <v>148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</row>
    <row r="23" spans="1:22" ht="57" x14ac:dyDescent="0.2">
      <c r="A23" s="21" t="s">
        <v>136</v>
      </c>
      <c r="B23" s="21" t="s">
        <v>137</v>
      </c>
      <c r="C23" s="21" t="s">
        <v>138</v>
      </c>
      <c r="D23" s="21" t="s">
        <v>139</v>
      </c>
      <c r="E23" s="21" t="s">
        <v>140</v>
      </c>
      <c r="F23" s="21" t="s">
        <v>141</v>
      </c>
      <c r="G23" s="21" t="s">
        <v>142</v>
      </c>
      <c r="H23" s="21" t="s">
        <v>143</v>
      </c>
      <c r="I23" s="21" t="s">
        <v>144</v>
      </c>
      <c r="J23" s="21" t="s">
        <v>145</v>
      </c>
      <c r="K23" s="21" t="s">
        <v>146</v>
      </c>
      <c r="L23" s="21" t="s">
        <v>147</v>
      </c>
    </row>
    <row r="24" spans="1:22" ht="14.25" x14ac:dyDescent="0.2">
      <c r="A24" s="22">
        <v>1</v>
      </c>
      <c r="B24" s="22">
        <v>2</v>
      </c>
      <c r="C24" s="22">
        <v>3</v>
      </c>
      <c r="D24" s="22">
        <v>4</v>
      </c>
      <c r="E24" s="22">
        <v>5</v>
      </c>
      <c r="F24" s="22">
        <v>6</v>
      </c>
      <c r="G24" s="22">
        <v>7</v>
      </c>
      <c r="H24" s="22">
        <v>8</v>
      </c>
      <c r="I24" s="22">
        <v>9</v>
      </c>
      <c r="J24" s="22">
        <v>10</v>
      </c>
      <c r="K24" s="22">
        <v>11</v>
      </c>
      <c r="L24" s="23">
        <v>12</v>
      </c>
    </row>
    <row r="26" spans="1:22" ht="16.5" x14ac:dyDescent="0.25">
      <c r="A26" s="73" t="str">
        <f>CONCATENATE("Раздел: ",IF(Source!G24&lt;&gt;"Новый раздел", Source!G24, ""))</f>
        <v>Раздел: Общестроительные работы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</row>
    <row r="27" spans="1:22" ht="57" x14ac:dyDescent="0.2">
      <c r="A27" s="49" t="str">
        <f>Source!E29</f>
        <v>1</v>
      </c>
      <c r="B27" s="50" t="str">
        <f>Source!F29</f>
        <v>08-07-001-02</v>
      </c>
      <c r="C27" s="50" t="str">
        <f>Source!G29</f>
        <v>Установка и разборка наружных инвентарных лесов высотой до 16 м трубчатых для прочих отделочных работ</v>
      </c>
      <c r="D27" s="31" t="str">
        <f>Source!H29</f>
        <v>100 м2</v>
      </c>
      <c r="E27" s="13">
        <f>Source!I29</f>
        <v>2.91</v>
      </c>
      <c r="F27" s="32">
        <f>Source!AL29+Source!AM29+Source!AO29</f>
        <v>500.18999999999994</v>
      </c>
      <c r="G27" s="33"/>
      <c r="H27" s="34"/>
      <c r="I27" s="33" t="str">
        <f>Source!BO29</f>
        <v/>
      </c>
      <c r="J27" s="33"/>
      <c r="K27" s="34"/>
      <c r="L27" s="35"/>
      <c r="S27">
        <f>ROUND((Source!FX29/100)*((ROUND(Source!AF29*Source!I29, 2)+ROUND(Source!AE29*Source!I29, 2))), 2)</f>
        <v>1384.25</v>
      </c>
      <c r="T27">
        <f>Source!X29</f>
        <v>8431.52</v>
      </c>
      <c r="U27">
        <f>ROUND((Source!FY29/100)*((ROUND(Source!AF29*Source!I29, 2)+ROUND(Source!AE29*Source!I29, 2))), 2)</f>
        <v>857.28</v>
      </c>
      <c r="V27">
        <f>Source!Y29</f>
        <v>5212.21</v>
      </c>
    </row>
    <row r="28" spans="1:22" x14ac:dyDescent="0.2">
      <c r="C28" s="26" t="str">
        <f>"Объем: "&amp;Source!I29&amp;"=291/"&amp;"100"</f>
        <v>Объем: 2,91=291/100</v>
      </c>
    </row>
    <row r="29" spans="1:22" ht="14.25" x14ac:dyDescent="0.2">
      <c r="A29" s="49"/>
      <c r="B29" s="50"/>
      <c r="C29" s="50" t="s">
        <v>149</v>
      </c>
      <c r="D29" s="31"/>
      <c r="E29" s="13"/>
      <c r="F29" s="32">
        <f>Source!AO29</f>
        <v>375.84</v>
      </c>
      <c r="G29" s="33" t="str">
        <f>Source!DG29</f>
        <v>)*1,15</v>
      </c>
      <c r="H29" s="34">
        <f>ROUND(Source!AF29*Source!I29, 2)</f>
        <v>1257.75</v>
      </c>
      <c r="I29" s="33"/>
      <c r="J29" s="33">
        <f>IF(Source!BA29&lt;&gt; 0, Source!BA29, 1)</f>
        <v>6.08</v>
      </c>
      <c r="K29" s="34">
        <f>Source!S29</f>
        <v>7647.11</v>
      </c>
      <c r="L29" s="35"/>
      <c r="R29">
        <f>H29</f>
        <v>1257.75</v>
      </c>
    </row>
    <row r="30" spans="1:22" ht="14.25" x14ac:dyDescent="0.2">
      <c r="A30" s="49"/>
      <c r="B30" s="50"/>
      <c r="C30" s="50" t="s">
        <v>451</v>
      </c>
      <c r="D30" s="31"/>
      <c r="E30" s="13"/>
      <c r="F30" s="32">
        <f>Source!AM29</f>
        <v>4.5999999999999996</v>
      </c>
      <c r="G30" s="33" t="str">
        <f>Source!DE29</f>
        <v>)*1,25</v>
      </c>
      <c r="H30" s="34">
        <f>ROUND(Source!AD29*Source!I29, 2)</f>
        <v>16.73</v>
      </c>
      <c r="I30" s="33"/>
      <c r="J30" s="33">
        <f>IF(Source!BB29&lt;&gt; 0, Source!BB29, 1)</f>
        <v>6.08</v>
      </c>
      <c r="K30" s="34">
        <f>Source!Q29</f>
        <v>101.73</v>
      </c>
      <c r="L30" s="35"/>
    </row>
    <row r="31" spans="1:22" ht="14.25" x14ac:dyDescent="0.2">
      <c r="A31" s="49"/>
      <c r="B31" s="50"/>
      <c r="C31" s="50" t="s">
        <v>150</v>
      </c>
      <c r="D31" s="31"/>
      <c r="E31" s="13"/>
      <c r="F31" s="32">
        <f>Source!AN29</f>
        <v>0.81</v>
      </c>
      <c r="G31" s="33" t="str">
        <f>Source!DF29</f>
        <v>)*1,25</v>
      </c>
      <c r="H31" s="36">
        <f>ROUND(Source!AE29*Source!I29, 2)</f>
        <v>2.95</v>
      </c>
      <c r="I31" s="33"/>
      <c r="J31" s="33">
        <f>IF(Source!BS29&lt;&gt; 0, Source!BS29, 1)</f>
        <v>6.08</v>
      </c>
      <c r="K31" s="36">
        <f>Source!R29</f>
        <v>17.91</v>
      </c>
      <c r="L31" s="35"/>
      <c r="R31">
        <f>H31</f>
        <v>2.95</v>
      </c>
    </row>
    <row r="32" spans="1:22" ht="14.25" x14ac:dyDescent="0.2">
      <c r="A32" s="49"/>
      <c r="B32" s="50"/>
      <c r="C32" s="50" t="s">
        <v>151</v>
      </c>
      <c r="D32" s="31"/>
      <c r="E32" s="13"/>
      <c r="F32" s="32">
        <f>Source!AL29</f>
        <v>119.75</v>
      </c>
      <c r="G32" s="33" t="str">
        <f>Source!DD29</f>
        <v/>
      </c>
      <c r="H32" s="34">
        <f>ROUND(Source!AC29*Source!I29, 2)</f>
        <v>348.47</v>
      </c>
      <c r="I32" s="33"/>
      <c r="J32" s="33">
        <f>IF(Source!BC29&lt;&gt; 0, Source!BC29, 1)</f>
        <v>6.08</v>
      </c>
      <c r="K32" s="34">
        <f>Source!P29</f>
        <v>2118.71</v>
      </c>
      <c r="L32" s="35"/>
    </row>
    <row r="33" spans="1:26" ht="14.25" x14ac:dyDescent="0.2">
      <c r="A33" s="49"/>
      <c r="B33" s="50"/>
      <c r="C33" s="50" t="s">
        <v>152</v>
      </c>
      <c r="D33" s="31" t="s">
        <v>153</v>
      </c>
      <c r="E33" s="13">
        <f>Source!BZ29</f>
        <v>122</v>
      </c>
      <c r="F33" s="70" t="str">
        <f>CONCATENATE(" )", Source!DL29, Source!FT29, "=", Source!FX29)</f>
        <v xml:space="preserve"> )*0,9=109,8</v>
      </c>
      <c r="G33" s="71"/>
      <c r="H33" s="34">
        <f>SUM(S27:S35)</f>
        <v>1384.25</v>
      </c>
      <c r="I33" s="37"/>
      <c r="J33" s="29">
        <f>Source!AT29</f>
        <v>110</v>
      </c>
      <c r="K33" s="34">
        <f>SUM(T27:T35)</f>
        <v>8431.52</v>
      </c>
      <c r="L33" s="35"/>
    </row>
    <row r="34" spans="1:26" ht="14.25" x14ac:dyDescent="0.2">
      <c r="A34" s="49"/>
      <c r="B34" s="50"/>
      <c r="C34" s="50" t="s">
        <v>154</v>
      </c>
      <c r="D34" s="31" t="s">
        <v>153</v>
      </c>
      <c r="E34" s="13">
        <f>Source!CA29</f>
        <v>80</v>
      </c>
      <c r="F34" s="70" t="str">
        <f>CONCATENATE(" )", Source!DM29, Source!FU29, "=", Source!FY29)</f>
        <v xml:space="preserve"> )*0,85=68</v>
      </c>
      <c r="G34" s="71"/>
      <c r="H34" s="34">
        <f>SUM(U27:U35)</f>
        <v>857.28</v>
      </c>
      <c r="I34" s="37"/>
      <c r="J34" s="29">
        <f>Source!AU29</f>
        <v>68</v>
      </c>
      <c r="K34" s="34">
        <f>SUM(V27:V35)</f>
        <v>5212.21</v>
      </c>
      <c r="L34" s="35"/>
    </row>
    <row r="35" spans="1:26" ht="14.25" x14ac:dyDescent="0.2">
      <c r="A35" s="51"/>
      <c r="B35" s="52"/>
      <c r="C35" s="52" t="s">
        <v>155</v>
      </c>
      <c r="D35" s="38" t="s">
        <v>156</v>
      </c>
      <c r="E35" s="39">
        <f>Source!AQ29</f>
        <v>43.5</v>
      </c>
      <c r="F35" s="40"/>
      <c r="G35" s="41" t="str">
        <f>Source!DI29</f>
        <v>)*1,15</v>
      </c>
      <c r="H35" s="42"/>
      <c r="I35" s="41"/>
      <c r="J35" s="41"/>
      <c r="K35" s="42"/>
      <c r="L35" s="43">
        <f>Source!U29</f>
        <v>145.57275000000001</v>
      </c>
    </row>
    <row r="36" spans="1:26" ht="15" x14ac:dyDescent="0.25">
      <c r="G36" s="69">
        <f>H29+H30+H32+H33+H34</f>
        <v>3864.4799999999996</v>
      </c>
      <c r="H36" s="69"/>
      <c r="J36" s="69">
        <f>K29+K30+K32+K33+K34</f>
        <v>23511.279999999999</v>
      </c>
      <c r="K36" s="69"/>
      <c r="L36" s="44">
        <f>Source!U29</f>
        <v>145.57275000000001</v>
      </c>
      <c r="O36" s="27">
        <f>G36</f>
        <v>3864.4799999999996</v>
      </c>
      <c r="P36" s="27">
        <f>J36</f>
        <v>23511.279999999999</v>
      </c>
      <c r="Q36" s="27">
        <f>L36</f>
        <v>145.57275000000001</v>
      </c>
      <c r="W36">
        <f>IF(Source!BI29&lt;=1,H29+H30+H32+H33+H34, 0)</f>
        <v>3864.4799999999996</v>
      </c>
      <c r="X36">
        <f>IF(Source!BI29=2,H29+H30+H32+H33+H34, 0)</f>
        <v>0</v>
      </c>
      <c r="Y36">
        <f>IF(Source!BI29=3,H29+H30+H32+H33+H34, 0)</f>
        <v>0</v>
      </c>
      <c r="Z36">
        <f>IF(Source!BI29=4,H29+H30+H32+H33+H34, 0)</f>
        <v>0</v>
      </c>
    </row>
    <row r="37" spans="1:26" ht="28.5" x14ac:dyDescent="0.2">
      <c r="A37" s="49" t="str">
        <f>Source!E31</f>
        <v>2</v>
      </c>
      <c r="B37" s="50" t="str">
        <f>Source!F31</f>
        <v>57-2-1</v>
      </c>
      <c r="C37" s="50" t="str">
        <f>Source!G31</f>
        <v>Разборка покрытий полов из линолеума и релина</v>
      </c>
      <c r="D37" s="31" t="str">
        <f>Source!H31</f>
        <v>100 м2</v>
      </c>
      <c r="E37" s="13">
        <f>Source!I31</f>
        <v>0.20399999999999999</v>
      </c>
      <c r="F37" s="32">
        <f>Source!AL31+Source!AM31+Source!AO31</f>
        <v>92.9</v>
      </c>
      <c r="G37" s="33"/>
      <c r="H37" s="34"/>
      <c r="I37" s="33" t="str">
        <f>Source!BO31</f>
        <v/>
      </c>
      <c r="J37" s="33"/>
      <c r="K37" s="34"/>
      <c r="L37" s="35"/>
      <c r="S37">
        <f>ROUND((Source!FX31/100)*((ROUND(Source!AF31*Source!I31, 2)+ROUND(Source!AE31*Source!I31, 2))), 2)</f>
        <v>14.78</v>
      </c>
      <c r="T37">
        <f>Source!X31</f>
        <v>89.9</v>
      </c>
      <c r="U37">
        <f>ROUND((Source!FY31/100)*((ROUND(Source!AF31*Source!I31, 2)+ROUND(Source!AE31*Source!I31, 2))), 2)</f>
        <v>12.57</v>
      </c>
      <c r="V37">
        <f>Source!Y31</f>
        <v>76.41</v>
      </c>
    </row>
    <row r="38" spans="1:26" x14ac:dyDescent="0.2">
      <c r="C38" s="26" t="str">
        <f>"Объем: "&amp;Source!I31&amp;"=20,4/"&amp;"100"</f>
        <v>Объем: 0,204=20,4/100</v>
      </c>
    </row>
    <row r="39" spans="1:26" ht="14.25" x14ac:dyDescent="0.2">
      <c r="A39" s="49"/>
      <c r="B39" s="50"/>
      <c r="C39" s="50" t="s">
        <v>149</v>
      </c>
      <c r="D39" s="31"/>
      <c r="E39" s="13"/>
      <c r="F39" s="32">
        <f>Source!AO31</f>
        <v>88.84</v>
      </c>
      <c r="G39" s="33" t="str">
        <f>Source!DG31</f>
        <v/>
      </c>
      <c r="H39" s="34">
        <f>ROUND(Source!AF31*Source!I31, 2)</f>
        <v>18.12</v>
      </c>
      <c r="I39" s="33"/>
      <c r="J39" s="33">
        <f>IF(Source!BA31&lt;&gt; 0, Source!BA31, 1)</f>
        <v>6.08</v>
      </c>
      <c r="K39" s="34">
        <f>Source!S31</f>
        <v>110.19</v>
      </c>
      <c r="L39" s="35"/>
      <c r="R39">
        <f>H39</f>
        <v>18.12</v>
      </c>
    </row>
    <row r="40" spans="1:26" ht="14.25" x14ac:dyDescent="0.2">
      <c r="A40" s="49"/>
      <c r="B40" s="50"/>
      <c r="C40" s="50" t="s">
        <v>451</v>
      </c>
      <c r="D40" s="31"/>
      <c r="E40" s="13"/>
      <c r="F40" s="32">
        <f>Source!AM31</f>
        <v>4.0599999999999996</v>
      </c>
      <c r="G40" s="33" t="str">
        <f>Source!DE31</f>
        <v/>
      </c>
      <c r="H40" s="34">
        <f>ROUND(Source!AD31*Source!I31, 2)</f>
        <v>0.83</v>
      </c>
      <c r="I40" s="33"/>
      <c r="J40" s="33">
        <f>IF(Source!BB31&lt;&gt; 0, Source!BB31, 1)</f>
        <v>6.08</v>
      </c>
      <c r="K40" s="34">
        <f>Source!Q31</f>
        <v>5.04</v>
      </c>
      <c r="L40" s="35"/>
    </row>
    <row r="41" spans="1:26" ht="14.25" x14ac:dyDescent="0.2">
      <c r="A41" s="49"/>
      <c r="B41" s="50"/>
      <c r="C41" s="50" t="s">
        <v>150</v>
      </c>
      <c r="D41" s="31"/>
      <c r="E41" s="13"/>
      <c r="F41" s="32">
        <f>Source!AN31</f>
        <v>1.76</v>
      </c>
      <c r="G41" s="33" t="str">
        <f>Source!DF31</f>
        <v/>
      </c>
      <c r="H41" s="36">
        <f>ROUND(Source!AE31*Source!I31, 2)</f>
        <v>0.36</v>
      </c>
      <c r="I41" s="33"/>
      <c r="J41" s="33">
        <f>IF(Source!BS31&lt;&gt; 0, Source!BS31, 1)</f>
        <v>6.08</v>
      </c>
      <c r="K41" s="36">
        <f>Source!R31</f>
        <v>2.1800000000000002</v>
      </c>
      <c r="L41" s="35"/>
      <c r="R41">
        <f>H41</f>
        <v>0.36</v>
      </c>
    </row>
    <row r="42" spans="1:26" ht="14.25" x14ac:dyDescent="0.2">
      <c r="A42" s="49"/>
      <c r="B42" s="50"/>
      <c r="C42" s="50" t="s">
        <v>152</v>
      </c>
      <c r="D42" s="31" t="s">
        <v>153</v>
      </c>
      <c r="E42" s="13">
        <f>Source!BZ31</f>
        <v>80</v>
      </c>
      <c r="F42" s="53"/>
      <c r="G42" s="33"/>
      <c r="H42" s="34">
        <f>SUM(S37:S44)</f>
        <v>14.78</v>
      </c>
      <c r="I42" s="37"/>
      <c r="J42" s="29">
        <f>Source!AT31</f>
        <v>80</v>
      </c>
      <c r="K42" s="34">
        <f>SUM(T37:T44)</f>
        <v>89.9</v>
      </c>
      <c r="L42" s="35"/>
    </row>
    <row r="43" spans="1:26" ht="14.25" x14ac:dyDescent="0.2">
      <c r="A43" s="49"/>
      <c r="B43" s="50"/>
      <c r="C43" s="50" t="s">
        <v>154</v>
      </c>
      <c r="D43" s="31" t="s">
        <v>153</v>
      </c>
      <c r="E43" s="13">
        <f>Source!CA31</f>
        <v>68</v>
      </c>
      <c r="F43" s="53"/>
      <c r="G43" s="33"/>
      <c r="H43" s="34">
        <f>SUM(U37:U44)</f>
        <v>12.57</v>
      </c>
      <c r="I43" s="37"/>
      <c r="J43" s="29">
        <f>Source!AU31</f>
        <v>68</v>
      </c>
      <c r="K43" s="34">
        <f>SUM(V37:V44)</f>
        <v>76.41</v>
      </c>
      <c r="L43" s="35"/>
    </row>
    <row r="44" spans="1:26" ht="14.25" x14ac:dyDescent="0.2">
      <c r="A44" s="51"/>
      <c r="B44" s="52"/>
      <c r="C44" s="52" t="s">
        <v>155</v>
      </c>
      <c r="D44" s="38" t="s">
        <v>156</v>
      </c>
      <c r="E44" s="39">
        <f>Source!AQ31</f>
        <v>11.39</v>
      </c>
      <c r="F44" s="40"/>
      <c r="G44" s="41" t="str">
        <f>Source!DI31</f>
        <v/>
      </c>
      <c r="H44" s="42"/>
      <c r="I44" s="41"/>
      <c r="J44" s="41"/>
      <c r="K44" s="42"/>
      <c r="L44" s="43">
        <f>Source!U31</f>
        <v>2.3235600000000001</v>
      </c>
    </row>
    <row r="45" spans="1:26" ht="15" x14ac:dyDescent="0.25">
      <c r="G45" s="69">
        <f>H39+H40+H42+H43</f>
        <v>46.3</v>
      </c>
      <c r="H45" s="69"/>
      <c r="J45" s="69">
        <f>K39+K40+K42+K43</f>
        <v>281.53999999999996</v>
      </c>
      <c r="K45" s="69"/>
      <c r="L45" s="44">
        <f>Source!U31</f>
        <v>2.3235600000000001</v>
      </c>
      <c r="O45" s="27">
        <f>G45</f>
        <v>46.3</v>
      </c>
      <c r="P45" s="27">
        <f>J45</f>
        <v>281.53999999999996</v>
      </c>
      <c r="Q45" s="27">
        <f>L45</f>
        <v>2.3235600000000001</v>
      </c>
      <c r="W45">
        <f>IF(Source!BI31&lt;=1,H39+H40+H42+H43, 0)</f>
        <v>46.3</v>
      </c>
      <c r="X45">
        <f>IF(Source!BI31=2,H39+H40+H42+H43, 0)</f>
        <v>0</v>
      </c>
      <c r="Y45">
        <f>IF(Source!BI31=3,H39+H40+H42+H43, 0)</f>
        <v>0</v>
      </c>
      <c r="Z45">
        <f>IF(Source!BI31=4,H39+H40+H42+H43, 0)</f>
        <v>0</v>
      </c>
    </row>
    <row r="46" spans="1:26" ht="28.5" x14ac:dyDescent="0.2">
      <c r="A46" s="49" t="str">
        <f>Source!E33</f>
        <v>3</v>
      </c>
      <c r="B46" s="50" t="str">
        <f>Source!F33</f>
        <v>57-3-1</v>
      </c>
      <c r="C46" s="50" t="str">
        <f>Source!G33</f>
        <v>Разборка плинтусов деревянных и из пластмассовых материалов</v>
      </c>
      <c r="D46" s="31" t="str">
        <f>Source!H33</f>
        <v>100 м</v>
      </c>
      <c r="E46" s="13">
        <f>Source!I33</f>
        <v>0.2</v>
      </c>
      <c r="F46" s="32">
        <f>Source!AL33+Source!AM33+Source!AO33</f>
        <v>29.41</v>
      </c>
      <c r="G46" s="33"/>
      <c r="H46" s="34"/>
      <c r="I46" s="33" t="str">
        <f>Source!BO33</f>
        <v/>
      </c>
      <c r="J46" s="33"/>
      <c r="K46" s="34"/>
      <c r="L46" s="35"/>
      <c r="S46">
        <f>ROUND((Source!FX33/100)*((ROUND(Source!AF33*Source!I33, 2)+ROUND(Source!AE33*Source!I33, 2))), 2)</f>
        <v>4.7</v>
      </c>
      <c r="T46">
        <f>Source!X33</f>
        <v>28.61</v>
      </c>
      <c r="U46">
        <f>ROUND((Source!FY33/100)*((ROUND(Source!AF33*Source!I33, 2)+ROUND(Source!AE33*Source!I33, 2))), 2)</f>
        <v>4</v>
      </c>
      <c r="V46">
        <f>Source!Y33</f>
        <v>24.32</v>
      </c>
    </row>
    <row r="47" spans="1:26" x14ac:dyDescent="0.2">
      <c r="C47" s="26" t="str">
        <f>"Объем: "&amp;Source!I33&amp;"=20/"&amp;"100"</f>
        <v>Объем: 0,2=20/100</v>
      </c>
    </row>
    <row r="48" spans="1:26" ht="14.25" x14ac:dyDescent="0.2">
      <c r="A48" s="49"/>
      <c r="B48" s="50"/>
      <c r="C48" s="50" t="s">
        <v>149</v>
      </c>
      <c r="D48" s="31"/>
      <c r="E48" s="13"/>
      <c r="F48" s="32">
        <f>Source!AO33</f>
        <v>29.41</v>
      </c>
      <c r="G48" s="33" t="str">
        <f>Source!DG33</f>
        <v/>
      </c>
      <c r="H48" s="34">
        <f>ROUND(Source!AF33*Source!I33, 2)</f>
        <v>5.88</v>
      </c>
      <c r="I48" s="33"/>
      <c r="J48" s="33">
        <f>IF(Source!BA33&lt;&gt; 0, Source!BA33, 1)</f>
        <v>6.08</v>
      </c>
      <c r="K48" s="34">
        <f>Source!S33</f>
        <v>35.76</v>
      </c>
      <c r="L48" s="35"/>
      <c r="R48">
        <f>H48</f>
        <v>5.88</v>
      </c>
    </row>
    <row r="49" spans="1:26" ht="14.25" x14ac:dyDescent="0.2">
      <c r="A49" s="49"/>
      <c r="B49" s="50"/>
      <c r="C49" s="50" t="s">
        <v>152</v>
      </c>
      <c r="D49" s="31" t="s">
        <v>153</v>
      </c>
      <c r="E49" s="13">
        <f>Source!BZ33</f>
        <v>80</v>
      </c>
      <c r="F49" s="53"/>
      <c r="G49" s="33"/>
      <c r="H49" s="34">
        <f>SUM(S46:S51)</f>
        <v>4.7</v>
      </c>
      <c r="I49" s="37"/>
      <c r="J49" s="29">
        <f>Source!AT33</f>
        <v>80</v>
      </c>
      <c r="K49" s="34">
        <f>SUM(T46:T51)</f>
        <v>28.61</v>
      </c>
      <c r="L49" s="35"/>
    </row>
    <row r="50" spans="1:26" ht="14.25" x14ac:dyDescent="0.2">
      <c r="A50" s="49"/>
      <c r="B50" s="50"/>
      <c r="C50" s="50" t="s">
        <v>154</v>
      </c>
      <c r="D50" s="31" t="s">
        <v>153</v>
      </c>
      <c r="E50" s="13">
        <f>Source!CA33</f>
        <v>68</v>
      </c>
      <c r="F50" s="53"/>
      <c r="G50" s="33"/>
      <c r="H50" s="34">
        <f>SUM(U46:U51)</f>
        <v>4</v>
      </c>
      <c r="I50" s="37"/>
      <c r="J50" s="29">
        <f>Source!AU33</f>
        <v>68</v>
      </c>
      <c r="K50" s="34">
        <f>SUM(V46:V51)</f>
        <v>24.32</v>
      </c>
      <c r="L50" s="35"/>
    </row>
    <row r="51" spans="1:26" ht="14.25" x14ac:dyDescent="0.2">
      <c r="A51" s="51"/>
      <c r="B51" s="52"/>
      <c r="C51" s="52" t="s">
        <v>155</v>
      </c>
      <c r="D51" s="38" t="s">
        <v>156</v>
      </c>
      <c r="E51" s="39">
        <f>Source!AQ33</f>
        <v>3.77</v>
      </c>
      <c r="F51" s="40"/>
      <c r="G51" s="41" t="str">
        <f>Source!DI33</f>
        <v/>
      </c>
      <c r="H51" s="42"/>
      <c r="I51" s="41"/>
      <c r="J51" s="41"/>
      <c r="K51" s="42"/>
      <c r="L51" s="43">
        <f>Source!U33</f>
        <v>0.754</v>
      </c>
    </row>
    <row r="52" spans="1:26" ht="15" x14ac:dyDescent="0.25">
      <c r="G52" s="69">
        <f>H48+H49+H50</f>
        <v>14.58</v>
      </c>
      <c r="H52" s="69"/>
      <c r="J52" s="69">
        <f>K48+K49+K50</f>
        <v>88.69</v>
      </c>
      <c r="K52" s="69"/>
      <c r="L52" s="44">
        <f>Source!U33</f>
        <v>0.754</v>
      </c>
      <c r="O52" s="27">
        <f>G52</f>
        <v>14.58</v>
      </c>
      <c r="P52" s="27">
        <f>J52</f>
        <v>88.69</v>
      </c>
      <c r="Q52" s="27">
        <f>L52</f>
        <v>0.754</v>
      </c>
      <c r="W52">
        <f>IF(Source!BI33&lt;=1,H48+H49+H50, 0)</f>
        <v>14.58</v>
      </c>
      <c r="X52">
        <f>IF(Source!BI33=2,H48+H49+H50, 0)</f>
        <v>0</v>
      </c>
      <c r="Y52">
        <f>IF(Source!BI33=3,H48+H49+H50, 0)</f>
        <v>0</v>
      </c>
      <c r="Z52">
        <f>IF(Source!BI33=4,H48+H49+H50, 0)</f>
        <v>0</v>
      </c>
    </row>
    <row r="53" spans="1:26" ht="28.5" x14ac:dyDescent="0.2">
      <c r="A53" s="49" t="str">
        <f>Source!E35</f>
        <v>4</v>
      </c>
      <c r="B53" s="50" t="str">
        <f>Source!F35</f>
        <v>46-04-008-03</v>
      </c>
      <c r="C53" s="50" t="str">
        <f>Source!G35</f>
        <v>Разборка покрытий кровель из  черепицы</v>
      </c>
      <c r="D53" s="31" t="str">
        <f>Source!H35</f>
        <v>100 м2</v>
      </c>
      <c r="E53" s="13">
        <f>Source!I35</f>
        <v>3.55</v>
      </c>
      <c r="F53" s="32">
        <f>Source!AL35+Source!AM35+Source!AO35</f>
        <v>517.64</v>
      </c>
      <c r="G53" s="33"/>
      <c r="H53" s="34"/>
      <c r="I53" s="33" t="str">
        <f>Source!BO35</f>
        <v/>
      </c>
      <c r="J53" s="33"/>
      <c r="K53" s="34"/>
      <c r="L53" s="35"/>
      <c r="S53">
        <f>ROUND((Source!FX35/100)*((ROUND(Source!AF35*Source!I35, 2)+ROUND(Source!AE35*Source!I35, 2))), 2)</f>
        <v>1521.99</v>
      </c>
      <c r="T53">
        <f>Source!X35</f>
        <v>9253.7000000000007</v>
      </c>
      <c r="U53">
        <f>ROUND((Source!FY35/100)*((ROUND(Source!AF35*Source!I35, 2)+ROUND(Source!AE35*Source!I35, 2))), 2)</f>
        <v>914.73</v>
      </c>
      <c r="V53">
        <f>Source!Y35</f>
        <v>5608.3</v>
      </c>
    </row>
    <row r="54" spans="1:26" x14ac:dyDescent="0.2">
      <c r="C54" s="26" t="str">
        <f>"Объем: "&amp;Source!I35&amp;"=355/"&amp;"100"</f>
        <v>Объем: 3,55=355/100</v>
      </c>
    </row>
    <row r="55" spans="1:26" ht="14.25" x14ac:dyDescent="0.2">
      <c r="A55" s="49"/>
      <c r="B55" s="50"/>
      <c r="C55" s="50" t="s">
        <v>149</v>
      </c>
      <c r="D55" s="31"/>
      <c r="E55" s="13"/>
      <c r="F55" s="32">
        <f>Source!AO35</f>
        <v>433.06</v>
      </c>
      <c r="G55" s="33" t="str">
        <f>Source!DG35</f>
        <v/>
      </c>
      <c r="H55" s="34">
        <f>ROUND(Source!AF35*Source!I35, 2)</f>
        <v>1537.36</v>
      </c>
      <c r="I55" s="33"/>
      <c r="J55" s="33">
        <f>IF(Source!BA35&lt;&gt; 0, Source!BA35, 1)</f>
        <v>6.08</v>
      </c>
      <c r="K55" s="34">
        <f>Source!S35</f>
        <v>9347.17</v>
      </c>
      <c r="L55" s="35"/>
      <c r="R55">
        <f>H55</f>
        <v>1537.36</v>
      </c>
    </row>
    <row r="56" spans="1:26" ht="14.25" x14ac:dyDescent="0.2">
      <c r="A56" s="49"/>
      <c r="B56" s="50"/>
      <c r="C56" s="50" t="s">
        <v>451</v>
      </c>
      <c r="D56" s="31"/>
      <c r="E56" s="13"/>
      <c r="F56" s="32">
        <f>Source!AM35</f>
        <v>84.58</v>
      </c>
      <c r="G56" s="33" t="str">
        <f>Source!DE35</f>
        <v/>
      </c>
      <c r="H56" s="34">
        <f>ROUND(Source!AD35*Source!I35, 2)</f>
        <v>300.26</v>
      </c>
      <c r="I56" s="33"/>
      <c r="J56" s="33">
        <f>IF(Source!BB35&lt;&gt; 0, Source!BB35, 1)</f>
        <v>6.08</v>
      </c>
      <c r="K56" s="34">
        <f>Source!Q35</f>
        <v>1825.57</v>
      </c>
      <c r="L56" s="35"/>
    </row>
    <row r="57" spans="1:26" ht="14.25" x14ac:dyDescent="0.2">
      <c r="A57" s="49"/>
      <c r="B57" s="50"/>
      <c r="C57" s="50" t="s">
        <v>152</v>
      </c>
      <c r="D57" s="31" t="s">
        <v>153</v>
      </c>
      <c r="E57" s="13">
        <f>Source!BZ35</f>
        <v>110</v>
      </c>
      <c r="F57" s="70" t="str">
        <f>CONCATENATE(" )", Source!DL35, Source!FT35, "=", Source!FX35)</f>
        <v xml:space="preserve"> )*0,9=99</v>
      </c>
      <c r="G57" s="71"/>
      <c r="H57" s="34">
        <f>SUM(S53:S59)</f>
        <v>1521.99</v>
      </c>
      <c r="I57" s="37"/>
      <c r="J57" s="29">
        <f>Source!AT35</f>
        <v>99</v>
      </c>
      <c r="K57" s="34">
        <f>SUM(T53:T59)</f>
        <v>9253.7000000000007</v>
      </c>
      <c r="L57" s="35"/>
    </row>
    <row r="58" spans="1:26" ht="14.25" x14ac:dyDescent="0.2">
      <c r="A58" s="49"/>
      <c r="B58" s="50"/>
      <c r="C58" s="50" t="s">
        <v>154</v>
      </c>
      <c r="D58" s="31" t="s">
        <v>153</v>
      </c>
      <c r="E58" s="13">
        <f>Source!CA35</f>
        <v>70</v>
      </c>
      <c r="F58" s="70" t="str">
        <f>CONCATENATE(" )", Source!DM35, Source!FU35, "=", Source!FY35)</f>
        <v xml:space="preserve"> )*0,85=59,5</v>
      </c>
      <c r="G58" s="71"/>
      <c r="H58" s="34">
        <f>SUM(U53:U59)</f>
        <v>914.73</v>
      </c>
      <c r="I58" s="37"/>
      <c r="J58" s="29">
        <f>Source!AU35</f>
        <v>60</v>
      </c>
      <c r="K58" s="34">
        <f>SUM(V53:V59)</f>
        <v>5608.3</v>
      </c>
      <c r="L58" s="35"/>
    </row>
    <row r="59" spans="1:26" ht="14.25" x14ac:dyDescent="0.2">
      <c r="A59" s="51"/>
      <c r="B59" s="52"/>
      <c r="C59" s="52" t="s">
        <v>155</v>
      </c>
      <c r="D59" s="38" t="s">
        <v>156</v>
      </c>
      <c r="E59" s="39">
        <f>Source!AQ35</f>
        <v>55.52</v>
      </c>
      <c r="F59" s="40"/>
      <c r="G59" s="41" t="str">
        <f>Source!DI35</f>
        <v/>
      </c>
      <c r="H59" s="42"/>
      <c r="I59" s="41"/>
      <c r="J59" s="41"/>
      <c r="K59" s="42"/>
      <c r="L59" s="43">
        <f>Source!U35</f>
        <v>197.096</v>
      </c>
    </row>
    <row r="60" spans="1:26" ht="15" x14ac:dyDescent="0.25">
      <c r="G60" s="69">
        <f>H55+H56+H57+H58</f>
        <v>4274.34</v>
      </c>
      <c r="H60" s="69"/>
      <c r="J60" s="69">
        <f>K55+K56+K57+K58</f>
        <v>26034.74</v>
      </c>
      <c r="K60" s="69"/>
      <c r="L60" s="44">
        <f>Source!U35</f>
        <v>197.096</v>
      </c>
      <c r="O60" s="27">
        <f>G60</f>
        <v>4274.34</v>
      </c>
      <c r="P60" s="27">
        <f>J60</f>
        <v>26034.74</v>
      </c>
      <c r="Q60" s="27">
        <f>L60</f>
        <v>197.096</v>
      </c>
      <c r="W60">
        <f>IF(Source!BI35&lt;=1,H55+H56+H57+H58, 0)</f>
        <v>4274.34</v>
      </c>
      <c r="X60">
        <f>IF(Source!BI35=2,H55+H56+H57+H58, 0)</f>
        <v>0</v>
      </c>
      <c r="Y60">
        <f>IF(Source!BI35=3,H55+H56+H57+H58, 0)</f>
        <v>0</v>
      </c>
      <c r="Z60">
        <f>IF(Source!BI35=4,H55+H56+H57+H58, 0)</f>
        <v>0</v>
      </c>
    </row>
    <row r="61" spans="1:26" ht="42.75" x14ac:dyDescent="0.2">
      <c r="A61" s="49" t="str">
        <f>Source!E37</f>
        <v>5</v>
      </c>
      <c r="B61" s="50" t="str">
        <f>Source!F37</f>
        <v>58-3-1</v>
      </c>
      <c r="C61" s="50" t="str">
        <f>Source!G37</f>
        <v>Разборка мелких покрытий и обделок из листовой стали поясков, сандриков, желобов, отливов, свесов и т.п.</v>
      </c>
      <c r="D61" s="31" t="str">
        <f>Source!H37</f>
        <v>100 м</v>
      </c>
      <c r="E61" s="13">
        <f>Source!I37</f>
        <v>0.3</v>
      </c>
      <c r="F61" s="32">
        <f>Source!AL37+Source!AM37+Source!AO37</f>
        <v>71.180000000000007</v>
      </c>
      <c r="G61" s="33"/>
      <c r="H61" s="34"/>
      <c r="I61" s="33" t="str">
        <f>Source!BO37</f>
        <v/>
      </c>
      <c r="J61" s="33"/>
      <c r="K61" s="34"/>
      <c r="L61" s="35"/>
      <c r="S61">
        <f>ROUND((Source!FX37/100)*((ROUND(Source!AF37*Source!I37, 2)+ROUND(Source!AE37*Source!I37, 2))), 2)</f>
        <v>17.670000000000002</v>
      </c>
      <c r="T61">
        <f>Source!X37</f>
        <v>107.46</v>
      </c>
      <c r="U61">
        <f>ROUND((Source!FY37/100)*((ROUND(Source!AF37*Source!I37, 2)+ROUND(Source!AE37*Source!I37, 2))), 2)</f>
        <v>13.84</v>
      </c>
      <c r="V61">
        <f>Source!Y37</f>
        <v>84.16</v>
      </c>
    </row>
    <row r="62" spans="1:26" x14ac:dyDescent="0.2">
      <c r="C62" s="26" t="str">
        <f>"Объем: "&amp;Source!I37&amp;"=30/"&amp;"100"</f>
        <v>Объем: 0,3=30/100</v>
      </c>
    </row>
    <row r="63" spans="1:26" ht="14.25" x14ac:dyDescent="0.2">
      <c r="A63" s="49"/>
      <c r="B63" s="50"/>
      <c r="C63" s="50" t="s">
        <v>149</v>
      </c>
      <c r="D63" s="31"/>
      <c r="E63" s="13"/>
      <c r="F63" s="32">
        <f>Source!AO37</f>
        <v>70.98</v>
      </c>
      <c r="G63" s="33" t="str">
        <f>Source!DG37</f>
        <v/>
      </c>
      <c r="H63" s="34">
        <f>ROUND(Source!AF37*Source!I37, 2)</f>
        <v>21.29</v>
      </c>
      <c r="I63" s="33"/>
      <c r="J63" s="33">
        <f>IF(Source!BA37&lt;&gt; 0, Source!BA37, 1)</f>
        <v>6.08</v>
      </c>
      <c r="K63" s="34">
        <f>Source!S37</f>
        <v>129.47</v>
      </c>
      <c r="L63" s="35"/>
      <c r="R63">
        <f>H63</f>
        <v>21.29</v>
      </c>
    </row>
    <row r="64" spans="1:26" ht="14.25" x14ac:dyDescent="0.2">
      <c r="A64" s="49"/>
      <c r="B64" s="50"/>
      <c r="C64" s="50" t="s">
        <v>451</v>
      </c>
      <c r="D64" s="31"/>
      <c r="E64" s="13"/>
      <c r="F64" s="32">
        <f>Source!AM37</f>
        <v>0.2</v>
      </c>
      <c r="G64" s="33" t="str">
        <f>Source!DE37</f>
        <v/>
      </c>
      <c r="H64" s="34">
        <f>ROUND(Source!AD37*Source!I37, 2)</f>
        <v>0.06</v>
      </c>
      <c r="I64" s="33"/>
      <c r="J64" s="33">
        <f>IF(Source!BB37&lt;&gt; 0, Source!BB37, 1)</f>
        <v>6.08</v>
      </c>
      <c r="K64" s="34">
        <f>Source!Q37</f>
        <v>0.36</v>
      </c>
      <c r="L64" s="35"/>
    </row>
    <row r="65" spans="1:26" ht="14.25" x14ac:dyDescent="0.2">
      <c r="A65" s="49"/>
      <c r="B65" s="50"/>
      <c r="C65" s="50" t="s">
        <v>152</v>
      </c>
      <c r="D65" s="31" t="s">
        <v>153</v>
      </c>
      <c r="E65" s="13">
        <f>Source!BZ37</f>
        <v>83</v>
      </c>
      <c r="F65" s="53"/>
      <c r="G65" s="33"/>
      <c r="H65" s="34">
        <f>SUM(S61:S67)</f>
        <v>17.670000000000002</v>
      </c>
      <c r="I65" s="37"/>
      <c r="J65" s="29">
        <f>Source!AT37</f>
        <v>83</v>
      </c>
      <c r="K65" s="34">
        <f>SUM(T61:T67)</f>
        <v>107.46</v>
      </c>
      <c r="L65" s="35"/>
    </row>
    <row r="66" spans="1:26" ht="14.25" x14ac:dyDescent="0.2">
      <c r="A66" s="49"/>
      <c r="B66" s="50"/>
      <c r="C66" s="50" t="s">
        <v>154</v>
      </c>
      <c r="D66" s="31" t="s">
        <v>153</v>
      </c>
      <c r="E66" s="13">
        <f>Source!CA37</f>
        <v>65</v>
      </c>
      <c r="F66" s="53"/>
      <c r="G66" s="33"/>
      <c r="H66" s="34">
        <f>SUM(U61:U67)</f>
        <v>13.84</v>
      </c>
      <c r="I66" s="37"/>
      <c r="J66" s="29">
        <f>Source!AU37</f>
        <v>65</v>
      </c>
      <c r="K66" s="34">
        <f>SUM(V61:V67)</f>
        <v>84.16</v>
      </c>
      <c r="L66" s="35"/>
    </row>
    <row r="67" spans="1:26" ht="14.25" x14ac:dyDescent="0.2">
      <c r="A67" s="51"/>
      <c r="B67" s="52"/>
      <c r="C67" s="52" t="s">
        <v>155</v>
      </c>
      <c r="D67" s="38" t="s">
        <v>156</v>
      </c>
      <c r="E67" s="39">
        <f>Source!AQ37</f>
        <v>9.1</v>
      </c>
      <c r="F67" s="40"/>
      <c r="G67" s="41" t="str">
        <f>Source!DI37</f>
        <v/>
      </c>
      <c r="H67" s="42"/>
      <c r="I67" s="41"/>
      <c r="J67" s="41"/>
      <c r="K67" s="42"/>
      <c r="L67" s="43">
        <f>Source!U37</f>
        <v>2.73</v>
      </c>
    </row>
    <row r="68" spans="1:26" ht="15" x14ac:dyDescent="0.25">
      <c r="G68" s="69">
        <f>H63+H64+H65+H66</f>
        <v>52.86</v>
      </c>
      <c r="H68" s="69"/>
      <c r="J68" s="69">
        <f>K63+K64+K65+K66</f>
        <v>321.45000000000005</v>
      </c>
      <c r="K68" s="69"/>
      <c r="L68" s="44">
        <f>Source!U37</f>
        <v>2.73</v>
      </c>
      <c r="O68" s="27">
        <f>G68</f>
        <v>52.86</v>
      </c>
      <c r="P68" s="27">
        <f>J68</f>
        <v>321.45000000000005</v>
      </c>
      <c r="Q68" s="27">
        <f>L68</f>
        <v>2.73</v>
      </c>
      <c r="W68">
        <f>IF(Source!BI37&lt;=1,H63+H64+H65+H66, 0)</f>
        <v>52.86</v>
      </c>
      <c r="X68">
        <f>IF(Source!BI37=2,H63+H64+H65+H66, 0)</f>
        <v>0</v>
      </c>
      <c r="Y68">
        <f>IF(Source!BI37=3,H63+H64+H65+H66, 0)</f>
        <v>0</v>
      </c>
      <c r="Z68">
        <f>IF(Source!BI37=4,H63+H64+H65+H66, 0)</f>
        <v>0</v>
      </c>
    </row>
    <row r="69" spans="1:26" ht="28.5" x14ac:dyDescent="0.2">
      <c r="A69" s="49" t="str">
        <f>Source!E39</f>
        <v>6</v>
      </c>
      <c r="B69" s="50" t="str">
        <f>Source!F39</f>
        <v>46-04-012-03</v>
      </c>
      <c r="C69" s="50" t="str">
        <f>Source!G39</f>
        <v>Разборка деревянных заполнений проемов дверных</v>
      </c>
      <c r="D69" s="31" t="str">
        <f>Source!H39</f>
        <v>100 м2</v>
      </c>
      <c r="E69" s="13">
        <f>Source!I39</f>
        <v>7.6499999999999999E-2</v>
      </c>
      <c r="F69" s="32">
        <f>Source!AL39+Source!AM39+Source!AO39</f>
        <v>1082.58</v>
      </c>
      <c r="G69" s="33"/>
      <c r="H69" s="34"/>
      <c r="I69" s="33" t="str">
        <f>Source!BO39</f>
        <v/>
      </c>
      <c r="J69" s="33"/>
      <c r="K69" s="34"/>
      <c r="L69" s="35"/>
      <c r="S69">
        <f>ROUND((Source!FX39/100)*((ROUND(Source!AF39*Source!I39, 2)+ROUND(Source!AE39*Source!I39, 2))), 2)</f>
        <v>71.58</v>
      </c>
      <c r="T69">
        <f>Source!X39</f>
        <v>435.19</v>
      </c>
      <c r="U69">
        <f>ROUND((Source!FY39/100)*((ROUND(Source!AF39*Source!I39, 2)+ROUND(Source!AE39*Source!I39, 2))), 2)</f>
        <v>43.02</v>
      </c>
      <c r="V69">
        <f>Source!Y39</f>
        <v>263.75</v>
      </c>
    </row>
    <row r="70" spans="1:26" x14ac:dyDescent="0.2">
      <c r="C70" s="26" t="str">
        <f>"Объем: "&amp;Source!I39&amp;"=7,65/"&amp;"100"</f>
        <v>Объем: 0,0765=7,65/100</v>
      </c>
    </row>
    <row r="71" spans="1:26" ht="14.25" x14ac:dyDescent="0.2">
      <c r="A71" s="49"/>
      <c r="B71" s="50"/>
      <c r="C71" s="50" t="s">
        <v>149</v>
      </c>
      <c r="D71" s="31"/>
      <c r="E71" s="13"/>
      <c r="F71" s="32">
        <f>Source!AO39</f>
        <v>840.63</v>
      </c>
      <c r="G71" s="33" t="str">
        <f>Source!DG39</f>
        <v/>
      </c>
      <c r="H71" s="34">
        <f>ROUND(Source!AF39*Source!I39, 2)</f>
        <v>64.31</v>
      </c>
      <c r="I71" s="33"/>
      <c r="J71" s="33">
        <f>IF(Source!BA39&lt;&gt; 0, Source!BA39, 1)</f>
        <v>6.08</v>
      </c>
      <c r="K71" s="34">
        <f>Source!S39</f>
        <v>390.99</v>
      </c>
      <c r="L71" s="35"/>
      <c r="R71">
        <f>H71</f>
        <v>64.31</v>
      </c>
    </row>
    <row r="72" spans="1:26" ht="14.25" x14ac:dyDescent="0.2">
      <c r="A72" s="49"/>
      <c r="B72" s="50"/>
      <c r="C72" s="50" t="s">
        <v>451</v>
      </c>
      <c r="D72" s="31"/>
      <c r="E72" s="13"/>
      <c r="F72" s="32">
        <f>Source!AM39</f>
        <v>241.95</v>
      </c>
      <c r="G72" s="33" t="str">
        <f>Source!DE39</f>
        <v/>
      </c>
      <c r="H72" s="34">
        <f>ROUND(Source!AD39*Source!I39, 2)</f>
        <v>18.510000000000002</v>
      </c>
      <c r="I72" s="33"/>
      <c r="J72" s="33">
        <f>IF(Source!BB39&lt;&gt; 0, Source!BB39, 1)</f>
        <v>6.08</v>
      </c>
      <c r="K72" s="34">
        <f>Source!Q39</f>
        <v>112.54</v>
      </c>
      <c r="L72" s="35"/>
    </row>
    <row r="73" spans="1:26" ht="14.25" x14ac:dyDescent="0.2">
      <c r="A73" s="49"/>
      <c r="B73" s="50"/>
      <c r="C73" s="50" t="s">
        <v>150</v>
      </c>
      <c r="D73" s="31"/>
      <c r="E73" s="13"/>
      <c r="F73" s="32">
        <f>Source!AN39</f>
        <v>104.49</v>
      </c>
      <c r="G73" s="33" t="str">
        <f>Source!DF39</f>
        <v/>
      </c>
      <c r="H73" s="36">
        <f>ROUND(Source!AE39*Source!I39, 2)</f>
        <v>7.99</v>
      </c>
      <c r="I73" s="33"/>
      <c r="J73" s="33">
        <f>IF(Source!BS39&lt;&gt; 0, Source!BS39, 1)</f>
        <v>6.08</v>
      </c>
      <c r="K73" s="36">
        <f>Source!R39</f>
        <v>48.6</v>
      </c>
      <c r="L73" s="35"/>
      <c r="R73">
        <f>H73</f>
        <v>7.99</v>
      </c>
    </row>
    <row r="74" spans="1:26" ht="14.25" x14ac:dyDescent="0.2">
      <c r="A74" s="49"/>
      <c r="B74" s="50"/>
      <c r="C74" s="50" t="s">
        <v>152</v>
      </c>
      <c r="D74" s="31" t="s">
        <v>153</v>
      </c>
      <c r="E74" s="13">
        <f>Source!BZ39</f>
        <v>110</v>
      </c>
      <c r="F74" s="70" t="str">
        <f>CONCATENATE(" )", Source!DL39, Source!FT39, "=", Source!FX39)</f>
        <v xml:space="preserve"> )*0,9=99</v>
      </c>
      <c r="G74" s="71"/>
      <c r="H74" s="34">
        <f>SUM(S69:S76)</f>
        <v>71.58</v>
      </c>
      <c r="I74" s="37"/>
      <c r="J74" s="29">
        <f>Source!AT39</f>
        <v>99</v>
      </c>
      <c r="K74" s="34">
        <f>SUM(T69:T76)</f>
        <v>435.19</v>
      </c>
      <c r="L74" s="35"/>
    </row>
    <row r="75" spans="1:26" ht="14.25" x14ac:dyDescent="0.2">
      <c r="A75" s="49"/>
      <c r="B75" s="50"/>
      <c r="C75" s="50" t="s">
        <v>154</v>
      </c>
      <c r="D75" s="31" t="s">
        <v>153</v>
      </c>
      <c r="E75" s="13">
        <f>Source!CA39</f>
        <v>70</v>
      </c>
      <c r="F75" s="70" t="str">
        <f>CONCATENATE(" )", Source!DM39, Source!FU39, "=", Source!FY39)</f>
        <v xml:space="preserve"> )*0,85=59,5</v>
      </c>
      <c r="G75" s="71"/>
      <c r="H75" s="34">
        <f>SUM(U69:U76)</f>
        <v>43.02</v>
      </c>
      <c r="I75" s="37"/>
      <c r="J75" s="29">
        <f>Source!AU39</f>
        <v>60</v>
      </c>
      <c r="K75" s="34">
        <f>SUM(V69:V76)</f>
        <v>263.75</v>
      </c>
      <c r="L75" s="35"/>
    </row>
    <row r="76" spans="1:26" ht="14.25" x14ac:dyDescent="0.2">
      <c r="A76" s="51"/>
      <c r="B76" s="52"/>
      <c r="C76" s="52" t="s">
        <v>155</v>
      </c>
      <c r="D76" s="38" t="s">
        <v>156</v>
      </c>
      <c r="E76" s="39">
        <f>Source!AQ39</f>
        <v>103.91</v>
      </c>
      <c r="F76" s="40"/>
      <c r="G76" s="41" t="str">
        <f>Source!DI39</f>
        <v/>
      </c>
      <c r="H76" s="42"/>
      <c r="I76" s="41"/>
      <c r="J76" s="41"/>
      <c r="K76" s="42"/>
      <c r="L76" s="43">
        <f>Source!U39</f>
        <v>7.9491149999999999</v>
      </c>
    </row>
    <row r="77" spans="1:26" ht="15" x14ac:dyDescent="0.25">
      <c r="G77" s="69">
        <f>H71+H72+H74+H75</f>
        <v>197.42000000000002</v>
      </c>
      <c r="H77" s="69"/>
      <c r="J77" s="69">
        <f>K71+K72+K74+K75</f>
        <v>1202.47</v>
      </c>
      <c r="K77" s="69"/>
      <c r="L77" s="44">
        <f>Source!U39</f>
        <v>7.9491149999999999</v>
      </c>
      <c r="O77" s="27">
        <f>G77</f>
        <v>197.42000000000002</v>
      </c>
      <c r="P77" s="27">
        <f>J77</f>
        <v>1202.47</v>
      </c>
      <c r="Q77" s="27">
        <f>L77</f>
        <v>7.9491149999999999</v>
      </c>
      <c r="W77">
        <f>IF(Source!BI39&lt;=1,H71+H72+H74+H75, 0)</f>
        <v>197.42000000000002</v>
      </c>
      <c r="X77">
        <f>IF(Source!BI39=2,H71+H72+H74+H75, 0)</f>
        <v>0</v>
      </c>
      <c r="Y77">
        <f>IF(Source!BI39=3,H71+H72+H74+H75, 0)</f>
        <v>0</v>
      </c>
      <c r="Z77">
        <f>IF(Source!BI39=4,H71+H72+H74+H75, 0)</f>
        <v>0</v>
      </c>
    </row>
    <row r="78" spans="1:26" ht="28.5" x14ac:dyDescent="0.2">
      <c r="A78" s="49" t="str">
        <f>Source!E41</f>
        <v>7</v>
      </c>
      <c r="B78" s="50" t="str">
        <f>Source!F41</f>
        <v>09-04-012-01</v>
      </c>
      <c r="C78" s="50" t="str">
        <f>Source!G41</f>
        <v>Демонтаж  металлических дверных блоков в готовые проемы</v>
      </c>
      <c r="D78" s="31" t="str">
        <f>Source!H41</f>
        <v>м2</v>
      </c>
      <c r="E78" s="13">
        <f>Source!I41</f>
        <v>2.66</v>
      </c>
      <c r="F78" s="32">
        <f>Source!AL41+Source!AM41+Source!AO41</f>
        <v>63.94</v>
      </c>
      <c r="G78" s="33"/>
      <c r="H78" s="34"/>
      <c r="I78" s="33" t="str">
        <f>Source!BO41</f>
        <v/>
      </c>
      <c r="J78" s="33"/>
      <c r="K78" s="34"/>
      <c r="L78" s="35"/>
      <c r="S78">
        <f>ROUND((Source!FX41/100)*((ROUND(Source!AF41*Source!I41, 2)+ROUND(Source!AE41*Source!I41, 2))), 2)</f>
        <v>38.880000000000003</v>
      </c>
      <c r="T78">
        <f>Source!X41</f>
        <v>236.4</v>
      </c>
      <c r="U78">
        <f>ROUND((Source!FY41/100)*((ROUND(Source!AF41*Source!I41, 2)+ROUND(Source!AE41*Source!I41, 2))), 2)</f>
        <v>34.68</v>
      </c>
      <c r="V78">
        <f>Source!Y41</f>
        <v>210.13</v>
      </c>
    </row>
    <row r="79" spans="1:26" ht="14.25" x14ac:dyDescent="0.2">
      <c r="A79" s="49"/>
      <c r="B79" s="50"/>
      <c r="C79" s="50" t="s">
        <v>149</v>
      </c>
      <c r="D79" s="31"/>
      <c r="E79" s="13"/>
      <c r="F79" s="32">
        <f>Source!AO41</f>
        <v>23.81</v>
      </c>
      <c r="G79" s="33" t="str">
        <f>Source!DG41</f>
        <v>)*0,7</v>
      </c>
      <c r="H79" s="34">
        <f>ROUND(Source!AF41*Source!I41, 2)</f>
        <v>44.33</v>
      </c>
      <c r="I79" s="33"/>
      <c r="J79" s="33">
        <f>IF(Source!BA41&lt;&gt; 0, Source!BA41, 1)</f>
        <v>6.08</v>
      </c>
      <c r="K79" s="34">
        <f>Source!S41</f>
        <v>269.55</v>
      </c>
      <c r="L79" s="35"/>
      <c r="R79">
        <f>H79</f>
        <v>44.33</v>
      </c>
    </row>
    <row r="80" spans="1:26" ht="14.25" x14ac:dyDescent="0.2">
      <c r="A80" s="49"/>
      <c r="B80" s="50"/>
      <c r="C80" s="50" t="s">
        <v>451</v>
      </c>
      <c r="D80" s="31"/>
      <c r="E80" s="13"/>
      <c r="F80" s="32">
        <f>Source!AM41</f>
        <v>14.41</v>
      </c>
      <c r="G80" s="33" t="str">
        <f>Source!DE41</f>
        <v>)*0,7</v>
      </c>
      <c r="H80" s="34">
        <f>ROUND(Source!AD41*Source!I41, 2)</f>
        <v>26.83</v>
      </c>
      <c r="I80" s="33"/>
      <c r="J80" s="33">
        <f>IF(Source!BB41&lt;&gt; 0, Source!BB41, 1)</f>
        <v>6.08</v>
      </c>
      <c r="K80" s="34">
        <f>Source!Q41</f>
        <v>163.13999999999999</v>
      </c>
      <c r="L80" s="35"/>
    </row>
    <row r="81" spans="1:26" ht="14.25" x14ac:dyDescent="0.2">
      <c r="A81" s="49"/>
      <c r="B81" s="50"/>
      <c r="C81" s="50" t="s">
        <v>150</v>
      </c>
      <c r="D81" s="31"/>
      <c r="E81" s="13"/>
      <c r="F81" s="32">
        <f>Source!AN41</f>
        <v>1.97</v>
      </c>
      <c r="G81" s="33" t="str">
        <f>Source!DF41</f>
        <v>)*0,7</v>
      </c>
      <c r="H81" s="36">
        <f>ROUND(Source!AE41*Source!I41, 2)</f>
        <v>3.67</v>
      </c>
      <c r="I81" s="33"/>
      <c r="J81" s="33">
        <f>IF(Source!BS41&lt;&gt; 0, Source!BS41, 1)</f>
        <v>6.08</v>
      </c>
      <c r="K81" s="36">
        <f>Source!R41</f>
        <v>22.3</v>
      </c>
      <c r="L81" s="35"/>
      <c r="R81">
        <f>H81</f>
        <v>3.67</v>
      </c>
    </row>
    <row r="82" spans="1:26" ht="14.25" x14ac:dyDescent="0.2">
      <c r="A82" s="49"/>
      <c r="B82" s="50"/>
      <c r="C82" s="50" t="s">
        <v>152</v>
      </c>
      <c r="D82" s="31" t="s">
        <v>153</v>
      </c>
      <c r="E82" s="13">
        <f>Source!BZ41</f>
        <v>90</v>
      </c>
      <c r="F82" s="70" t="str">
        <f>CONCATENATE(" )", Source!DL41, Source!FT41, "=", Source!FX41)</f>
        <v xml:space="preserve"> )*0,9=81</v>
      </c>
      <c r="G82" s="71"/>
      <c r="H82" s="34">
        <f>SUM(S78:S84)</f>
        <v>38.880000000000003</v>
      </c>
      <c r="I82" s="37"/>
      <c r="J82" s="29">
        <f>Source!AT41</f>
        <v>81</v>
      </c>
      <c r="K82" s="34">
        <f>SUM(T78:T84)</f>
        <v>236.4</v>
      </c>
      <c r="L82" s="35"/>
    </row>
    <row r="83" spans="1:26" ht="14.25" x14ac:dyDescent="0.2">
      <c r="A83" s="49"/>
      <c r="B83" s="50"/>
      <c r="C83" s="50" t="s">
        <v>154</v>
      </c>
      <c r="D83" s="31" t="s">
        <v>153</v>
      </c>
      <c r="E83" s="13">
        <f>Source!CA41</f>
        <v>85</v>
      </c>
      <c r="F83" s="70" t="str">
        <f>CONCATENATE(" )", Source!DM41, Source!FU41, "=", Source!FY41)</f>
        <v xml:space="preserve"> )*0,85=72,25</v>
      </c>
      <c r="G83" s="71"/>
      <c r="H83" s="34">
        <f>SUM(U78:U84)</f>
        <v>34.68</v>
      </c>
      <c r="I83" s="37"/>
      <c r="J83" s="29">
        <f>Source!AU41</f>
        <v>72</v>
      </c>
      <c r="K83" s="34">
        <f>SUM(V78:V84)</f>
        <v>210.13</v>
      </c>
      <c r="L83" s="35"/>
    </row>
    <row r="84" spans="1:26" ht="14.25" x14ac:dyDescent="0.2">
      <c r="A84" s="51"/>
      <c r="B84" s="52"/>
      <c r="C84" s="52" t="s">
        <v>155</v>
      </c>
      <c r="D84" s="38" t="s">
        <v>156</v>
      </c>
      <c r="E84" s="39">
        <f>Source!AQ41</f>
        <v>2.4</v>
      </c>
      <c r="F84" s="40"/>
      <c r="G84" s="41" t="str">
        <f>Source!DI41</f>
        <v>)*0,7</v>
      </c>
      <c r="H84" s="42"/>
      <c r="I84" s="41"/>
      <c r="J84" s="41"/>
      <c r="K84" s="42"/>
      <c r="L84" s="43">
        <f>Source!U41</f>
        <v>4.4687999999999999</v>
      </c>
    </row>
    <row r="85" spans="1:26" ht="15" x14ac:dyDescent="0.25">
      <c r="G85" s="69">
        <f>H79+H80+H82+H83</f>
        <v>144.72</v>
      </c>
      <c r="H85" s="69"/>
      <c r="J85" s="69">
        <f>K79+K80+K82+K83</f>
        <v>879.22</v>
      </c>
      <c r="K85" s="69"/>
      <c r="L85" s="44">
        <f>Source!U41</f>
        <v>4.4687999999999999</v>
      </c>
      <c r="O85" s="27">
        <f>G85</f>
        <v>144.72</v>
      </c>
      <c r="P85" s="27">
        <f>J85</f>
        <v>879.22</v>
      </c>
      <c r="Q85" s="27">
        <f>L85</f>
        <v>4.4687999999999999</v>
      </c>
      <c r="W85">
        <f>IF(Source!BI41&lt;=1,H79+H80+H82+H83, 0)</f>
        <v>144.72</v>
      </c>
      <c r="X85">
        <f>IF(Source!BI41=2,H79+H80+H82+H83, 0)</f>
        <v>0</v>
      </c>
      <c r="Y85">
        <f>IF(Source!BI41=3,H79+H80+H82+H83, 0)</f>
        <v>0</v>
      </c>
      <c r="Z85">
        <f>IF(Source!BI41=4,H79+H80+H82+H83, 0)</f>
        <v>0</v>
      </c>
    </row>
    <row r="86" spans="1:26" ht="28.5" x14ac:dyDescent="0.2">
      <c r="A86" s="49" t="str">
        <f>Source!E43</f>
        <v>8</v>
      </c>
      <c r="B86" s="50" t="str">
        <f>Source!F43</f>
        <v>09-04-011-01</v>
      </c>
      <c r="C86" s="50" t="str">
        <f>Source!G43</f>
        <v>Демонтаж каркасов ворот  зданий, ангаров и др.</v>
      </c>
      <c r="D86" s="31" t="str">
        <f>Source!H43</f>
        <v>т</v>
      </c>
      <c r="E86" s="13">
        <f>Source!I43</f>
        <v>0.15</v>
      </c>
      <c r="F86" s="32">
        <f>Source!AL43+Source!AM43+Source!AO43</f>
        <v>3392.28</v>
      </c>
      <c r="G86" s="33"/>
      <c r="H86" s="34"/>
      <c r="I86" s="33" t="str">
        <f>Source!BO43</f>
        <v/>
      </c>
      <c r="J86" s="33"/>
      <c r="K86" s="34"/>
      <c r="L86" s="35"/>
      <c r="S86">
        <f>ROUND((Source!FX43/100)*((ROUND(Source!AF43*Source!I43, 2)+ROUND(Source!AE43*Source!I43, 2))), 2)</f>
        <v>50.2</v>
      </c>
      <c r="T86">
        <f>Source!X43</f>
        <v>305.26</v>
      </c>
      <c r="U86">
        <f>ROUND((Source!FY43/100)*((ROUND(Source!AF43*Source!I43, 2)+ROUND(Source!AE43*Source!I43, 2))), 2)</f>
        <v>44.78</v>
      </c>
      <c r="V86">
        <f>Source!Y43</f>
        <v>271.35000000000002</v>
      </c>
    </row>
    <row r="87" spans="1:26" ht="14.25" x14ac:dyDescent="0.2">
      <c r="A87" s="49"/>
      <c r="B87" s="50"/>
      <c r="C87" s="50" t="s">
        <v>149</v>
      </c>
      <c r="D87" s="31"/>
      <c r="E87" s="13"/>
      <c r="F87" s="32">
        <f>Source!AO43</f>
        <v>466.48</v>
      </c>
      <c r="G87" s="33" t="str">
        <f>Source!DG43</f>
        <v>)*0,7</v>
      </c>
      <c r="H87" s="34">
        <f>ROUND(Source!AF43*Source!I43, 2)</f>
        <v>48.98</v>
      </c>
      <c r="I87" s="33"/>
      <c r="J87" s="33">
        <f>IF(Source!BA43&lt;&gt; 0, Source!BA43, 1)</f>
        <v>6.08</v>
      </c>
      <c r="K87" s="34">
        <f>Source!S43</f>
        <v>297.8</v>
      </c>
      <c r="L87" s="35"/>
      <c r="R87">
        <f>H87</f>
        <v>48.98</v>
      </c>
    </row>
    <row r="88" spans="1:26" ht="14.25" x14ac:dyDescent="0.2">
      <c r="A88" s="49"/>
      <c r="B88" s="50"/>
      <c r="C88" s="50" t="s">
        <v>451</v>
      </c>
      <c r="D88" s="31"/>
      <c r="E88" s="13"/>
      <c r="F88" s="32">
        <f>Source!AM43</f>
        <v>2435.58</v>
      </c>
      <c r="G88" s="33" t="str">
        <f>Source!DE43</f>
        <v>)*0,7</v>
      </c>
      <c r="H88" s="34">
        <f>ROUND(Source!AD43*Source!I43, 2)</f>
        <v>255.74</v>
      </c>
      <c r="I88" s="33"/>
      <c r="J88" s="33">
        <f>IF(Source!BB43&lt;&gt; 0, Source!BB43, 1)</f>
        <v>6.08</v>
      </c>
      <c r="K88" s="34">
        <f>Source!Q43</f>
        <v>1554.87</v>
      </c>
      <c r="L88" s="35"/>
    </row>
    <row r="89" spans="1:26" ht="14.25" x14ac:dyDescent="0.2">
      <c r="A89" s="49"/>
      <c r="B89" s="50"/>
      <c r="C89" s="50" t="s">
        <v>150</v>
      </c>
      <c r="D89" s="31"/>
      <c r="E89" s="13"/>
      <c r="F89" s="32">
        <f>Source!AN43</f>
        <v>123.85</v>
      </c>
      <c r="G89" s="33" t="str">
        <f>Source!DF43</f>
        <v>)*0,7</v>
      </c>
      <c r="H89" s="36">
        <f>ROUND(Source!AE43*Source!I43, 2)</f>
        <v>13</v>
      </c>
      <c r="I89" s="33"/>
      <c r="J89" s="33">
        <f>IF(Source!BS43&lt;&gt; 0, Source!BS43, 1)</f>
        <v>6.08</v>
      </c>
      <c r="K89" s="36">
        <f>Source!R43</f>
        <v>79.069999999999993</v>
      </c>
      <c r="L89" s="35"/>
      <c r="R89">
        <f>H89</f>
        <v>13</v>
      </c>
    </row>
    <row r="90" spans="1:26" ht="14.25" x14ac:dyDescent="0.2">
      <c r="A90" s="49"/>
      <c r="B90" s="50"/>
      <c r="C90" s="50" t="s">
        <v>152</v>
      </c>
      <c r="D90" s="31" t="s">
        <v>153</v>
      </c>
      <c r="E90" s="13">
        <f>Source!BZ43</f>
        <v>90</v>
      </c>
      <c r="F90" s="70" t="str">
        <f>CONCATENATE(" )", Source!DL43, Source!FT43, "=", Source!FX43)</f>
        <v xml:space="preserve"> )*0,9=81</v>
      </c>
      <c r="G90" s="71"/>
      <c r="H90" s="34">
        <f>SUM(S86:S92)</f>
        <v>50.2</v>
      </c>
      <c r="I90" s="37"/>
      <c r="J90" s="29">
        <f>Source!AT43</f>
        <v>81</v>
      </c>
      <c r="K90" s="34">
        <f>SUM(T86:T92)</f>
        <v>305.26</v>
      </c>
      <c r="L90" s="35"/>
    </row>
    <row r="91" spans="1:26" ht="14.25" x14ac:dyDescent="0.2">
      <c r="A91" s="49"/>
      <c r="B91" s="50"/>
      <c r="C91" s="50" t="s">
        <v>154</v>
      </c>
      <c r="D91" s="31" t="s">
        <v>153</v>
      </c>
      <c r="E91" s="13">
        <f>Source!CA43</f>
        <v>85</v>
      </c>
      <c r="F91" s="70" t="str">
        <f>CONCATENATE(" )", Source!DM43, Source!FU43, "=", Source!FY43)</f>
        <v xml:space="preserve"> )*0,85=72,25</v>
      </c>
      <c r="G91" s="71"/>
      <c r="H91" s="34">
        <f>SUM(U86:U92)</f>
        <v>44.78</v>
      </c>
      <c r="I91" s="37"/>
      <c r="J91" s="29">
        <f>Source!AU43</f>
        <v>72</v>
      </c>
      <c r="K91" s="34">
        <f>SUM(V86:V92)</f>
        <v>271.35000000000002</v>
      </c>
      <c r="L91" s="35"/>
    </row>
    <row r="92" spans="1:26" ht="14.25" x14ac:dyDescent="0.2">
      <c r="A92" s="51"/>
      <c r="B92" s="52"/>
      <c r="C92" s="52" t="s">
        <v>155</v>
      </c>
      <c r="D92" s="38" t="s">
        <v>156</v>
      </c>
      <c r="E92" s="39">
        <f>Source!AQ43</f>
        <v>46.37</v>
      </c>
      <c r="F92" s="40"/>
      <c r="G92" s="41" t="str">
        <f>Source!DI43</f>
        <v>)*0,7</v>
      </c>
      <c r="H92" s="42"/>
      <c r="I92" s="41"/>
      <c r="J92" s="41"/>
      <c r="K92" s="42"/>
      <c r="L92" s="43">
        <f>Source!U43</f>
        <v>4.8688499999999992</v>
      </c>
    </row>
    <row r="93" spans="1:26" ht="15" x14ac:dyDescent="0.25">
      <c r="G93" s="69">
        <f>H87+H88+H90+H91</f>
        <v>399.70000000000005</v>
      </c>
      <c r="H93" s="69"/>
      <c r="J93" s="69">
        <f>K87+K88+K90+K91</f>
        <v>2429.2799999999997</v>
      </c>
      <c r="K93" s="69"/>
      <c r="L93" s="44">
        <f>Source!U43</f>
        <v>4.8688499999999992</v>
      </c>
      <c r="O93" s="27">
        <f>G93</f>
        <v>399.70000000000005</v>
      </c>
      <c r="P93" s="27">
        <f>J93</f>
        <v>2429.2799999999997</v>
      </c>
      <c r="Q93" s="27">
        <f>L93</f>
        <v>4.8688499999999992</v>
      </c>
      <c r="W93">
        <f>IF(Source!BI43&lt;=1,H87+H88+H90+H91, 0)</f>
        <v>399.70000000000005</v>
      </c>
      <c r="X93">
        <f>IF(Source!BI43=2,H87+H88+H90+H91, 0)</f>
        <v>0</v>
      </c>
      <c r="Y93">
        <f>IF(Source!BI43=3,H87+H88+H90+H91, 0)</f>
        <v>0</v>
      </c>
      <c r="Z93">
        <f>IF(Source!BI43=4,H87+H88+H90+H91, 0)</f>
        <v>0</v>
      </c>
    </row>
    <row r="94" spans="1:26" ht="28.5" x14ac:dyDescent="0.2">
      <c r="A94" s="49" t="str">
        <f>Source!E45</f>
        <v>9</v>
      </c>
      <c r="B94" s="50" t="str">
        <f>Source!F45</f>
        <v>46-02-009-02</v>
      </c>
      <c r="C94" s="50" t="str">
        <f>Source!G45</f>
        <v>Отбивка штукатурки с поверхностей стен и потолков кирпичных</v>
      </c>
      <c r="D94" s="31" t="str">
        <f>Source!H45</f>
        <v>100 м2</v>
      </c>
      <c r="E94" s="13">
        <f>Source!I45</f>
        <v>5.8140000000000001</v>
      </c>
      <c r="F94" s="32">
        <f>Source!AL45+Source!AM45+Source!AO45</f>
        <v>178</v>
      </c>
      <c r="G94" s="33"/>
      <c r="H94" s="34"/>
      <c r="I94" s="33" t="str">
        <f>Source!BO45</f>
        <v/>
      </c>
      <c r="J94" s="33"/>
      <c r="K94" s="34"/>
      <c r="L94" s="35"/>
      <c r="S94">
        <f>ROUND((Source!FX45/100)*((ROUND(Source!AF45*Source!I45, 2)+ROUND(Source!AE45*Source!I45, 2))), 2)</f>
        <v>1024.54</v>
      </c>
      <c r="T94">
        <f>Source!X45</f>
        <v>6229.22</v>
      </c>
      <c r="U94">
        <f>ROUND((Source!FY45/100)*((ROUND(Source!AF45*Source!I45, 2)+ROUND(Source!AE45*Source!I45, 2))), 2)</f>
        <v>615.76</v>
      </c>
      <c r="V94">
        <f>Source!Y45</f>
        <v>3775.28</v>
      </c>
    </row>
    <row r="95" spans="1:26" x14ac:dyDescent="0.2">
      <c r="C95" s="26" t="str">
        <f>"Объем: "&amp;Source!I45&amp;"=581,4/"&amp;"100"</f>
        <v>Объем: 5,814=581,4/100</v>
      </c>
    </row>
    <row r="96" spans="1:26" ht="14.25" x14ac:dyDescent="0.2">
      <c r="A96" s="49"/>
      <c r="B96" s="50"/>
      <c r="C96" s="50" t="s">
        <v>149</v>
      </c>
      <c r="D96" s="31"/>
      <c r="E96" s="13"/>
      <c r="F96" s="32">
        <f>Source!AO45</f>
        <v>178</v>
      </c>
      <c r="G96" s="33" t="str">
        <f>Source!DG45</f>
        <v/>
      </c>
      <c r="H96" s="34">
        <f>ROUND(Source!AF45*Source!I45, 2)</f>
        <v>1034.8900000000001</v>
      </c>
      <c r="I96" s="33"/>
      <c r="J96" s="33">
        <f>IF(Source!BA45&lt;&gt; 0, Source!BA45, 1)</f>
        <v>6.08</v>
      </c>
      <c r="K96" s="34">
        <f>Source!S45</f>
        <v>6292.14</v>
      </c>
      <c r="L96" s="35"/>
      <c r="R96">
        <f>H96</f>
        <v>1034.8900000000001</v>
      </c>
    </row>
    <row r="97" spans="1:26" ht="14.25" x14ac:dyDescent="0.2">
      <c r="A97" s="49"/>
      <c r="B97" s="50"/>
      <c r="C97" s="50" t="s">
        <v>152</v>
      </c>
      <c r="D97" s="31" t="s">
        <v>153</v>
      </c>
      <c r="E97" s="13">
        <f>Source!BZ45</f>
        <v>110</v>
      </c>
      <c r="F97" s="70" t="str">
        <f>CONCATENATE(" )", Source!DL45, Source!FT45, "=", Source!FX45)</f>
        <v xml:space="preserve"> )*0,9=99</v>
      </c>
      <c r="G97" s="71"/>
      <c r="H97" s="34">
        <f>SUM(S94:S99)</f>
        <v>1024.54</v>
      </c>
      <c r="I97" s="37"/>
      <c r="J97" s="29">
        <f>Source!AT45</f>
        <v>99</v>
      </c>
      <c r="K97" s="34">
        <f>SUM(T94:T99)</f>
        <v>6229.22</v>
      </c>
      <c r="L97" s="35"/>
    </row>
    <row r="98" spans="1:26" ht="14.25" x14ac:dyDescent="0.2">
      <c r="A98" s="49"/>
      <c r="B98" s="50"/>
      <c r="C98" s="50" t="s">
        <v>154</v>
      </c>
      <c r="D98" s="31" t="s">
        <v>153</v>
      </c>
      <c r="E98" s="13">
        <f>Source!CA45</f>
        <v>70</v>
      </c>
      <c r="F98" s="70" t="str">
        <f>CONCATENATE(" )", Source!DM45, Source!FU45, "=", Source!FY45)</f>
        <v xml:space="preserve"> )*0,85=59,5</v>
      </c>
      <c r="G98" s="71"/>
      <c r="H98" s="34">
        <f>SUM(U94:U99)</f>
        <v>615.76</v>
      </c>
      <c r="I98" s="37"/>
      <c r="J98" s="29">
        <f>Source!AU45</f>
        <v>60</v>
      </c>
      <c r="K98" s="34">
        <f>SUM(V94:V99)</f>
        <v>3775.28</v>
      </c>
      <c r="L98" s="35"/>
    </row>
    <row r="99" spans="1:26" ht="14.25" x14ac:dyDescent="0.2">
      <c r="A99" s="51"/>
      <c r="B99" s="52"/>
      <c r="C99" s="52" t="s">
        <v>155</v>
      </c>
      <c r="D99" s="38" t="s">
        <v>156</v>
      </c>
      <c r="E99" s="39">
        <f>Source!AQ45</f>
        <v>22.82</v>
      </c>
      <c r="F99" s="40"/>
      <c r="G99" s="41" t="str">
        <f>Source!DI45</f>
        <v/>
      </c>
      <c r="H99" s="42"/>
      <c r="I99" s="41"/>
      <c r="J99" s="41"/>
      <c r="K99" s="42"/>
      <c r="L99" s="43">
        <f>Source!U45</f>
        <v>132.67547999999999</v>
      </c>
    </row>
    <row r="100" spans="1:26" ht="15" x14ac:dyDescent="0.25">
      <c r="G100" s="69">
        <f>H96+H97+H98</f>
        <v>2675.1900000000005</v>
      </c>
      <c r="H100" s="69"/>
      <c r="J100" s="69">
        <f>K96+K97+K98</f>
        <v>16296.640000000001</v>
      </c>
      <c r="K100" s="69"/>
      <c r="L100" s="44">
        <f>Source!U45</f>
        <v>132.67547999999999</v>
      </c>
      <c r="O100" s="27">
        <f>G100</f>
        <v>2675.1900000000005</v>
      </c>
      <c r="P100" s="27">
        <f>J100</f>
        <v>16296.640000000001</v>
      </c>
      <c r="Q100" s="27">
        <f>L100</f>
        <v>132.67547999999999</v>
      </c>
      <c r="W100">
        <f>IF(Source!BI45&lt;=1,H96+H97+H98, 0)</f>
        <v>2675.1900000000005</v>
      </c>
      <c r="X100">
        <f>IF(Source!BI45=2,H96+H97+H98, 0)</f>
        <v>0</v>
      </c>
      <c r="Y100">
        <f>IF(Source!BI45=3,H96+H97+H98, 0)</f>
        <v>0</v>
      </c>
      <c r="Z100">
        <f>IF(Source!BI45=4,H96+H97+H98, 0)</f>
        <v>0</v>
      </c>
    </row>
    <row r="101" spans="1:26" ht="42.75" x14ac:dyDescent="0.2">
      <c r="A101" s="49" t="str">
        <f>Source!E47</f>
        <v>10</v>
      </c>
      <c r="B101" s="50" t="str">
        <f>Source!F47</f>
        <v>15-04-006-02</v>
      </c>
      <c r="C101" s="50" t="str">
        <f>Source!G47</f>
        <v>Покрытие поверхностей грунтовкой глубокого проникновения за 2 раза потолков</v>
      </c>
      <c r="D101" s="31" t="str">
        <f>Source!H47</f>
        <v>100 м2</v>
      </c>
      <c r="E101" s="13">
        <f>Source!I47</f>
        <v>3.1139999999999999</v>
      </c>
      <c r="F101" s="32">
        <f>Source!AL47+Source!AM47+Source!AO47</f>
        <v>195.23</v>
      </c>
      <c r="G101" s="33"/>
      <c r="H101" s="34"/>
      <c r="I101" s="33" t="str">
        <f>Source!BO47</f>
        <v/>
      </c>
      <c r="J101" s="33"/>
      <c r="K101" s="34"/>
      <c r="L101" s="35"/>
      <c r="S101">
        <f>ROUND((Source!FX47/100)*((ROUND(Source!AF47*Source!I47, 2)+ROUND(Source!AE47*Source!I47, 2))), 2)</f>
        <v>653.54999999999995</v>
      </c>
      <c r="T101">
        <f>Source!X47</f>
        <v>3994.64</v>
      </c>
      <c r="U101">
        <f>ROUND((Source!FY47/100)*((ROUND(Source!AF47*Source!I47, 2)+ROUND(Source!AE47*Source!I47, 2))), 2)</f>
        <v>323.32</v>
      </c>
      <c r="V101">
        <f>Source!Y47</f>
        <v>1976.29</v>
      </c>
    </row>
    <row r="102" spans="1:26" x14ac:dyDescent="0.2">
      <c r="C102" s="26" t="str">
        <f>"Объем: "&amp;Source!I47&amp;"=311,4/"&amp;"100"</f>
        <v>Объем: 3,114=311,4/100</v>
      </c>
    </row>
    <row r="103" spans="1:26" ht="14.25" x14ac:dyDescent="0.2">
      <c r="A103" s="49"/>
      <c r="B103" s="50"/>
      <c r="C103" s="50" t="s">
        <v>149</v>
      </c>
      <c r="D103" s="31"/>
      <c r="E103" s="13"/>
      <c r="F103" s="32">
        <f>Source!AO47</f>
        <v>192.59</v>
      </c>
      <c r="G103" s="33" t="str">
        <f>Source!DG47</f>
        <v>)*1,15</v>
      </c>
      <c r="H103" s="34">
        <f>ROUND(Source!AF47*Source!I47, 2)</f>
        <v>689.68</v>
      </c>
      <c r="I103" s="33"/>
      <c r="J103" s="33">
        <f>IF(Source!BA47&lt;&gt; 0, Source!BA47, 1)</f>
        <v>6.08</v>
      </c>
      <c r="K103" s="34">
        <f>Source!S47</f>
        <v>4193.28</v>
      </c>
      <c r="L103" s="35"/>
      <c r="R103">
        <f>H103</f>
        <v>689.68</v>
      </c>
    </row>
    <row r="104" spans="1:26" ht="14.25" x14ac:dyDescent="0.2">
      <c r="A104" s="49"/>
      <c r="B104" s="50"/>
      <c r="C104" s="50" t="s">
        <v>451</v>
      </c>
      <c r="D104" s="31"/>
      <c r="E104" s="13"/>
      <c r="F104" s="32">
        <f>Source!AM47</f>
        <v>2.2799999999999998</v>
      </c>
      <c r="G104" s="33" t="str">
        <f>Source!DE47</f>
        <v>)*1,25</v>
      </c>
      <c r="H104" s="34">
        <f>ROUND(Source!AD47*Source!I47, 2)</f>
        <v>8.8699999999999992</v>
      </c>
      <c r="I104" s="33"/>
      <c r="J104" s="33">
        <f>IF(Source!BB47&lt;&gt; 0, Source!BB47, 1)</f>
        <v>6.08</v>
      </c>
      <c r="K104" s="34">
        <f>Source!Q47</f>
        <v>53.96</v>
      </c>
      <c r="L104" s="35"/>
    </row>
    <row r="105" spans="1:26" ht="14.25" x14ac:dyDescent="0.2">
      <c r="A105" s="49"/>
      <c r="B105" s="50"/>
      <c r="C105" s="50" t="s">
        <v>150</v>
      </c>
      <c r="D105" s="31"/>
      <c r="E105" s="13"/>
      <c r="F105" s="32">
        <f>Source!AN47</f>
        <v>0.49</v>
      </c>
      <c r="G105" s="33" t="str">
        <f>Source!DF47</f>
        <v>)*1,25</v>
      </c>
      <c r="H105" s="36">
        <f>ROUND(Source!AE47*Source!I47, 2)</f>
        <v>1.91</v>
      </c>
      <c r="I105" s="33"/>
      <c r="J105" s="33">
        <f>IF(Source!BS47&lt;&gt; 0, Source!BS47, 1)</f>
        <v>6.08</v>
      </c>
      <c r="K105" s="36">
        <f>Source!R47</f>
        <v>11.6</v>
      </c>
      <c r="L105" s="35"/>
      <c r="R105">
        <f>H105</f>
        <v>1.91</v>
      </c>
    </row>
    <row r="106" spans="1:26" ht="14.25" x14ac:dyDescent="0.2">
      <c r="A106" s="49"/>
      <c r="B106" s="50"/>
      <c r="C106" s="50" t="s">
        <v>151</v>
      </c>
      <c r="D106" s="31"/>
      <c r="E106" s="13"/>
      <c r="F106" s="32">
        <f>Source!AL47</f>
        <v>0.36</v>
      </c>
      <c r="G106" s="33" t="str">
        <f>Source!DD47</f>
        <v/>
      </c>
      <c r="H106" s="34">
        <f>ROUND(Source!AC47*Source!I47, 2)</f>
        <v>1.1200000000000001</v>
      </c>
      <c r="I106" s="33"/>
      <c r="J106" s="33">
        <f>IF(Source!BC47&lt;&gt; 0, Source!BC47, 1)</f>
        <v>6.08</v>
      </c>
      <c r="K106" s="34">
        <f>Source!P47</f>
        <v>6.82</v>
      </c>
      <c r="L106" s="35"/>
    </row>
    <row r="107" spans="1:26" ht="14.25" x14ac:dyDescent="0.2">
      <c r="A107" s="49"/>
      <c r="B107" s="50"/>
      <c r="C107" s="50" t="s">
        <v>152</v>
      </c>
      <c r="D107" s="31" t="s">
        <v>153</v>
      </c>
      <c r="E107" s="13">
        <f>Source!BZ47</f>
        <v>105</v>
      </c>
      <c r="F107" s="70" t="str">
        <f>CONCATENATE(" )", Source!DL47, Source!FT47, "=", Source!FX47)</f>
        <v xml:space="preserve"> )*0,9=94,5</v>
      </c>
      <c r="G107" s="71"/>
      <c r="H107" s="34">
        <f>SUM(S101:S110)</f>
        <v>653.54999999999995</v>
      </c>
      <c r="I107" s="37"/>
      <c r="J107" s="29">
        <f>Source!AT47</f>
        <v>95</v>
      </c>
      <c r="K107" s="34">
        <f>SUM(T101:T110)</f>
        <v>3994.64</v>
      </c>
      <c r="L107" s="35"/>
    </row>
    <row r="108" spans="1:26" ht="14.25" x14ac:dyDescent="0.2">
      <c r="A108" s="49"/>
      <c r="B108" s="50"/>
      <c r="C108" s="50" t="s">
        <v>154</v>
      </c>
      <c r="D108" s="31" t="s">
        <v>153</v>
      </c>
      <c r="E108" s="13">
        <f>Source!CA47</f>
        <v>55</v>
      </c>
      <c r="F108" s="70" t="str">
        <f>CONCATENATE(" )", Source!DM47, Source!FU47, "=", Source!FY47)</f>
        <v xml:space="preserve"> )*0,85=46,75</v>
      </c>
      <c r="G108" s="71"/>
      <c r="H108" s="34">
        <f>SUM(U101:U110)</f>
        <v>323.32</v>
      </c>
      <c r="I108" s="37"/>
      <c r="J108" s="29">
        <f>Source!AU47</f>
        <v>47</v>
      </c>
      <c r="K108" s="34">
        <f>SUM(V101:V110)</f>
        <v>1976.29</v>
      </c>
      <c r="L108" s="35"/>
    </row>
    <row r="109" spans="1:26" ht="14.25" x14ac:dyDescent="0.2">
      <c r="A109" s="49"/>
      <c r="B109" s="50"/>
      <c r="C109" s="50" t="s">
        <v>155</v>
      </c>
      <c r="D109" s="31" t="s">
        <v>156</v>
      </c>
      <c r="E109" s="13">
        <f>Source!AQ47</f>
        <v>20.02</v>
      </c>
      <c r="F109" s="32"/>
      <c r="G109" s="33" t="str">
        <f>Source!DI47</f>
        <v>)*1,15</v>
      </c>
      <c r="H109" s="34"/>
      <c r="I109" s="33"/>
      <c r="J109" s="33"/>
      <c r="K109" s="34"/>
      <c r="L109" s="45">
        <f>Source!U47</f>
        <v>71.693621999999991</v>
      </c>
    </row>
    <row r="110" spans="1:26" ht="28.5" x14ac:dyDescent="0.2">
      <c r="A110" s="51" t="str">
        <f>Source!E49</f>
        <v>10,1</v>
      </c>
      <c r="B110" s="52" t="str">
        <f>Source!F49</f>
        <v>14.4.01.02-0113</v>
      </c>
      <c r="C110" s="52" t="str">
        <f>Source!G49</f>
        <v>Грунтовка акриловая CERESIT</v>
      </c>
      <c r="D110" s="38" t="str">
        <f>Source!H49</f>
        <v>кг</v>
      </c>
      <c r="E110" s="39">
        <f>Source!I49</f>
        <v>62.28</v>
      </c>
      <c r="F110" s="40">
        <f>Source!AL49+Source!AM49+Source!AO49</f>
        <v>15.25</v>
      </c>
      <c r="G110" s="46" t="s">
        <v>224</v>
      </c>
      <c r="H110" s="42">
        <f>ROUND(Source!AC49*Source!I49, 2)+ROUND(Source!AD49*Source!I49, 2)+ROUND(Source!AF49*Source!I49, 2)</f>
        <v>949.77</v>
      </c>
      <c r="I110" s="41"/>
      <c r="J110" s="41">
        <f>IF(Source!BC49&lt;&gt; 0, Source!BC49, 1)</f>
        <v>6.08</v>
      </c>
      <c r="K110" s="42">
        <f>Source!O49</f>
        <v>5774.6</v>
      </c>
      <c r="L110" s="47"/>
      <c r="S110">
        <f>ROUND((Source!FX49/100)*((ROUND(Source!AF49*Source!I49, 2)+ROUND(Source!AE49*Source!I49, 2))), 2)</f>
        <v>0</v>
      </c>
      <c r="T110">
        <f>Source!X49</f>
        <v>0</v>
      </c>
      <c r="U110">
        <f>ROUND((Source!FY49/100)*((ROUND(Source!AF49*Source!I49, 2)+ROUND(Source!AE49*Source!I49, 2))), 2)</f>
        <v>0</v>
      </c>
      <c r="V110">
        <f>Source!Y49</f>
        <v>0</v>
      </c>
      <c r="W110">
        <f>IF(Source!BI49&lt;=1,H110, 0)</f>
        <v>949.77</v>
      </c>
      <c r="X110">
        <f>IF(Source!BI49=2,H110, 0)</f>
        <v>0</v>
      </c>
      <c r="Y110">
        <f>IF(Source!BI49=3,H110, 0)</f>
        <v>0</v>
      </c>
      <c r="Z110">
        <f>IF(Source!BI49=4,H110, 0)</f>
        <v>0</v>
      </c>
    </row>
    <row r="111" spans="1:26" ht="15" x14ac:dyDescent="0.25">
      <c r="G111" s="69">
        <f>H103+H104+H106+H107+H108+SUM(H110:H110)</f>
        <v>2626.3099999999995</v>
      </c>
      <c r="H111" s="69"/>
      <c r="J111" s="69">
        <f>K103+K104+K106+K107+K108+SUM(K110:K110)</f>
        <v>15999.589999999998</v>
      </c>
      <c r="K111" s="69"/>
      <c r="L111" s="44">
        <f>Source!U47</f>
        <v>71.693621999999991</v>
      </c>
      <c r="O111" s="27">
        <f>G111</f>
        <v>2626.3099999999995</v>
      </c>
      <c r="P111" s="27">
        <f>J111</f>
        <v>15999.589999999998</v>
      </c>
      <c r="Q111" s="27">
        <f>L111</f>
        <v>71.693621999999991</v>
      </c>
      <c r="W111">
        <f>IF(Source!BI47&lt;=1,H103+H104+H106+H107+H108, 0)</f>
        <v>1676.5399999999997</v>
      </c>
      <c r="X111">
        <f>IF(Source!BI47=2,H103+H104+H106+H107+H108, 0)</f>
        <v>0</v>
      </c>
      <c r="Y111">
        <f>IF(Source!BI47=3,H103+H104+H106+H107+H108, 0)</f>
        <v>0</v>
      </c>
      <c r="Z111">
        <f>IF(Source!BI47=4,H103+H104+H106+H107+H108, 0)</f>
        <v>0</v>
      </c>
    </row>
    <row r="112" spans="1:26" ht="42.75" x14ac:dyDescent="0.2">
      <c r="A112" s="49" t="str">
        <f>Source!E51</f>
        <v>11</v>
      </c>
      <c r="B112" s="50" t="str">
        <f>Source!F51</f>
        <v>15-04-005-04</v>
      </c>
      <c r="C112" s="50" t="str">
        <f>Source!G51</f>
        <v>Окраска поливинилацетатными водоэмульсионными составами улучшенная по штукатурке потолков</v>
      </c>
      <c r="D112" s="31" t="str">
        <f>Source!H51</f>
        <v>100 м2</v>
      </c>
      <c r="E112" s="13">
        <f>Source!I51</f>
        <v>3.1139999999999999</v>
      </c>
      <c r="F112" s="32">
        <f>Source!AL51+Source!AM51+Source!AO51</f>
        <v>792.1</v>
      </c>
      <c r="G112" s="33"/>
      <c r="H112" s="34"/>
      <c r="I112" s="33" t="str">
        <f>Source!BO51</f>
        <v/>
      </c>
      <c r="J112" s="33"/>
      <c r="K112" s="34"/>
      <c r="L112" s="35"/>
      <c r="S112">
        <f>ROUND((Source!FX51/100)*((ROUND(Source!AF51*Source!I51, 2)+ROUND(Source!AE51*Source!I51, 2))), 2)</f>
        <v>1644</v>
      </c>
      <c r="T112">
        <f>Source!X51</f>
        <v>10048.4</v>
      </c>
      <c r="U112">
        <f>ROUND((Source!FY51/100)*((ROUND(Source!AF51*Source!I51, 2)+ROUND(Source!AE51*Source!I51, 2))), 2)</f>
        <v>813.3</v>
      </c>
      <c r="V112">
        <f>Source!Y51</f>
        <v>4971.3100000000004</v>
      </c>
    </row>
    <row r="113" spans="1:26" x14ac:dyDescent="0.2">
      <c r="C113" s="26" t="str">
        <f>"Объем: "&amp;Source!I51&amp;"=311,4/"&amp;"100"</f>
        <v>Объем: 3,114=311,4/100</v>
      </c>
    </row>
    <row r="114" spans="1:26" ht="14.25" x14ac:dyDescent="0.2">
      <c r="A114" s="49"/>
      <c r="B114" s="50"/>
      <c r="C114" s="50" t="s">
        <v>149</v>
      </c>
      <c r="D114" s="31"/>
      <c r="E114" s="13"/>
      <c r="F114" s="32">
        <f>Source!AO51</f>
        <v>483.48</v>
      </c>
      <c r="G114" s="33" t="str">
        <f>Source!DG51</f>
        <v>)*1,15</v>
      </c>
      <c r="H114" s="34">
        <f>ROUND(Source!AF51*Source!I51, 2)</f>
        <v>1731.39</v>
      </c>
      <c r="I114" s="33"/>
      <c r="J114" s="33">
        <f>IF(Source!BA51&lt;&gt; 0, Source!BA51, 1)</f>
        <v>6.08</v>
      </c>
      <c r="K114" s="34">
        <f>Source!S51</f>
        <v>10526.85</v>
      </c>
      <c r="L114" s="35"/>
      <c r="R114">
        <f>H114</f>
        <v>1731.39</v>
      </c>
    </row>
    <row r="115" spans="1:26" ht="14.25" x14ac:dyDescent="0.2">
      <c r="A115" s="49"/>
      <c r="B115" s="50"/>
      <c r="C115" s="50" t="s">
        <v>451</v>
      </c>
      <c r="D115" s="31"/>
      <c r="E115" s="13"/>
      <c r="F115" s="32">
        <f>Source!AM51</f>
        <v>11.14</v>
      </c>
      <c r="G115" s="33" t="str">
        <f>Source!DE51</f>
        <v>)*1,25</v>
      </c>
      <c r="H115" s="34">
        <f>ROUND(Source!AD51*Source!I51, 2)</f>
        <v>43.36</v>
      </c>
      <c r="I115" s="33"/>
      <c r="J115" s="33">
        <f>IF(Source!BB51&lt;&gt; 0, Source!BB51, 1)</f>
        <v>6.08</v>
      </c>
      <c r="K115" s="34">
        <f>Source!Q51</f>
        <v>263.64</v>
      </c>
      <c r="L115" s="35"/>
    </row>
    <row r="116" spans="1:26" ht="14.25" x14ac:dyDescent="0.2">
      <c r="A116" s="49"/>
      <c r="B116" s="50"/>
      <c r="C116" s="50" t="s">
        <v>150</v>
      </c>
      <c r="D116" s="31"/>
      <c r="E116" s="13"/>
      <c r="F116" s="32">
        <f>Source!AN51</f>
        <v>2.13</v>
      </c>
      <c r="G116" s="33" t="str">
        <f>Source!DF51</f>
        <v>)*1,25</v>
      </c>
      <c r="H116" s="36">
        <f>ROUND(Source!AE51*Source!I51, 2)</f>
        <v>8.2899999999999991</v>
      </c>
      <c r="I116" s="33"/>
      <c r="J116" s="33">
        <f>IF(Source!BS51&lt;&gt; 0, Source!BS51, 1)</f>
        <v>6.08</v>
      </c>
      <c r="K116" s="36">
        <f>Source!R51</f>
        <v>50.41</v>
      </c>
      <c r="L116" s="35"/>
      <c r="R116">
        <f>H116</f>
        <v>8.2899999999999991</v>
      </c>
    </row>
    <row r="117" spans="1:26" ht="14.25" x14ac:dyDescent="0.2">
      <c r="A117" s="49"/>
      <c r="B117" s="50"/>
      <c r="C117" s="50" t="s">
        <v>151</v>
      </c>
      <c r="D117" s="31"/>
      <c r="E117" s="13"/>
      <c r="F117" s="32">
        <f>Source!AL51</f>
        <v>297.48</v>
      </c>
      <c r="G117" s="33" t="str">
        <f>Source!DD51</f>
        <v/>
      </c>
      <c r="H117" s="34">
        <f>ROUND(Source!AC51*Source!I51, 2)</f>
        <v>926.35</v>
      </c>
      <c r="I117" s="33"/>
      <c r="J117" s="33">
        <f>IF(Source!BC51&lt;&gt; 0, Source!BC51, 1)</f>
        <v>6.08</v>
      </c>
      <c r="K117" s="34">
        <f>Source!P51</f>
        <v>5632.22</v>
      </c>
      <c r="L117" s="35"/>
    </row>
    <row r="118" spans="1:26" ht="14.25" x14ac:dyDescent="0.2">
      <c r="A118" s="49"/>
      <c r="B118" s="50"/>
      <c r="C118" s="50" t="s">
        <v>152</v>
      </c>
      <c r="D118" s="31" t="s">
        <v>153</v>
      </c>
      <c r="E118" s="13">
        <f>Source!BZ51</f>
        <v>105</v>
      </c>
      <c r="F118" s="70" t="str">
        <f>CONCATENATE(" )", Source!DL51, Source!FT51, "=", Source!FX51)</f>
        <v xml:space="preserve"> )*0,9=94,5</v>
      </c>
      <c r="G118" s="71"/>
      <c r="H118" s="34">
        <f>SUM(S112:S121)</f>
        <v>1644</v>
      </c>
      <c r="I118" s="37"/>
      <c r="J118" s="29">
        <f>Source!AT51</f>
        <v>95</v>
      </c>
      <c r="K118" s="34">
        <f>SUM(T112:T121)</f>
        <v>10048.4</v>
      </c>
      <c r="L118" s="35"/>
    </row>
    <row r="119" spans="1:26" ht="14.25" x14ac:dyDescent="0.2">
      <c r="A119" s="49"/>
      <c r="B119" s="50"/>
      <c r="C119" s="50" t="s">
        <v>154</v>
      </c>
      <c r="D119" s="31" t="s">
        <v>153</v>
      </c>
      <c r="E119" s="13">
        <f>Source!CA51</f>
        <v>55</v>
      </c>
      <c r="F119" s="70" t="str">
        <f>CONCATENATE(" )", Source!DM51, Source!FU51, "=", Source!FY51)</f>
        <v xml:space="preserve"> )*0,85=46,75</v>
      </c>
      <c r="G119" s="71"/>
      <c r="H119" s="34">
        <f>SUM(U112:U121)</f>
        <v>813.3</v>
      </c>
      <c r="I119" s="37"/>
      <c r="J119" s="29">
        <f>Source!AU51</f>
        <v>47</v>
      </c>
      <c r="K119" s="34">
        <f>SUM(V112:V121)</f>
        <v>4971.3100000000004</v>
      </c>
      <c r="L119" s="35"/>
    </row>
    <row r="120" spans="1:26" ht="14.25" x14ac:dyDescent="0.2">
      <c r="A120" s="49"/>
      <c r="B120" s="50"/>
      <c r="C120" s="50" t="s">
        <v>155</v>
      </c>
      <c r="D120" s="31" t="s">
        <v>156</v>
      </c>
      <c r="E120" s="13">
        <f>Source!AQ51</f>
        <v>53.9</v>
      </c>
      <c r="F120" s="32"/>
      <c r="G120" s="33" t="str">
        <f>Source!DI51</f>
        <v>)*1,15</v>
      </c>
      <c r="H120" s="34"/>
      <c r="I120" s="33"/>
      <c r="J120" s="33"/>
      <c r="K120" s="34"/>
      <c r="L120" s="45">
        <f>Source!U51</f>
        <v>193.02128999999996</v>
      </c>
    </row>
    <row r="121" spans="1:26" ht="28.5" x14ac:dyDescent="0.2">
      <c r="A121" s="51" t="str">
        <f>Source!E53</f>
        <v>11,1</v>
      </c>
      <c r="B121" s="52" t="str">
        <f>Source!F53</f>
        <v>14.3.02.01-0223</v>
      </c>
      <c r="C121" s="52" t="str">
        <f>Source!G53</f>
        <v>Краска водоэмульсионная для внутренних работ ВАК-15</v>
      </c>
      <c r="D121" s="38" t="str">
        <f>Source!H53</f>
        <v>т</v>
      </c>
      <c r="E121" s="39">
        <f>Source!I53</f>
        <v>0.214866</v>
      </c>
      <c r="F121" s="40">
        <f>Source!AL53+Source!AM53+Source!AO53</f>
        <v>19973.669999999998</v>
      </c>
      <c r="G121" s="46" t="s">
        <v>224</v>
      </c>
      <c r="H121" s="42">
        <f>ROUND(Source!AC53*Source!I53, 2)+ROUND(Source!AD53*Source!I53, 2)+ROUND(Source!AF53*Source!I53, 2)</f>
        <v>4291.66</v>
      </c>
      <c r="I121" s="41"/>
      <c r="J121" s="41">
        <f>IF(Source!BC53&lt;&gt; 0, Source!BC53, 1)</f>
        <v>6.08</v>
      </c>
      <c r="K121" s="42">
        <f>Source!O53</f>
        <v>26093.31</v>
      </c>
      <c r="L121" s="47"/>
      <c r="S121">
        <f>ROUND((Source!FX53/100)*((ROUND(Source!AF53*Source!I53, 2)+ROUND(Source!AE53*Source!I53, 2))), 2)</f>
        <v>0</v>
      </c>
      <c r="T121">
        <f>Source!X53</f>
        <v>0</v>
      </c>
      <c r="U121">
        <f>ROUND((Source!FY53/100)*((ROUND(Source!AF53*Source!I53, 2)+ROUND(Source!AE53*Source!I53, 2))), 2)</f>
        <v>0</v>
      </c>
      <c r="V121">
        <f>Source!Y53</f>
        <v>0</v>
      </c>
      <c r="W121">
        <f>IF(Source!BI53&lt;=1,H121, 0)</f>
        <v>4291.66</v>
      </c>
      <c r="X121">
        <f>IF(Source!BI53=2,H121, 0)</f>
        <v>0</v>
      </c>
      <c r="Y121">
        <f>IF(Source!BI53=3,H121, 0)</f>
        <v>0</v>
      </c>
      <c r="Z121">
        <f>IF(Source!BI53=4,H121, 0)</f>
        <v>0</v>
      </c>
    </row>
    <row r="122" spans="1:26" ht="15" x14ac:dyDescent="0.25">
      <c r="G122" s="69">
        <f>H114+H115+H117+H118+H119+SUM(H121:H121)</f>
        <v>9450.0600000000013</v>
      </c>
      <c r="H122" s="69"/>
      <c r="J122" s="69">
        <f>K114+K115+K117+K118+K119+SUM(K121:K121)</f>
        <v>57535.73</v>
      </c>
      <c r="K122" s="69"/>
      <c r="L122" s="44">
        <f>Source!U51</f>
        <v>193.02128999999996</v>
      </c>
      <c r="O122" s="27">
        <f>G122</f>
        <v>9450.0600000000013</v>
      </c>
      <c r="P122" s="27">
        <f>J122</f>
        <v>57535.73</v>
      </c>
      <c r="Q122" s="27">
        <f>L122</f>
        <v>193.02128999999996</v>
      </c>
      <c r="W122">
        <f>IF(Source!BI51&lt;=1,H114+H115+H117+H118+H119, 0)</f>
        <v>5158.4000000000005</v>
      </c>
      <c r="X122">
        <f>IF(Source!BI51=2,H114+H115+H117+H118+H119, 0)</f>
        <v>0</v>
      </c>
      <c r="Y122">
        <f>IF(Source!BI51=3,H114+H115+H117+H118+H119, 0)</f>
        <v>0</v>
      </c>
      <c r="Z122">
        <f>IF(Source!BI51=4,H114+H115+H117+H118+H119, 0)</f>
        <v>0</v>
      </c>
    </row>
    <row r="123" spans="1:26" ht="42.75" x14ac:dyDescent="0.2">
      <c r="A123" s="49" t="str">
        <f>Source!E55</f>
        <v>12</v>
      </c>
      <c r="B123" s="50" t="str">
        <f>Source!F55</f>
        <v>15-02-015-05</v>
      </c>
      <c r="C123" s="50" t="str">
        <f>Source!G55</f>
        <v>Штукатурка поверхностей внутри здания известковым раствором улучшенная по камню и бетону стен</v>
      </c>
      <c r="D123" s="31" t="str">
        <f>Source!H55</f>
        <v>100 м2</v>
      </c>
      <c r="E123" s="13">
        <f>Source!I55</f>
        <v>3.2</v>
      </c>
      <c r="F123" s="32">
        <f>Source!AL55+Source!AM55+Source!AO55</f>
        <v>1833.5300000000002</v>
      </c>
      <c r="G123" s="33"/>
      <c r="H123" s="34"/>
      <c r="I123" s="33" t="str">
        <f>Source!BO55</f>
        <v/>
      </c>
      <c r="J123" s="33"/>
      <c r="K123" s="34"/>
      <c r="L123" s="35"/>
      <c r="S123">
        <f>ROUND((Source!FX55/100)*((ROUND(Source!AF55*Source!I55, 2)+ROUND(Source!AE55*Source!I55, 2))), 2)</f>
        <v>2249.19</v>
      </c>
      <c r="T123">
        <f>Source!X55</f>
        <v>13747.43</v>
      </c>
      <c r="U123">
        <f>ROUND((Source!FY55/100)*((ROUND(Source!AF55*Source!I55, 2)+ROUND(Source!AE55*Source!I55, 2))), 2)</f>
        <v>1112.69</v>
      </c>
      <c r="V123">
        <f>Source!Y55</f>
        <v>6801.36</v>
      </c>
    </row>
    <row r="124" spans="1:26" x14ac:dyDescent="0.2">
      <c r="C124" s="26" t="str">
        <f>"Объем: "&amp;Source!I55&amp;"=320/"&amp;"100"</f>
        <v>Объем: 3,2=320/100</v>
      </c>
    </row>
    <row r="125" spans="1:26" ht="14.25" x14ac:dyDescent="0.2">
      <c r="A125" s="49"/>
      <c r="B125" s="50"/>
      <c r="C125" s="50" t="s">
        <v>149</v>
      </c>
      <c r="D125" s="31"/>
      <c r="E125" s="13"/>
      <c r="F125" s="32">
        <f>Source!AO55</f>
        <v>697.86</v>
      </c>
      <c r="G125" s="33" t="str">
        <f>Source!DG55</f>
        <v/>
      </c>
      <c r="H125" s="34">
        <f>ROUND(Source!AF55*Source!I55, 2)</f>
        <v>2233.15</v>
      </c>
      <c r="I125" s="33"/>
      <c r="J125" s="33">
        <f>IF(Source!BA55&lt;&gt; 0, Source!BA55, 1)</f>
        <v>6.08</v>
      </c>
      <c r="K125" s="34">
        <f>Source!S55</f>
        <v>13577.56</v>
      </c>
      <c r="L125" s="35"/>
      <c r="R125">
        <f>H125</f>
        <v>2233.15</v>
      </c>
    </row>
    <row r="126" spans="1:26" ht="14.25" x14ac:dyDescent="0.2">
      <c r="A126" s="49"/>
      <c r="B126" s="50"/>
      <c r="C126" s="50" t="s">
        <v>451</v>
      </c>
      <c r="D126" s="31"/>
      <c r="E126" s="13"/>
      <c r="F126" s="32">
        <f>Source!AM55</f>
        <v>75.48</v>
      </c>
      <c r="G126" s="33" t="str">
        <f>Source!DE55</f>
        <v/>
      </c>
      <c r="H126" s="34">
        <f>ROUND(Source!AD55*Source!I55, 2)</f>
        <v>241.54</v>
      </c>
      <c r="I126" s="33"/>
      <c r="J126" s="33">
        <f>IF(Source!BB55&lt;&gt; 0, Source!BB55, 1)</f>
        <v>6.08</v>
      </c>
      <c r="K126" s="34">
        <f>Source!Q55</f>
        <v>1468.54</v>
      </c>
      <c r="L126" s="35"/>
    </row>
    <row r="127" spans="1:26" ht="14.25" x14ac:dyDescent="0.2">
      <c r="A127" s="49"/>
      <c r="B127" s="50"/>
      <c r="C127" s="50" t="s">
        <v>150</v>
      </c>
      <c r="D127" s="31"/>
      <c r="E127" s="13"/>
      <c r="F127" s="32">
        <f>Source!AN55</f>
        <v>45.92</v>
      </c>
      <c r="G127" s="33" t="str">
        <f>Source!DF55</f>
        <v/>
      </c>
      <c r="H127" s="36">
        <f>ROUND(Source!AE55*Source!I55, 2)</f>
        <v>146.94</v>
      </c>
      <c r="I127" s="33"/>
      <c r="J127" s="33">
        <f>IF(Source!BS55&lt;&gt; 0, Source!BS55, 1)</f>
        <v>6.08</v>
      </c>
      <c r="K127" s="36">
        <f>Source!R55</f>
        <v>893.42</v>
      </c>
      <c r="L127" s="35"/>
      <c r="R127">
        <f>H127</f>
        <v>146.94</v>
      </c>
    </row>
    <row r="128" spans="1:26" ht="14.25" x14ac:dyDescent="0.2">
      <c r="A128" s="49"/>
      <c r="B128" s="50"/>
      <c r="C128" s="50" t="s">
        <v>151</v>
      </c>
      <c r="D128" s="31"/>
      <c r="E128" s="13"/>
      <c r="F128" s="32">
        <f>Source!AL55</f>
        <v>1060.19</v>
      </c>
      <c r="G128" s="33" t="str">
        <f>Source!DD55</f>
        <v/>
      </c>
      <c r="H128" s="34">
        <f>ROUND(Source!AC55*Source!I55, 2)</f>
        <v>3392.61</v>
      </c>
      <c r="I128" s="33"/>
      <c r="J128" s="33">
        <f>IF(Source!BC55&lt;&gt; 0, Source!BC55, 1)</f>
        <v>6.08</v>
      </c>
      <c r="K128" s="34">
        <f>Source!P55</f>
        <v>20627.060000000001</v>
      </c>
      <c r="L128" s="35"/>
    </row>
    <row r="129" spans="1:26" ht="14.25" x14ac:dyDescent="0.2">
      <c r="A129" s="49"/>
      <c r="B129" s="50"/>
      <c r="C129" s="50" t="s">
        <v>152</v>
      </c>
      <c r="D129" s="31" t="s">
        <v>153</v>
      </c>
      <c r="E129" s="13">
        <f>Source!BZ55</f>
        <v>105</v>
      </c>
      <c r="F129" s="70" t="str">
        <f>CONCATENATE(" )", Source!DL55, Source!FT55, "=", Source!FX55)</f>
        <v xml:space="preserve"> )*0,9=94,5</v>
      </c>
      <c r="G129" s="71"/>
      <c r="H129" s="34">
        <f>SUM(S123:S131)</f>
        <v>2249.19</v>
      </c>
      <c r="I129" s="37"/>
      <c r="J129" s="29">
        <f>Source!AT55</f>
        <v>95</v>
      </c>
      <c r="K129" s="34">
        <f>SUM(T123:T131)</f>
        <v>13747.43</v>
      </c>
      <c r="L129" s="35"/>
    </row>
    <row r="130" spans="1:26" ht="14.25" x14ac:dyDescent="0.2">
      <c r="A130" s="49"/>
      <c r="B130" s="50"/>
      <c r="C130" s="50" t="s">
        <v>154</v>
      </c>
      <c r="D130" s="31" t="s">
        <v>153</v>
      </c>
      <c r="E130" s="13">
        <f>Source!CA55</f>
        <v>55</v>
      </c>
      <c r="F130" s="70" t="str">
        <f>CONCATENATE(" )", Source!DM55, Source!FU55, "=", Source!FY55)</f>
        <v xml:space="preserve"> )*0,85=46,75</v>
      </c>
      <c r="G130" s="71"/>
      <c r="H130" s="34">
        <f>SUM(U123:U131)</f>
        <v>1112.69</v>
      </c>
      <c r="I130" s="37"/>
      <c r="J130" s="29">
        <f>Source!AU55</f>
        <v>47</v>
      </c>
      <c r="K130" s="34">
        <f>SUM(V123:V131)</f>
        <v>6801.36</v>
      </c>
      <c r="L130" s="35"/>
    </row>
    <row r="131" spans="1:26" ht="14.25" x14ac:dyDescent="0.2">
      <c r="A131" s="51"/>
      <c r="B131" s="52"/>
      <c r="C131" s="52" t="s">
        <v>155</v>
      </c>
      <c r="D131" s="38" t="s">
        <v>156</v>
      </c>
      <c r="E131" s="39">
        <f>Source!AQ55</f>
        <v>74.239999999999995</v>
      </c>
      <c r="F131" s="40"/>
      <c r="G131" s="41" t="str">
        <f>Source!DI55</f>
        <v/>
      </c>
      <c r="H131" s="42"/>
      <c r="I131" s="41"/>
      <c r="J131" s="41"/>
      <c r="K131" s="42"/>
      <c r="L131" s="43">
        <f>Source!U55</f>
        <v>237.56799999999998</v>
      </c>
    </row>
    <row r="132" spans="1:26" ht="15" x14ac:dyDescent="0.25">
      <c r="G132" s="69">
        <f>H125+H126+H128+H129+H130</f>
        <v>9229.18</v>
      </c>
      <c r="H132" s="69"/>
      <c r="J132" s="69">
        <f>K125+K126+K128+K129+K130</f>
        <v>56221.950000000004</v>
      </c>
      <c r="K132" s="69"/>
      <c r="L132" s="44">
        <f>Source!U55</f>
        <v>237.56799999999998</v>
      </c>
      <c r="O132" s="27">
        <f>G132</f>
        <v>9229.18</v>
      </c>
      <c r="P132" s="27">
        <f>J132</f>
        <v>56221.950000000004</v>
      </c>
      <c r="Q132" s="27">
        <f>L132</f>
        <v>237.56799999999998</v>
      </c>
      <c r="W132">
        <f>IF(Source!BI55&lt;=1,H125+H126+H128+H129+H130, 0)</f>
        <v>9229.18</v>
      </c>
      <c r="X132">
        <f>IF(Source!BI55=2,H125+H126+H128+H129+H130, 0)</f>
        <v>0</v>
      </c>
      <c r="Y132">
        <f>IF(Source!BI55=3,H125+H126+H128+H129+H130, 0)</f>
        <v>0</v>
      </c>
      <c r="Z132">
        <f>IF(Source!BI55=4,H125+H126+H128+H129+H130, 0)</f>
        <v>0</v>
      </c>
    </row>
    <row r="133" spans="1:26" ht="42.75" x14ac:dyDescent="0.2">
      <c r="A133" s="49" t="str">
        <f>Source!E57</f>
        <v>13</v>
      </c>
      <c r="B133" s="50" t="str">
        <f>Source!F57</f>
        <v>15-04-007-01</v>
      </c>
      <c r="C133" s="50" t="str">
        <f>Source!G57</f>
        <v>Окраска водно-дисперсионными акриловыми составами улучшенная по штукатурке стен</v>
      </c>
      <c r="D133" s="31" t="str">
        <f>Source!H57</f>
        <v>100 м2</v>
      </c>
      <c r="E133" s="13">
        <f>Source!I57</f>
        <v>5.0999999999999996</v>
      </c>
      <c r="F133" s="32">
        <f>Source!AL57+Source!AM57+Source!AO57</f>
        <v>1033.6799999999998</v>
      </c>
      <c r="G133" s="33"/>
      <c r="H133" s="34"/>
      <c r="I133" s="33" t="str">
        <f>Source!BO57</f>
        <v/>
      </c>
      <c r="J133" s="33"/>
      <c r="K133" s="34"/>
      <c r="L133" s="35"/>
      <c r="S133">
        <f>ROUND((Source!FX57/100)*((ROUND(Source!AF57*Source!I57, 2)+ROUND(Source!AE57*Source!I57, 2))), 2)</f>
        <v>2121.92</v>
      </c>
      <c r="T133">
        <f>Source!X57</f>
        <v>12969.56</v>
      </c>
      <c r="U133">
        <f>ROUND((Source!FY57/100)*((ROUND(Source!AF57*Source!I57, 2)+ROUND(Source!AE57*Source!I57, 2))), 2)</f>
        <v>1049.73</v>
      </c>
      <c r="V133">
        <f>Source!Y57</f>
        <v>6416.52</v>
      </c>
    </row>
    <row r="134" spans="1:26" x14ac:dyDescent="0.2">
      <c r="C134" s="26" t="str">
        <f>"Объем: "&amp;Source!I57&amp;"=510/"&amp;"100"</f>
        <v>Объем: 5,1=510/100</v>
      </c>
    </row>
    <row r="135" spans="1:26" ht="14.25" x14ac:dyDescent="0.2">
      <c r="A135" s="49"/>
      <c r="B135" s="50"/>
      <c r="C135" s="50" t="s">
        <v>149</v>
      </c>
      <c r="D135" s="31"/>
      <c r="E135" s="13"/>
      <c r="F135" s="32">
        <f>Source!AO57</f>
        <v>380.71</v>
      </c>
      <c r="G135" s="33" t="str">
        <f>Source!DG57</f>
        <v>)*1,15</v>
      </c>
      <c r="H135" s="34">
        <f>ROUND(Source!AF57*Source!I57, 2)</f>
        <v>2232.86</v>
      </c>
      <c r="I135" s="33"/>
      <c r="J135" s="33">
        <f>IF(Source!BA57&lt;&gt; 0, Source!BA57, 1)</f>
        <v>6.08</v>
      </c>
      <c r="K135" s="34">
        <f>Source!S57</f>
        <v>13575.81</v>
      </c>
      <c r="L135" s="35"/>
      <c r="R135">
        <f>H135</f>
        <v>2232.86</v>
      </c>
    </row>
    <row r="136" spans="1:26" ht="14.25" x14ac:dyDescent="0.2">
      <c r="A136" s="49"/>
      <c r="B136" s="50"/>
      <c r="C136" s="50" t="s">
        <v>451</v>
      </c>
      <c r="D136" s="31"/>
      <c r="E136" s="13"/>
      <c r="F136" s="32">
        <f>Source!AM57</f>
        <v>10.41</v>
      </c>
      <c r="G136" s="33" t="str">
        <f>Source!DE57</f>
        <v>)*1,25</v>
      </c>
      <c r="H136" s="34">
        <f>ROUND(Source!AD57*Source!I57, 2)</f>
        <v>66.36</v>
      </c>
      <c r="I136" s="33"/>
      <c r="J136" s="33">
        <f>IF(Source!BB57&lt;&gt; 0, Source!BB57, 1)</f>
        <v>6.08</v>
      </c>
      <c r="K136" s="34">
        <f>Source!Q57</f>
        <v>403.49</v>
      </c>
      <c r="L136" s="35"/>
    </row>
    <row r="137" spans="1:26" ht="14.25" x14ac:dyDescent="0.2">
      <c r="A137" s="49"/>
      <c r="B137" s="50"/>
      <c r="C137" s="50" t="s">
        <v>150</v>
      </c>
      <c r="D137" s="31"/>
      <c r="E137" s="13"/>
      <c r="F137" s="32">
        <f>Source!AN57</f>
        <v>1.97</v>
      </c>
      <c r="G137" s="33" t="str">
        <f>Source!DF57</f>
        <v>)*1,25</v>
      </c>
      <c r="H137" s="36">
        <f>ROUND(Source!AE57*Source!I57, 2)</f>
        <v>12.56</v>
      </c>
      <c r="I137" s="33"/>
      <c r="J137" s="33">
        <f>IF(Source!BS57&lt;&gt; 0, Source!BS57, 1)</f>
        <v>6.08</v>
      </c>
      <c r="K137" s="36">
        <f>Source!R57</f>
        <v>76.36</v>
      </c>
      <c r="L137" s="35"/>
      <c r="R137">
        <f>H137</f>
        <v>12.56</v>
      </c>
    </row>
    <row r="138" spans="1:26" ht="14.25" x14ac:dyDescent="0.2">
      <c r="A138" s="49"/>
      <c r="B138" s="50"/>
      <c r="C138" s="50" t="s">
        <v>151</v>
      </c>
      <c r="D138" s="31"/>
      <c r="E138" s="13"/>
      <c r="F138" s="32">
        <f>Source!AL57</f>
        <v>642.55999999999995</v>
      </c>
      <c r="G138" s="33" t="str">
        <f>Source!DD57</f>
        <v/>
      </c>
      <c r="H138" s="34">
        <f>ROUND(Source!AC57*Source!I57, 2)</f>
        <v>3277.06</v>
      </c>
      <c r="I138" s="33"/>
      <c r="J138" s="33">
        <f>IF(Source!BC57&lt;&gt; 0, Source!BC57, 1)</f>
        <v>6.08</v>
      </c>
      <c r="K138" s="34">
        <f>Source!P57</f>
        <v>19924.5</v>
      </c>
      <c r="L138" s="35"/>
    </row>
    <row r="139" spans="1:26" ht="14.25" x14ac:dyDescent="0.2">
      <c r="A139" s="49"/>
      <c r="B139" s="50"/>
      <c r="C139" s="50" t="s">
        <v>152</v>
      </c>
      <c r="D139" s="31" t="s">
        <v>153</v>
      </c>
      <c r="E139" s="13">
        <f>Source!BZ57</f>
        <v>105</v>
      </c>
      <c r="F139" s="70" t="str">
        <f>CONCATENATE(" )", Source!DL57, Source!FT57, "=", Source!FX57)</f>
        <v xml:space="preserve"> )*0,9=94,5</v>
      </c>
      <c r="G139" s="71"/>
      <c r="H139" s="34">
        <f>SUM(S133:S143)</f>
        <v>2121.92</v>
      </c>
      <c r="I139" s="37"/>
      <c r="J139" s="29">
        <f>Source!AT57</f>
        <v>95</v>
      </c>
      <c r="K139" s="34">
        <f>SUM(T133:T143)</f>
        <v>12969.56</v>
      </c>
      <c r="L139" s="35"/>
    </row>
    <row r="140" spans="1:26" ht="14.25" x14ac:dyDescent="0.2">
      <c r="A140" s="49"/>
      <c r="B140" s="50"/>
      <c r="C140" s="50" t="s">
        <v>154</v>
      </c>
      <c r="D140" s="31" t="s">
        <v>153</v>
      </c>
      <c r="E140" s="13">
        <f>Source!CA57</f>
        <v>55</v>
      </c>
      <c r="F140" s="70" t="str">
        <f>CONCATENATE(" )", Source!DM57, Source!FU57, "=", Source!FY57)</f>
        <v xml:space="preserve"> )*0,85=46,75</v>
      </c>
      <c r="G140" s="71"/>
      <c r="H140" s="34">
        <f>SUM(U133:U143)</f>
        <v>1049.73</v>
      </c>
      <c r="I140" s="37"/>
      <c r="J140" s="29">
        <f>Source!AU57</f>
        <v>47</v>
      </c>
      <c r="K140" s="34">
        <f>SUM(V133:V143)</f>
        <v>6416.52</v>
      </c>
      <c r="L140" s="35"/>
    </row>
    <row r="141" spans="1:26" ht="14.25" x14ac:dyDescent="0.2">
      <c r="A141" s="49"/>
      <c r="B141" s="50"/>
      <c r="C141" s="50" t="s">
        <v>155</v>
      </c>
      <c r="D141" s="31" t="s">
        <v>156</v>
      </c>
      <c r="E141" s="13">
        <f>Source!AQ57</f>
        <v>43.56</v>
      </c>
      <c r="F141" s="32"/>
      <c r="G141" s="33" t="str">
        <f>Source!DI57</f>
        <v>)*1,15</v>
      </c>
      <c r="H141" s="34"/>
      <c r="I141" s="33"/>
      <c r="J141" s="33"/>
      <c r="K141" s="34"/>
      <c r="L141" s="45">
        <f>Source!U57</f>
        <v>255.4794</v>
      </c>
    </row>
    <row r="142" spans="1:26" ht="28.5" x14ac:dyDescent="0.2">
      <c r="A142" s="49" t="str">
        <f>Source!E59</f>
        <v>13,1</v>
      </c>
      <c r="B142" s="50" t="str">
        <f>Source!F59</f>
        <v>14.4.01.02-0113</v>
      </c>
      <c r="C142" s="50" t="str">
        <f>Source!G59</f>
        <v>Грунтовка акриловая НОРТЕКС-ГРУНТ</v>
      </c>
      <c r="D142" s="31" t="str">
        <f>Source!H59</f>
        <v>кг</v>
      </c>
      <c r="E142" s="13">
        <f>Source!I59</f>
        <v>102</v>
      </c>
      <c r="F142" s="32">
        <f>Source!AL59+Source!AM59+Source!AO59</f>
        <v>15.25</v>
      </c>
      <c r="G142" s="48" t="s">
        <v>224</v>
      </c>
      <c r="H142" s="34">
        <f>ROUND(Source!AC59*Source!I59, 2)+ROUND(Source!AD59*Source!I59, 2)+ROUND(Source!AF59*Source!I59, 2)</f>
        <v>1555.5</v>
      </c>
      <c r="I142" s="33"/>
      <c r="J142" s="33">
        <f>IF(Source!BC59&lt;&gt; 0, Source!BC59, 1)</f>
        <v>6.08</v>
      </c>
      <c r="K142" s="34">
        <f>Source!O59</f>
        <v>9457.44</v>
      </c>
      <c r="L142" s="35"/>
      <c r="S142">
        <f>ROUND((Source!FX59/100)*((ROUND(Source!AF59*Source!I59, 2)+ROUND(Source!AE59*Source!I59, 2))), 2)</f>
        <v>0</v>
      </c>
      <c r="T142">
        <f>Source!X59</f>
        <v>0</v>
      </c>
      <c r="U142">
        <f>ROUND((Source!FY59/100)*((ROUND(Source!AF59*Source!I59, 2)+ROUND(Source!AE59*Source!I59, 2))), 2)</f>
        <v>0</v>
      </c>
      <c r="V142">
        <f>Source!Y59</f>
        <v>0</v>
      </c>
      <c r="W142">
        <f>IF(Source!BI59&lt;=1,H142, 0)</f>
        <v>1555.5</v>
      </c>
      <c r="X142">
        <f>IF(Source!BI59=2,H142, 0)</f>
        <v>0</v>
      </c>
      <c r="Y142">
        <f>IF(Source!BI59=3,H142, 0)</f>
        <v>0</v>
      </c>
      <c r="Z142">
        <f>IF(Source!BI59=4,H142, 0)</f>
        <v>0</v>
      </c>
    </row>
    <row r="143" spans="1:26" ht="28.5" x14ac:dyDescent="0.2">
      <c r="A143" s="51" t="str">
        <f>Source!E61</f>
        <v>13,2</v>
      </c>
      <c r="B143" s="52" t="str">
        <f>Source!F61</f>
        <v>14.3.02.01-0122</v>
      </c>
      <c r="C143" s="52" t="str">
        <f>Source!G61</f>
        <v>Краска акриловая ОКТАВА-ЛЮКС для стен и потолков</v>
      </c>
      <c r="D143" s="38" t="str">
        <f>Source!H61</f>
        <v>т</v>
      </c>
      <c r="E143" s="39">
        <f>Source!I61</f>
        <v>0.153</v>
      </c>
      <c r="F143" s="40">
        <f>Source!AL61+Source!AM61+Source!AO61</f>
        <v>6192.9</v>
      </c>
      <c r="G143" s="46" t="s">
        <v>224</v>
      </c>
      <c r="H143" s="42">
        <f>ROUND(Source!AC61*Source!I61, 2)+ROUND(Source!AD61*Source!I61, 2)+ROUND(Source!AF61*Source!I61, 2)</f>
        <v>947.51</v>
      </c>
      <c r="I143" s="41"/>
      <c r="J143" s="41">
        <f>IF(Source!BC61&lt;&gt; 0, Source!BC61, 1)</f>
        <v>6.08</v>
      </c>
      <c r="K143" s="42">
        <f>Source!O61</f>
        <v>5760.88</v>
      </c>
      <c r="L143" s="47"/>
      <c r="S143">
        <f>ROUND((Source!FX61/100)*((ROUND(Source!AF61*Source!I61, 2)+ROUND(Source!AE61*Source!I61, 2))), 2)</f>
        <v>0</v>
      </c>
      <c r="T143">
        <f>Source!X61</f>
        <v>0</v>
      </c>
      <c r="U143">
        <f>ROUND((Source!FY61/100)*((ROUND(Source!AF61*Source!I61, 2)+ROUND(Source!AE61*Source!I61, 2))), 2)</f>
        <v>0</v>
      </c>
      <c r="V143">
        <f>Source!Y61</f>
        <v>0</v>
      </c>
      <c r="W143">
        <f>IF(Source!BI61&lt;=1,H143, 0)</f>
        <v>947.51</v>
      </c>
      <c r="X143">
        <f>IF(Source!BI61=2,H143, 0)</f>
        <v>0</v>
      </c>
      <c r="Y143">
        <f>IF(Source!BI61=3,H143, 0)</f>
        <v>0</v>
      </c>
      <c r="Z143">
        <f>IF(Source!BI61=4,H143, 0)</f>
        <v>0</v>
      </c>
    </row>
    <row r="144" spans="1:26" ht="15" x14ac:dyDescent="0.25">
      <c r="G144" s="69">
        <f>H135+H136+H138+H139+H140+SUM(H142:H143)</f>
        <v>11250.94</v>
      </c>
      <c r="H144" s="69"/>
      <c r="J144" s="69">
        <f>K135+K136+K138+K139+K140+SUM(K142:K143)</f>
        <v>68508.200000000012</v>
      </c>
      <c r="K144" s="69"/>
      <c r="L144" s="44">
        <f>Source!U57</f>
        <v>255.4794</v>
      </c>
      <c r="O144" s="27">
        <f>G144</f>
        <v>11250.94</v>
      </c>
      <c r="P144" s="27">
        <f>J144</f>
        <v>68508.200000000012</v>
      </c>
      <c r="Q144" s="27">
        <f>L144</f>
        <v>255.4794</v>
      </c>
      <c r="W144">
        <f>IF(Source!BI57&lt;=1,H135+H136+H138+H139+H140, 0)</f>
        <v>8747.93</v>
      </c>
      <c r="X144">
        <f>IF(Source!BI57=2,H135+H136+H138+H139+H140, 0)</f>
        <v>0</v>
      </c>
      <c r="Y144">
        <f>IF(Source!BI57=3,H135+H136+H138+H139+H140, 0)</f>
        <v>0</v>
      </c>
      <c r="Z144">
        <f>IF(Source!BI57=4,H135+H136+H138+H139+H140, 0)</f>
        <v>0</v>
      </c>
    </row>
    <row r="145" spans="1:26" ht="28.5" x14ac:dyDescent="0.2">
      <c r="A145" s="49" t="str">
        <f>Source!E63</f>
        <v>14</v>
      </c>
      <c r="B145" s="50" t="str">
        <f>Source!F63</f>
        <v>11-01-022-01</v>
      </c>
      <c r="C145" s="50" t="str">
        <f>Source!G63</f>
        <v>Устройство пола наливного выравнивающего толщиной 20 мм</v>
      </c>
      <c r="D145" s="31" t="str">
        <f>Source!H63</f>
        <v>100 м2</v>
      </c>
      <c r="E145" s="13">
        <f>Source!I63</f>
        <v>0.20399999999999999</v>
      </c>
      <c r="F145" s="32">
        <f>Source!AL63+Source!AM63+Source!AO63</f>
        <v>7732.4699999999993</v>
      </c>
      <c r="G145" s="33"/>
      <c r="H145" s="34"/>
      <c r="I145" s="33" t="str">
        <f>Source!BO63</f>
        <v/>
      </c>
      <c r="J145" s="33"/>
      <c r="K145" s="34"/>
      <c r="L145" s="35"/>
      <c r="S145">
        <f>ROUND((Source!FX63/100)*((ROUND(Source!AF63*Source!I63, 2)+ROUND(Source!AE63*Source!I63, 2))), 2)</f>
        <v>263.73</v>
      </c>
      <c r="T145">
        <f>Source!X63</f>
        <v>1607.82</v>
      </c>
      <c r="U145">
        <f>ROUND((Source!FY63/100)*((ROUND(Source!AF63*Source!I63, 2)+ROUND(Source!AE63*Source!I63, 2))), 2)</f>
        <v>151.88</v>
      </c>
      <c r="V145">
        <f>Source!Y63</f>
        <v>927.03</v>
      </c>
    </row>
    <row r="146" spans="1:26" x14ac:dyDescent="0.2">
      <c r="C146" s="26" t="str">
        <f>"Объем: "&amp;Source!I63&amp;"=20,4/"&amp;"100"</f>
        <v>Объем: 0,204=20,4/100</v>
      </c>
    </row>
    <row r="147" spans="1:26" ht="14.25" x14ac:dyDescent="0.2">
      <c r="A147" s="49"/>
      <c r="B147" s="50"/>
      <c r="C147" s="50" t="s">
        <v>149</v>
      </c>
      <c r="D147" s="31"/>
      <c r="E147" s="13"/>
      <c r="F147" s="32">
        <f>Source!AO63</f>
        <v>1128.3599999999999</v>
      </c>
      <c r="G147" s="33" t="str">
        <f>Source!DG63</f>
        <v/>
      </c>
      <c r="H147" s="34">
        <f>ROUND(Source!AF63*Source!I63, 2)</f>
        <v>230.19</v>
      </c>
      <c r="I147" s="33"/>
      <c r="J147" s="33">
        <f>IF(Source!BA63&lt;&gt; 0, Source!BA63, 1)</f>
        <v>6.08</v>
      </c>
      <c r="K147" s="34">
        <f>Source!S63</f>
        <v>1399.53</v>
      </c>
      <c r="L147" s="35"/>
      <c r="R147">
        <f>H147</f>
        <v>230.19</v>
      </c>
    </row>
    <row r="148" spans="1:26" ht="14.25" x14ac:dyDescent="0.2">
      <c r="A148" s="49"/>
      <c r="B148" s="50"/>
      <c r="C148" s="50" t="s">
        <v>451</v>
      </c>
      <c r="D148" s="31"/>
      <c r="E148" s="13"/>
      <c r="F148" s="32">
        <f>Source!AM63</f>
        <v>236.9</v>
      </c>
      <c r="G148" s="33" t="str">
        <f>Source!DE63</f>
        <v/>
      </c>
      <c r="H148" s="34">
        <f>ROUND(Source!AD63*Source!I63, 2)</f>
        <v>48.33</v>
      </c>
      <c r="I148" s="33"/>
      <c r="J148" s="33">
        <f>IF(Source!BB63&lt;&gt; 0, Source!BB63, 1)</f>
        <v>6.08</v>
      </c>
      <c r="K148" s="34">
        <f>Source!Q63</f>
        <v>293.83</v>
      </c>
      <c r="L148" s="35"/>
    </row>
    <row r="149" spans="1:26" ht="14.25" x14ac:dyDescent="0.2">
      <c r="A149" s="49"/>
      <c r="B149" s="50"/>
      <c r="C149" s="50" t="s">
        <v>150</v>
      </c>
      <c r="D149" s="31"/>
      <c r="E149" s="13"/>
      <c r="F149" s="32">
        <f>Source!AN63</f>
        <v>39.47</v>
      </c>
      <c r="G149" s="33" t="str">
        <f>Source!DF63</f>
        <v/>
      </c>
      <c r="H149" s="36">
        <f>ROUND(Source!AE63*Source!I63, 2)</f>
        <v>8.0500000000000007</v>
      </c>
      <c r="I149" s="33"/>
      <c r="J149" s="33">
        <f>IF(Source!BS63&lt;&gt; 0, Source!BS63, 1)</f>
        <v>6.08</v>
      </c>
      <c r="K149" s="36">
        <f>Source!R63</f>
        <v>48.96</v>
      </c>
      <c r="L149" s="35"/>
      <c r="R149">
        <f>H149</f>
        <v>8.0500000000000007</v>
      </c>
    </row>
    <row r="150" spans="1:26" ht="14.25" x14ac:dyDescent="0.2">
      <c r="A150" s="49"/>
      <c r="B150" s="50"/>
      <c r="C150" s="50" t="s">
        <v>151</v>
      </c>
      <c r="D150" s="31"/>
      <c r="E150" s="13"/>
      <c r="F150" s="32">
        <f>Source!AL63</f>
        <v>6367.21</v>
      </c>
      <c r="G150" s="33" t="str">
        <f>Source!DD63</f>
        <v/>
      </c>
      <c r="H150" s="34">
        <f>ROUND(Source!AC63*Source!I63, 2)</f>
        <v>1298.9100000000001</v>
      </c>
      <c r="I150" s="33"/>
      <c r="J150" s="33">
        <f>IF(Source!BC63&lt;&gt; 0, Source!BC63, 1)</f>
        <v>6.08</v>
      </c>
      <c r="K150" s="34">
        <f>Source!P63</f>
        <v>7897.38</v>
      </c>
      <c r="L150" s="35"/>
    </row>
    <row r="151" spans="1:26" ht="14.25" x14ac:dyDescent="0.2">
      <c r="A151" s="49"/>
      <c r="B151" s="50"/>
      <c r="C151" s="50" t="s">
        <v>152</v>
      </c>
      <c r="D151" s="31" t="s">
        <v>153</v>
      </c>
      <c r="E151" s="13">
        <f>Source!BZ63</f>
        <v>123</v>
      </c>
      <c r="F151" s="70" t="str">
        <f>CONCATENATE(" )", Source!DL63, Source!FT63, "=", Source!FX63)</f>
        <v xml:space="preserve"> )*0,9=110,7</v>
      </c>
      <c r="G151" s="71"/>
      <c r="H151" s="34">
        <f>SUM(S145:S153)</f>
        <v>263.73</v>
      </c>
      <c r="I151" s="37"/>
      <c r="J151" s="29">
        <f>Source!AT63</f>
        <v>111</v>
      </c>
      <c r="K151" s="34">
        <f>SUM(T145:T153)</f>
        <v>1607.82</v>
      </c>
      <c r="L151" s="35"/>
    </row>
    <row r="152" spans="1:26" ht="14.25" x14ac:dyDescent="0.2">
      <c r="A152" s="49"/>
      <c r="B152" s="50"/>
      <c r="C152" s="50" t="s">
        <v>154</v>
      </c>
      <c r="D152" s="31" t="s">
        <v>153</v>
      </c>
      <c r="E152" s="13">
        <f>Source!CA63</f>
        <v>75</v>
      </c>
      <c r="F152" s="70" t="str">
        <f>CONCATENATE(" )", Source!DM63, Source!FU63, "=", Source!FY63)</f>
        <v xml:space="preserve"> )*0,85=63,75</v>
      </c>
      <c r="G152" s="71"/>
      <c r="H152" s="34">
        <f>SUM(U145:U153)</f>
        <v>151.88</v>
      </c>
      <c r="I152" s="37"/>
      <c r="J152" s="29">
        <f>Source!AU63</f>
        <v>64</v>
      </c>
      <c r="K152" s="34">
        <f>SUM(V145:V153)</f>
        <v>927.03</v>
      </c>
      <c r="L152" s="35"/>
    </row>
    <row r="153" spans="1:26" ht="14.25" x14ac:dyDescent="0.2">
      <c r="A153" s="51"/>
      <c r="B153" s="52"/>
      <c r="C153" s="52" t="s">
        <v>155</v>
      </c>
      <c r="D153" s="38" t="s">
        <v>156</v>
      </c>
      <c r="E153" s="39">
        <f>Source!AQ63</f>
        <v>118.65</v>
      </c>
      <c r="F153" s="40"/>
      <c r="G153" s="41" t="str">
        <f>Source!DI63</f>
        <v/>
      </c>
      <c r="H153" s="42"/>
      <c r="I153" s="41"/>
      <c r="J153" s="41"/>
      <c r="K153" s="42"/>
      <c r="L153" s="43">
        <f>Source!U63</f>
        <v>24.204599999999999</v>
      </c>
    </row>
    <row r="154" spans="1:26" ht="15" x14ac:dyDescent="0.25">
      <c r="G154" s="69">
        <f>H147+H148+H150+H151+H152</f>
        <v>1993.04</v>
      </c>
      <c r="H154" s="69"/>
      <c r="J154" s="69">
        <f>K147+K148+K150+K151+K152</f>
        <v>12125.59</v>
      </c>
      <c r="K154" s="69"/>
      <c r="L154" s="44">
        <f>Source!U63</f>
        <v>24.204599999999999</v>
      </c>
      <c r="O154" s="27">
        <f>G154</f>
        <v>1993.04</v>
      </c>
      <c r="P154" s="27">
        <f>J154</f>
        <v>12125.59</v>
      </c>
      <c r="Q154" s="27">
        <f>L154</f>
        <v>24.204599999999999</v>
      </c>
      <c r="W154">
        <f>IF(Source!BI63&lt;=1,H147+H148+H150+H151+H152, 0)</f>
        <v>1993.04</v>
      </c>
      <c r="X154">
        <f>IF(Source!BI63=2,H147+H148+H150+H151+H152, 0)</f>
        <v>0</v>
      </c>
      <c r="Y154">
        <f>IF(Source!BI63=3,H147+H148+H150+H151+H152, 0)</f>
        <v>0</v>
      </c>
      <c r="Z154">
        <f>IF(Source!BI63=4,H147+H148+H150+H151+H152, 0)</f>
        <v>0</v>
      </c>
    </row>
    <row r="155" spans="1:26" ht="42.75" x14ac:dyDescent="0.2">
      <c r="A155" s="49" t="str">
        <f>Source!E65</f>
        <v>15</v>
      </c>
      <c r="B155" s="50" t="str">
        <f>Source!F65</f>
        <v>11-01-036-04</v>
      </c>
      <c r="C155" s="50" t="str">
        <f>Source!G65</f>
        <v>Устройство покрытий из линолеума насухо со свариванием полотнищ в стыках</v>
      </c>
      <c r="D155" s="31" t="str">
        <f>Source!H65</f>
        <v>100 м2</v>
      </c>
      <c r="E155" s="13">
        <f>Source!I65</f>
        <v>0.20399999999999999</v>
      </c>
      <c r="F155" s="32">
        <f>Source!AL65+Source!AM65+Source!AO65</f>
        <v>321.20999999999998</v>
      </c>
      <c r="G155" s="33"/>
      <c r="H155" s="34"/>
      <c r="I155" s="33" t="str">
        <f>Source!BO65</f>
        <v/>
      </c>
      <c r="J155" s="33"/>
      <c r="K155" s="34"/>
      <c r="L155" s="35"/>
      <c r="S155">
        <f>ROUND((Source!FX65/100)*((ROUND(Source!AF65*Source!I65, 2)+ROUND(Source!AE65*Source!I65, 2))), 2)</f>
        <v>70.66</v>
      </c>
      <c r="T155">
        <f>Source!X65</f>
        <v>430.75</v>
      </c>
      <c r="U155">
        <f>ROUND((Source!FY65/100)*((ROUND(Source!AF65*Source!I65, 2)+ROUND(Source!AE65*Source!I65, 2))), 2)</f>
        <v>40.69</v>
      </c>
      <c r="V155">
        <f>Source!Y65</f>
        <v>248.36</v>
      </c>
    </row>
    <row r="156" spans="1:26" x14ac:dyDescent="0.2">
      <c r="C156" s="26" t="str">
        <f>"Объем: "&amp;Source!I65&amp;"=20,4/"&amp;"100"</f>
        <v>Объем: 0,204=20,4/100</v>
      </c>
    </row>
    <row r="157" spans="1:26" ht="14.25" x14ac:dyDescent="0.2">
      <c r="A157" s="49"/>
      <c r="B157" s="50"/>
      <c r="C157" s="50" t="s">
        <v>149</v>
      </c>
      <c r="D157" s="31"/>
      <c r="E157" s="13"/>
      <c r="F157" s="32">
        <f>Source!AO65</f>
        <v>261.02</v>
      </c>
      <c r="G157" s="33" t="str">
        <f>Source!DG65</f>
        <v>)*1,15</v>
      </c>
      <c r="H157" s="34">
        <f>ROUND(Source!AF65*Source!I65, 2)</f>
        <v>61.24</v>
      </c>
      <c r="I157" s="33"/>
      <c r="J157" s="33">
        <f>IF(Source!BA65&lt;&gt; 0, Source!BA65, 1)</f>
        <v>6.08</v>
      </c>
      <c r="K157" s="34">
        <f>Source!S65</f>
        <v>372.31</v>
      </c>
      <c r="L157" s="35"/>
      <c r="R157">
        <f>H157</f>
        <v>61.24</v>
      </c>
    </row>
    <row r="158" spans="1:26" ht="14.25" x14ac:dyDescent="0.2">
      <c r="A158" s="49"/>
      <c r="B158" s="50"/>
      <c r="C158" s="50" t="s">
        <v>451</v>
      </c>
      <c r="D158" s="31"/>
      <c r="E158" s="13"/>
      <c r="F158" s="32">
        <f>Source!AM65</f>
        <v>60.19</v>
      </c>
      <c r="G158" s="33" t="str">
        <f>Source!DE65</f>
        <v>)*1,25</v>
      </c>
      <c r="H158" s="34">
        <f>ROUND(Source!AD65*Source!I65, 2)</f>
        <v>15.35</v>
      </c>
      <c r="I158" s="33"/>
      <c r="J158" s="33">
        <f>IF(Source!BB65&lt;&gt; 0, Source!BB65, 1)</f>
        <v>6.08</v>
      </c>
      <c r="K158" s="34">
        <f>Source!Q65</f>
        <v>93.32</v>
      </c>
      <c r="L158" s="35"/>
    </row>
    <row r="159" spans="1:26" ht="14.25" x14ac:dyDescent="0.2">
      <c r="A159" s="49"/>
      <c r="B159" s="50"/>
      <c r="C159" s="50" t="s">
        <v>150</v>
      </c>
      <c r="D159" s="31"/>
      <c r="E159" s="13"/>
      <c r="F159" s="32">
        <f>Source!AN65</f>
        <v>10.16</v>
      </c>
      <c r="G159" s="33" t="str">
        <f>Source!DF65</f>
        <v>)*1,25</v>
      </c>
      <c r="H159" s="36">
        <f>ROUND(Source!AE65*Source!I65, 2)</f>
        <v>2.59</v>
      </c>
      <c r="I159" s="33"/>
      <c r="J159" s="33">
        <f>IF(Source!BS65&lt;&gt; 0, Source!BS65, 1)</f>
        <v>6.08</v>
      </c>
      <c r="K159" s="36">
        <f>Source!R65</f>
        <v>15.75</v>
      </c>
      <c r="L159" s="35"/>
      <c r="R159">
        <f>H159</f>
        <v>2.59</v>
      </c>
    </row>
    <row r="160" spans="1:26" ht="14.25" x14ac:dyDescent="0.2">
      <c r="A160" s="49"/>
      <c r="B160" s="50"/>
      <c r="C160" s="50" t="s">
        <v>152</v>
      </c>
      <c r="D160" s="31" t="s">
        <v>153</v>
      </c>
      <c r="E160" s="13">
        <f>Source!BZ65</f>
        <v>123</v>
      </c>
      <c r="F160" s="70" t="str">
        <f>CONCATENATE(" )", Source!DL65, Source!FT65, "=", Source!FX65)</f>
        <v xml:space="preserve"> )*0,9=110,7</v>
      </c>
      <c r="G160" s="71"/>
      <c r="H160" s="34">
        <f>SUM(S155:S164)</f>
        <v>70.66</v>
      </c>
      <c r="I160" s="37"/>
      <c r="J160" s="29">
        <f>Source!AT65</f>
        <v>111</v>
      </c>
      <c r="K160" s="34">
        <f>SUM(T155:T164)</f>
        <v>430.75</v>
      </c>
      <c r="L160" s="35"/>
    </row>
    <row r="161" spans="1:26" ht="14.25" x14ac:dyDescent="0.2">
      <c r="A161" s="49"/>
      <c r="B161" s="50"/>
      <c r="C161" s="50" t="s">
        <v>154</v>
      </c>
      <c r="D161" s="31" t="s">
        <v>153</v>
      </c>
      <c r="E161" s="13">
        <f>Source!CA65</f>
        <v>75</v>
      </c>
      <c r="F161" s="70" t="str">
        <f>CONCATENATE(" )", Source!DM65, Source!FU65, "=", Source!FY65)</f>
        <v xml:space="preserve"> )*0,85=63,75</v>
      </c>
      <c r="G161" s="71"/>
      <c r="H161" s="34">
        <f>SUM(U155:U164)</f>
        <v>40.69</v>
      </c>
      <c r="I161" s="37"/>
      <c r="J161" s="29">
        <f>Source!AU65</f>
        <v>64</v>
      </c>
      <c r="K161" s="34">
        <f>SUM(V155:V164)</f>
        <v>248.36</v>
      </c>
      <c r="L161" s="35"/>
    </row>
    <row r="162" spans="1:26" ht="14.25" x14ac:dyDescent="0.2">
      <c r="A162" s="49"/>
      <c r="B162" s="50"/>
      <c r="C162" s="50" t="s">
        <v>155</v>
      </c>
      <c r="D162" s="31" t="s">
        <v>156</v>
      </c>
      <c r="E162" s="13">
        <f>Source!AQ65</f>
        <v>31.41</v>
      </c>
      <c r="F162" s="32"/>
      <c r="G162" s="33" t="str">
        <f>Source!DI65</f>
        <v>)*1,15</v>
      </c>
      <c r="H162" s="34"/>
      <c r="I162" s="33"/>
      <c r="J162" s="33"/>
      <c r="K162" s="34"/>
      <c r="L162" s="45">
        <f>Source!U65</f>
        <v>7.3687859999999992</v>
      </c>
    </row>
    <row r="163" spans="1:26" ht="28.5" x14ac:dyDescent="0.2">
      <c r="A163" s="49" t="str">
        <f>Source!E67</f>
        <v>15,1</v>
      </c>
      <c r="B163" s="50" t="str">
        <f>Source!F67</f>
        <v>01.6.03.04-0028</v>
      </c>
      <c r="C163" s="50" t="str">
        <f>Source!G67</f>
        <v>Линолеум UPOFLOOR, ПВХ, толщиной 2,0 мм</v>
      </c>
      <c r="D163" s="31" t="str">
        <f>Source!H67</f>
        <v>м2</v>
      </c>
      <c r="E163" s="13">
        <f>Source!I67</f>
        <v>20.808</v>
      </c>
      <c r="F163" s="32">
        <f>Source!AL67+Source!AM67+Source!AO67</f>
        <v>141.85</v>
      </c>
      <c r="G163" s="48" t="s">
        <v>224</v>
      </c>
      <c r="H163" s="34">
        <f>ROUND(Source!AC67*Source!I67, 2)+ROUND(Source!AD67*Source!I67, 2)+ROUND(Source!AF67*Source!I67, 2)</f>
        <v>2951.61</v>
      </c>
      <c r="I163" s="33"/>
      <c r="J163" s="33">
        <f>IF(Source!BC67&lt;&gt; 0, Source!BC67, 1)</f>
        <v>6.08</v>
      </c>
      <c r="K163" s="34">
        <f>Source!O67</f>
        <v>17945.82</v>
      </c>
      <c r="L163" s="35"/>
      <c r="S163">
        <f>ROUND((Source!FX67/100)*((ROUND(Source!AF67*Source!I67, 2)+ROUND(Source!AE67*Source!I67, 2))), 2)</f>
        <v>0</v>
      </c>
      <c r="T163">
        <f>Source!X67</f>
        <v>0</v>
      </c>
      <c r="U163">
        <f>ROUND((Source!FY67/100)*((ROUND(Source!AF67*Source!I67, 2)+ROUND(Source!AE67*Source!I67, 2))), 2)</f>
        <v>0</v>
      </c>
      <c r="V163">
        <f>Source!Y67</f>
        <v>0</v>
      </c>
      <c r="W163">
        <f>IF(Source!BI67&lt;=1,H163, 0)</f>
        <v>2951.61</v>
      </c>
      <c r="X163">
        <f>IF(Source!BI67=2,H163, 0)</f>
        <v>0</v>
      </c>
      <c r="Y163">
        <f>IF(Source!BI67=3,H163, 0)</f>
        <v>0</v>
      </c>
      <c r="Z163">
        <f>IF(Source!BI67=4,H163, 0)</f>
        <v>0</v>
      </c>
    </row>
    <row r="164" spans="1:26" ht="28.5" x14ac:dyDescent="0.2">
      <c r="A164" s="51" t="str">
        <f>Source!E69</f>
        <v>15,2</v>
      </c>
      <c r="B164" s="52" t="str">
        <f>Source!F69</f>
        <v>01.7.06.14-0034</v>
      </c>
      <c r="C164" s="52" t="str">
        <f>Source!G69</f>
        <v>Лента полимерная (фторопластовая) для сварки линолеума</v>
      </c>
      <c r="D164" s="38" t="str">
        <f>Source!H69</f>
        <v>100 м</v>
      </c>
      <c r="E164" s="39">
        <f>Source!I69</f>
        <v>0.13872000000000001</v>
      </c>
      <c r="F164" s="40">
        <f>Source!AL69+Source!AM69+Source!AO69</f>
        <v>99.4</v>
      </c>
      <c r="G164" s="46" t="s">
        <v>224</v>
      </c>
      <c r="H164" s="42">
        <f>ROUND(Source!AC69*Source!I69, 2)+ROUND(Source!AD69*Source!I69, 2)+ROUND(Source!AF69*Source!I69, 2)</f>
        <v>13.79</v>
      </c>
      <c r="I164" s="41"/>
      <c r="J164" s="41">
        <f>IF(Source!BC69&lt;&gt; 0, Source!BC69, 1)</f>
        <v>6.08</v>
      </c>
      <c r="K164" s="42">
        <f>Source!O69</f>
        <v>83.84</v>
      </c>
      <c r="L164" s="47"/>
      <c r="S164">
        <f>ROUND((Source!FX69/100)*((ROUND(Source!AF69*Source!I69, 2)+ROUND(Source!AE69*Source!I69, 2))), 2)</f>
        <v>0</v>
      </c>
      <c r="T164">
        <f>Source!X69</f>
        <v>0</v>
      </c>
      <c r="U164">
        <f>ROUND((Source!FY69/100)*((ROUND(Source!AF69*Source!I69, 2)+ROUND(Source!AE69*Source!I69, 2))), 2)</f>
        <v>0</v>
      </c>
      <c r="V164">
        <f>Source!Y69</f>
        <v>0</v>
      </c>
      <c r="W164">
        <f>IF(Source!BI69&lt;=1,H164, 0)</f>
        <v>13.79</v>
      </c>
      <c r="X164">
        <f>IF(Source!BI69=2,H164, 0)</f>
        <v>0</v>
      </c>
      <c r="Y164">
        <f>IF(Source!BI69=3,H164, 0)</f>
        <v>0</v>
      </c>
      <c r="Z164">
        <f>IF(Source!BI69=4,H164, 0)</f>
        <v>0</v>
      </c>
    </row>
    <row r="165" spans="1:26" ht="15" x14ac:dyDescent="0.25">
      <c r="G165" s="69">
        <f>H157+H158+H160+H161+SUM(H163:H164)</f>
        <v>3153.34</v>
      </c>
      <c r="H165" s="69"/>
      <c r="J165" s="69">
        <f>K157+K158+K160+K161+SUM(K163:K164)</f>
        <v>19174.400000000001</v>
      </c>
      <c r="K165" s="69"/>
      <c r="L165" s="44">
        <f>Source!U65</f>
        <v>7.3687859999999992</v>
      </c>
      <c r="O165" s="27">
        <f>G165</f>
        <v>3153.34</v>
      </c>
      <c r="P165" s="27">
        <f>J165</f>
        <v>19174.400000000001</v>
      </c>
      <c r="Q165" s="27">
        <f>L165</f>
        <v>7.3687859999999992</v>
      </c>
      <c r="W165">
        <f>IF(Source!BI65&lt;=1,H157+H158+H160+H161, 0)</f>
        <v>187.94</v>
      </c>
      <c r="X165">
        <f>IF(Source!BI65=2,H157+H158+H160+H161, 0)</f>
        <v>0</v>
      </c>
      <c r="Y165">
        <f>IF(Source!BI65=3,H157+H158+H160+H161, 0)</f>
        <v>0</v>
      </c>
      <c r="Z165">
        <f>IF(Source!BI65=4,H157+H158+H160+H161, 0)</f>
        <v>0</v>
      </c>
    </row>
    <row r="166" spans="1:26" ht="42.75" x14ac:dyDescent="0.2">
      <c r="A166" s="49" t="str">
        <f>Source!E71</f>
        <v>16</v>
      </c>
      <c r="B166" s="50" t="str">
        <f>Source!F71</f>
        <v>11-01-040-03</v>
      </c>
      <c r="C166" s="50" t="str">
        <f>Source!G71</f>
        <v>Устройство плинтусов поливинилхлоридных на винтах самонарезающих</v>
      </c>
      <c r="D166" s="31" t="str">
        <f>Source!H71</f>
        <v>100 м</v>
      </c>
      <c r="E166" s="13">
        <f>Source!I71</f>
        <v>0.2</v>
      </c>
      <c r="F166" s="32">
        <f>Source!AL71+Source!AM71+Source!AO71</f>
        <v>137.09</v>
      </c>
      <c r="G166" s="33"/>
      <c r="H166" s="34"/>
      <c r="I166" s="33" t="str">
        <f>Source!BO71</f>
        <v/>
      </c>
      <c r="J166" s="33"/>
      <c r="K166" s="34"/>
      <c r="L166" s="35"/>
      <c r="S166">
        <f>ROUND((Source!FX71/100)*((ROUND(Source!AF71*Source!I71, 2)+ROUND(Source!AE71*Source!I71, 2))), 2)</f>
        <v>15.73</v>
      </c>
      <c r="T166">
        <f>Source!X71</f>
        <v>95.89</v>
      </c>
      <c r="U166">
        <f>ROUND((Source!FY71/100)*((ROUND(Source!AF71*Source!I71, 2)+ROUND(Source!AE71*Source!I71, 2))), 2)</f>
        <v>9.06</v>
      </c>
      <c r="V166">
        <f>Source!Y71</f>
        <v>55.29</v>
      </c>
    </row>
    <row r="167" spans="1:26" x14ac:dyDescent="0.2">
      <c r="C167" s="26" t="str">
        <f>"Объем: "&amp;Source!I71&amp;"=20/"&amp;"100"</f>
        <v>Объем: 0,2=20/100</v>
      </c>
    </row>
    <row r="168" spans="1:26" ht="14.25" x14ac:dyDescent="0.2">
      <c r="A168" s="49"/>
      <c r="B168" s="50"/>
      <c r="C168" s="50" t="s">
        <v>149</v>
      </c>
      <c r="D168" s="31"/>
      <c r="E168" s="13"/>
      <c r="F168" s="32">
        <f>Source!AO71</f>
        <v>61.32</v>
      </c>
      <c r="G168" s="33" t="str">
        <f>Source!DG71</f>
        <v>)*1,15</v>
      </c>
      <c r="H168" s="34">
        <f>ROUND(Source!AF71*Source!I71, 2)</f>
        <v>14.1</v>
      </c>
      <c r="I168" s="33"/>
      <c r="J168" s="33">
        <f>IF(Source!BA71&lt;&gt; 0, Source!BA71, 1)</f>
        <v>6.08</v>
      </c>
      <c r="K168" s="34">
        <f>Source!S71</f>
        <v>85.75</v>
      </c>
      <c r="L168" s="35"/>
      <c r="R168">
        <f>H168</f>
        <v>14.1</v>
      </c>
    </row>
    <row r="169" spans="1:26" ht="14.25" x14ac:dyDescent="0.2">
      <c r="A169" s="49"/>
      <c r="B169" s="50"/>
      <c r="C169" s="50" t="s">
        <v>451</v>
      </c>
      <c r="D169" s="31"/>
      <c r="E169" s="13"/>
      <c r="F169" s="32">
        <f>Source!AM71</f>
        <v>2.13</v>
      </c>
      <c r="G169" s="33" t="str">
        <f>Source!DE71</f>
        <v>)*1,25</v>
      </c>
      <c r="H169" s="34">
        <f>ROUND(Source!AD71*Source!I71, 2)</f>
        <v>0.53</v>
      </c>
      <c r="I169" s="33"/>
      <c r="J169" s="33">
        <f>IF(Source!BB71&lt;&gt; 0, Source!BB71, 1)</f>
        <v>6.08</v>
      </c>
      <c r="K169" s="34">
        <f>Source!Q71</f>
        <v>3.24</v>
      </c>
      <c r="L169" s="35"/>
    </row>
    <row r="170" spans="1:26" ht="14.25" x14ac:dyDescent="0.2">
      <c r="A170" s="49"/>
      <c r="B170" s="50"/>
      <c r="C170" s="50" t="s">
        <v>150</v>
      </c>
      <c r="D170" s="31"/>
      <c r="E170" s="13"/>
      <c r="F170" s="32">
        <f>Source!AN71</f>
        <v>0.42</v>
      </c>
      <c r="G170" s="33" t="str">
        <f>Source!DF71</f>
        <v>)*1,25</v>
      </c>
      <c r="H170" s="36">
        <f>ROUND(Source!AE71*Source!I71, 2)</f>
        <v>0.11</v>
      </c>
      <c r="I170" s="33"/>
      <c r="J170" s="33">
        <f>IF(Source!BS71&lt;&gt; 0, Source!BS71, 1)</f>
        <v>6.08</v>
      </c>
      <c r="K170" s="36">
        <f>Source!R71</f>
        <v>0.64</v>
      </c>
      <c r="L170" s="35"/>
      <c r="R170">
        <f>H170</f>
        <v>0.11</v>
      </c>
    </row>
    <row r="171" spans="1:26" ht="14.25" x14ac:dyDescent="0.2">
      <c r="A171" s="49"/>
      <c r="B171" s="50"/>
      <c r="C171" s="50" t="s">
        <v>151</v>
      </c>
      <c r="D171" s="31"/>
      <c r="E171" s="13"/>
      <c r="F171" s="32">
        <f>Source!AL71</f>
        <v>73.64</v>
      </c>
      <c r="G171" s="33" t="str">
        <f>Source!DD71</f>
        <v/>
      </c>
      <c r="H171" s="34">
        <f>ROUND(Source!AC71*Source!I71, 2)</f>
        <v>14.73</v>
      </c>
      <c r="I171" s="33"/>
      <c r="J171" s="33">
        <f>IF(Source!BC71&lt;&gt; 0, Source!BC71, 1)</f>
        <v>6.08</v>
      </c>
      <c r="K171" s="34">
        <f>Source!P71</f>
        <v>89.55</v>
      </c>
      <c r="L171" s="35"/>
    </row>
    <row r="172" spans="1:26" ht="14.25" x14ac:dyDescent="0.2">
      <c r="A172" s="49"/>
      <c r="B172" s="50"/>
      <c r="C172" s="50" t="s">
        <v>152</v>
      </c>
      <c r="D172" s="31" t="s">
        <v>153</v>
      </c>
      <c r="E172" s="13">
        <f>Source!BZ71</f>
        <v>123</v>
      </c>
      <c r="F172" s="70" t="str">
        <f>CONCATENATE(" )", Source!DL71, Source!FT71, "=", Source!FX71)</f>
        <v xml:space="preserve"> )*0,9=110,7</v>
      </c>
      <c r="G172" s="71"/>
      <c r="H172" s="34">
        <f>SUM(S166:S180)</f>
        <v>15.73</v>
      </c>
      <c r="I172" s="37"/>
      <c r="J172" s="29">
        <f>Source!AT71</f>
        <v>111</v>
      </c>
      <c r="K172" s="34">
        <f>SUM(T166:T180)</f>
        <v>95.89</v>
      </c>
      <c r="L172" s="35"/>
    </row>
    <row r="173" spans="1:26" ht="14.25" x14ac:dyDescent="0.2">
      <c r="A173" s="49"/>
      <c r="B173" s="50"/>
      <c r="C173" s="50" t="s">
        <v>154</v>
      </c>
      <c r="D173" s="31" t="s">
        <v>153</v>
      </c>
      <c r="E173" s="13">
        <f>Source!CA71</f>
        <v>75</v>
      </c>
      <c r="F173" s="70" t="str">
        <f>CONCATENATE(" )", Source!DM71, Source!FU71, "=", Source!FY71)</f>
        <v xml:space="preserve"> )*0,85=63,75</v>
      </c>
      <c r="G173" s="71"/>
      <c r="H173" s="34">
        <f>SUM(U166:U180)</f>
        <v>9.06</v>
      </c>
      <c r="I173" s="37"/>
      <c r="J173" s="29">
        <f>Source!AU71</f>
        <v>64</v>
      </c>
      <c r="K173" s="34">
        <f>SUM(V166:V180)</f>
        <v>55.29</v>
      </c>
      <c r="L173" s="35"/>
    </row>
    <row r="174" spans="1:26" ht="14.25" x14ac:dyDescent="0.2">
      <c r="A174" s="49"/>
      <c r="B174" s="50"/>
      <c r="C174" s="50" t="s">
        <v>155</v>
      </c>
      <c r="D174" s="31" t="s">
        <v>156</v>
      </c>
      <c r="E174" s="13">
        <f>Source!AQ71</f>
        <v>6.68</v>
      </c>
      <c r="F174" s="32"/>
      <c r="G174" s="33" t="str">
        <f>Source!DI71</f>
        <v>)*1,15</v>
      </c>
      <c r="H174" s="34"/>
      <c r="I174" s="33"/>
      <c r="J174" s="33"/>
      <c r="K174" s="34"/>
      <c r="L174" s="45">
        <f>Source!U71</f>
        <v>1.5364</v>
      </c>
    </row>
    <row r="175" spans="1:26" ht="28.5" x14ac:dyDescent="0.2">
      <c r="A175" s="49" t="str">
        <f>Source!E73</f>
        <v>16,1</v>
      </c>
      <c r="B175" s="50" t="str">
        <f>Source!F73</f>
        <v>11.3.03.06-0002</v>
      </c>
      <c r="C175" s="50" t="str">
        <f>Source!G73</f>
        <v>Плинтуса для полов с кабель-каналом пластиковые, 22х49 мм</v>
      </c>
      <c r="D175" s="31" t="str">
        <f>Source!H73</f>
        <v>м</v>
      </c>
      <c r="E175" s="13">
        <f>Source!I73</f>
        <v>20.2</v>
      </c>
      <c r="F175" s="32">
        <f>Source!AL73+Source!AM73+Source!AO73</f>
        <v>20.5</v>
      </c>
      <c r="G175" s="48" t="s">
        <v>224</v>
      </c>
      <c r="H175" s="34">
        <f>ROUND(Source!AC73*Source!I73, 2)+ROUND(Source!AD73*Source!I73, 2)+ROUND(Source!AF73*Source!I73, 2)</f>
        <v>414.1</v>
      </c>
      <c r="I175" s="33"/>
      <c r="J175" s="33">
        <f>IF(Source!BC73&lt;&gt; 0, Source!BC73, 1)</f>
        <v>6.08</v>
      </c>
      <c r="K175" s="34">
        <f>Source!O73</f>
        <v>2517.73</v>
      </c>
      <c r="L175" s="35"/>
      <c r="S175">
        <f>ROUND((Source!FX73/100)*((ROUND(Source!AF73*Source!I73, 2)+ROUND(Source!AE73*Source!I73, 2))), 2)</f>
        <v>0</v>
      </c>
      <c r="T175">
        <f>Source!X73</f>
        <v>0</v>
      </c>
      <c r="U175">
        <f>ROUND((Source!FY73/100)*((ROUND(Source!AF73*Source!I73, 2)+ROUND(Source!AE73*Source!I73, 2))), 2)</f>
        <v>0</v>
      </c>
      <c r="V175">
        <f>Source!Y73</f>
        <v>0</v>
      </c>
      <c r="W175">
        <f>IF(Source!BI73&lt;=1,H175, 0)</f>
        <v>414.1</v>
      </c>
      <c r="X175">
        <f>IF(Source!BI73=2,H175, 0)</f>
        <v>0</v>
      </c>
      <c r="Y175">
        <f>IF(Source!BI73=3,H175, 0)</f>
        <v>0</v>
      </c>
      <c r="Z175">
        <f>IF(Source!BI73=4,H175, 0)</f>
        <v>0</v>
      </c>
    </row>
    <row r="176" spans="1:26" ht="28.5" x14ac:dyDescent="0.2">
      <c r="A176" s="49" t="str">
        <f>Source!E75</f>
        <v>16,2</v>
      </c>
      <c r="B176" s="50" t="str">
        <f>Source!F75</f>
        <v>11.3.03.14-0002</v>
      </c>
      <c r="C176" s="50" t="str">
        <f>Source!G75</f>
        <v>Заглушка торцевая для пластикового плинтуса левая, высота 49 мм</v>
      </c>
      <c r="D176" s="31" t="str">
        <f>Source!H75</f>
        <v>100 шт.</v>
      </c>
      <c r="E176" s="13">
        <f>Source!I75</f>
        <v>0.02</v>
      </c>
      <c r="F176" s="32">
        <f>Source!AL75+Source!AM75+Source!AO75</f>
        <v>101</v>
      </c>
      <c r="G176" s="48" t="s">
        <v>224</v>
      </c>
      <c r="H176" s="34">
        <f>ROUND(Source!AC75*Source!I75, 2)+ROUND(Source!AD75*Source!I75, 2)+ROUND(Source!AF75*Source!I75, 2)</f>
        <v>2.02</v>
      </c>
      <c r="I176" s="33"/>
      <c r="J176" s="33">
        <f>IF(Source!BC75&lt;&gt; 0, Source!BC75, 1)</f>
        <v>6.08</v>
      </c>
      <c r="K176" s="34">
        <f>Source!O75</f>
        <v>12.28</v>
      </c>
      <c r="L176" s="35"/>
      <c r="S176">
        <f>ROUND((Source!FX75/100)*((ROUND(Source!AF75*Source!I75, 2)+ROUND(Source!AE75*Source!I75, 2))), 2)</f>
        <v>0</v>
      </c>
      <c r="T176">
        <f>Source!X75</f>
        <v>0</v>
      </c>
      <c r="U176">
        <f>ROUND((Source!FY75/100)*((ROUND(Source!AF75*Source!I75, 2)+ROUND(Source!AE75*Source!I75, 2))), 2)</f>
        <v>0</v>
      </c>
      <c r="V176">
        <f>Source!Y75</f>
        <v>0</v>
      </c>
      <c r="W176">
        <f>IF(Source!BI75&lt;=1,H176, 0)</f>
        <v>2.02</v>
      </c>
      <c r="X176">
        <f>IF(Source!BI75=2,H176, 0)</f>
        <v>0</v>
      </c>
      <c r="Y176">
        <f>IF(Source!BI75=3,H176, 0)</f>
        <v>0</v>
      </c>
      <c r="Z176">
        <f>IF(Source!BI75=4,H176, 0)</f>
        <v>0</v>
      </c>
    </row>
    <row r="177" spans="1:26" ht="28.5" x14ac:dyDescent="0.2">
      <c r="A177" s="49" t="str">
        <f>Source!E77</f>
        <v>16,3</v>
      </c>
      <c r="B177" s="50" t="str">
        <f>Source!F77</f>
        <v>11.3.03.14-0012</v>
      </c>
      <c r="C177" s="50" t="str">
        <f>Source!G77</f>
        <v>Заглушки торцевая для пластикового плинтуса правая, высота 49 мм</v>
      </c>
      <c r="D177" s="31" t="str">
        <f>Source!H77</f>
        <v>100 шт.</v>
      </c>
      <c r="E177" s="13">
        <f>Source!I77</f>
        <v>0.02</v>
      </c>
      <c r="F177" s="32">
        <f>Source!AL77+Source!AM77+Source!AO77</f>
        <v>101</v>
      </c>
      <c r="G177" s="48" t="s">
        <v>224</v>
      </c>
      <c r="H177" s="34">
        <f>ROUND(Source!AC77*Source!I77, 2)+ROUND(Source!AD77*Source!I77, 2)+ROUND(Source!AF77*Source!I77, 2)</f>
        <v>2.02</v>
      </c>
      <c r="I177" s="33"/>
      <c r="J177" s="33">
        <f>IF(Source!BC77&lt;&gt; 0, Source!BC77, 1)</f>
        <v>6.08</v>
      </c>
      <c r="K177" s="34">
        <f>Source!O77</f>
        <v>12.28</v>
      </c>
      <c r="L177" s="35"/>
      <c r="S177">
        <f>ROUND((Source!FX77/100)*((ROUND(Source!AF77*Source!I77, 2)+ROUND(Source!AE77*Source!I77, 2))), 2)</f>
        <v>0</v>
      </c>
      <c r="T177">
        <f>Source!X77</f>
        <v>0</v>
      </c>
      <c r="U177">
        <f>ROUND((Source!FY77/100)*((ROUND(Source!AF77*Source!I77, 2)+ROUND(Source!AE77*Source!I77, 2))), 2)</f>
        <v>0</v>
      </c>
      <c r="V177">
        <f>Source!Y77</f>
        <v>0</v>
      </c>
      <c r="W177">
        <f>IF(Source!BI77&lt;=1,H177, 0)</f>
        <v>2.02</v>
      </c>
      <c r="X177">
        <f>IF(Source!BI77=2,H177, 0)</f>
        <v>0</v>
      </c>
      <c r="Y177">
        <f>IF(Source!BI77=3,H177, 0)</f>
        <v>0</v>
      </c>
      <c r="Z177">
        <f>IF(Source!BI77=4,H177, 0)</f>
        <v>0</v>
      </c>
    </row>
    <row r="178" spans="1:26" ht="28.5" x14ac:dyDescent="0.2">
      <c r="A178" s="49" t="str">
        <f>Source!E79</f>
        <v>16,4</v>
      </c>
      <c r="B178" s="50" t="str">
        <f>Source!F79</f>
        <v>11.3.03.14-0022</v>
      </c>
      <c r="C178" s="50" t="str">
        <f>Source!G79</f>
        <v>Соединитель для пластикового плинтуса, высота 49 мм</v>
      </c>
      <c r="D178" s="31" t="str">
        <f>Source!H79</f>
        <v>100 шт.</v>
      </c>
      <c r="E178" s="13">
        <f>Source!I79</f>
        <v>0.08</v>
      </c>
      <c r="F178" s="32">
        <f>Source!AL79+Source!AM79+Source!AO79</f>
        <v>128</v>
      </c>
      <c r="G178" s="48" t="s">
        <v>224</v>
      </c>
      <c r="H178" s="34">
        <f>ROUND(Source!AC79*Source!I79, 2)+ROUND(Source!AD79*Source!I79, 2)+ROUND(Source!AF79*Source!I79, 2)</f>
        <v>10.24</v>
      </c>
      <c r="I178" s="33"/>
      <c r="J178" s="33">
        <f>IF(Source!BC79&lt;&gt; 0, Source!BC79, 1)</f>
        <v>6.08</v>
      </c>
      <c r="K178" s="34">
        <f>Source!O79</f>
        <v>62.26</v>
      </c>
      <c r="L178" s="35"/>
      <c r="S178">
        <f>ROUND((Source!FX79/100)*((ROUND(Source!AF79*Source!I79, 2)+ROUND(Source!AE79*Source!I79, 2))), 2)</f>
        <v>0</v>
      </c>
      <c r="T178">
        <f>Source!X79</f>
        <v>0</v>
      </c>
      <c r="U178">
        <f>ROUND((Source!FY79/100)*((ROUND(Source!AF79*Source!I79, 2)+ROUND(Source!AE79*Source!I79, 2))), 2)</f>
        <v>0</v>
      </c>
      <c r="V178">
        <f>Source!Y79</f>
        <v>0</v>
      </c>
      <c r="W178">
        <f>IF(Source!BI79&lt;=1,H178, 0)</f>
        <v>10.24</v>
      </c>
      <c r="X178">
        <f>IF(Source!BI79=2,H178, 0)</f>
        <v>0</v>
      </c>
      <c r="Y178">
        <f>IF(Source!BI79=3,H178, 0)</f>
        <v>0</v>
      </c>
      <c r="Z178">
        <f>IF(Source!BI79=4,H178, 0)</f>
        <v>0</v>
      </c>
    </row>
    <row r="179" spans="1:26" ht="28.5" x14ac:dyDescent="0.2">
      <c r="A179" s="49" t="str">
        <f>Source!E81</f>
        <v>16,5</v>
      </c>
      <c r="B179" s="50" t="str">
        <f>Source!F81</f>
        <v>11.3.03.14-0032</v>
      </c>
      <c r="C179" s="50" t="str">
        <f>Source!G81</f>
        <v>Уголок внутренний для пластикового плинтуса, высота 49 мм</v>
      </c>
      <c r="D179" s="31" t="str">
        <f>Source!H81</f>
        <v>100 шт.</v>
      </c>
      <c r="E179" s="13">
        <f>Source!I81</f>
        <v>0.01</v>
      </c>
      <c r="F179" s="32">
        <f>Source!AL81+Source!AM81+Source!AO81</f>
        <v>128</v>
      </c>
      <c r="G179" s="48" t="s">
        <v>224</v>
      </c>
      <c r="H179" s="34">
        <f>ROUND(Source!AC81*Source!I81, 2)+ROUND(Source!AD81*Source!I81, 2)+ROUND(Source!AF81*Source!I81, 2)</f>
        <v>1.28</v>
      </c>
      <c r="I179" s="33"/>
      <c r="J179" s="33">
        <f>IF(Source!BC81&lt;&gt; 0, Source!BC81, 1)</f>
        <v>6.08</v>
      </c>
      <c r="K179" s="34">
        <f>Source!O81</f>
        <v>7.78</v>
      </c>
      <c r="L179" s="35"/>
      <c r="S179">
        <f>ROUND((Source!FX81/100)*((ROUND(Source!AF81*Source!I81, 2)+ROUND(Source!AE81*Source!I81, 2))), 2)</f>
        <v>0</v>
      </c>
      <c r="T179">
        <f>Source!X81</f>
        <v>0</v>
      </c>
      <c r="U179">
        <f>ROUND((Source!FY81/100)*((ROUND(Source!AF81*Source!I81, 2)+ROUND(Source!AE81*Source!I81, 2))), 2)</f>
        <v>0</v>
      </c>
      <c r="V179">
        <f>Source!Y81</f>
        <v>0</v>
      </c>
      <c r="W179">
        <f>IF(Source!BI81&lt;=1,H179, 0)</f>
        <v>1.28</v>
      </c>
      <c r="X179">
        <f>IF(Source!BI81=2,H179, 0)</f>
        <v>0</v>
      </c>
      <c r="Y179">
        <f>IF(Source!BI81=3,H179, 0)</f>
        <v>0</v>
      </c>
      <c r="Z179">
        <f>IF(Source!BI81=4,H179, 0)</f>
        <v>0</v>
      </c>
    </row>
    <row r="180" spans="1:26" ht="28.5" x14ac:dyDescent="0.2">
      <c r="A180" s="51" t="str">
        <f>Source!E83</f>
        <v>16,6</v>
      </c>
      <c r="B180" s="52" t="str">
        <f>Source!F83</f>
        <v>11.3.03.14-0034</v>
      </c>
      <c r="C180" s="52" t="str">
        <f>Source!G83</f>
        <v>Уголок наружный для пластикового плинтуса, высота 49 мм</v>
      </c>
      <c r="D180" s="38" t="str">
        <f>Source!H83</f>
        <v>100 шт.</v>
      </c>
      <c r="E180" s="39">
        <f>Source!I83</f>
        <v>0.01</v>
      </c>
      <c r="F180" s="40">
        <f>Source!AL83+Source!AM83+Source!AO83</f>
        <v>128</v>
      </c>
      <c r="G180" s="46" t="s">
        <v>224</v>
      </c>
      <c r="H180" s="42">
        <f>ROUND(Source!AC83*Source!I83, 2)+ROUND(Source!AD83*Source!I83, 2)+ROUND(Source!AF83*Source!I83, 2)</f>
        <v>1.28</v>
      </c>
      <c r="I180" s="41"/>
      <c r="J180" s="41">
        <f>IF(Source!BC83&lt;&gt; 0, Source!BC83, 1)</f>
        <v>6.08</v>
      </c>
      <c r="K180" s="42">
        <f>Source!O83</f>
        <v>7.78</v>
      </c>
      <c r="L180" s="47"/>
      <c r="S180">
        <f>ROUND((Source!FX83/100)*((ROUND(Source!AF83*Source!I83, 2)+ROUND(Source!AE83*Source!I83, 2))), 2)</f>
        <v>0</v>
      </c>
      <c r="T180">
        <f>Source!X83</f>
        <v>0</v>
      </c>
      <c r="U180">
        <f>ROUND((Source!FY83/100)*((ROUND(Source!AF83*Source!I83, 2)+ROUND(Source!AE83*Source!I83, 2))), 2)</f>
        <v>0</v>
      </c>
      <c r="V180">
        <f>Source!Y83</f>
        <v>0</v>
      </c>
      <c r="W180">
        <f>IF(Source!BI83&lt;=1,H180, 0)</f>
        <v>1.28</v>
      </c>
      <c r="X180">
        <f>IF(Source!BI83=2,H180, 0)</f>
        <v>0</v>
      </c>
      <c r="Y180">
        <f>IF(Source!BI83=3,H180, 0)</f>
        <v>0</v>
      </c>
      <c r="Z180">
        <f>IF(Source!BI83=4,H180, 0)</f>
        <v>0</v>
      </c>
    </row>
    <row r="181" spans="1:26" ht="15" x14ac:dyDescent="0.25">
      <c r="G181" s="69">
        <f>H168+H169+H171+H172+H173+SUM(H175:H180)</f>
        <v>485.08999999999992</v>
      </c>
      <c r="H181" s="69"/>
      <c r="J181" s="69">
        <f>K168+K169+K171+K172+K173+SUM(K175:K180)</f>
        <v>2949.8300000000008</v>
      </c>
      <c r="K181" s="69"/>
      <c r="L181" s="44">
        <f>Source!U71</f>
        <v>1.5364</v>
      </c>
      <c r="O181" s="27">
        <f>G181</f>
        <v>485.08999999999992</v>
      </c>
      <c r="P181" s="27">
        <f>J181</f>
        <v>2949.8300000000008</v>
      </c>
      <c r="Q181" s="27">
        <f>L181</f>
        <v>1.5364</v>
      </c>
      <c r="W181">
        <f>IF(Source!BI71&lt;=1,H168+H169+H171+H172+H173, 0)</f>
        <v>54.150000000000006</v>
      </c>
      <c r="X181">
        <f>IF(Source!BI71=2,H168+H169+H171+H172+H173, 0)</f>
        <v>0</v>
      </c>
      <c r="Y181">
        <f>IF(Source!BI71=3,H168+H169+H171+H172+H173, 0)</f>
        <v>0</v>
      </c>
      <c r="Z181">
        <f>IF(Source!BI71=4,H168+H169+H171+H172+H173, 0)</f>
        <v>0</v>
      </c>
    </row>
    <row r="182" spans="1:26" ht="28.5" x14ac:dyDescent="0.2">
      <c r="A182" s="49" t="str">
        <f>Source!E85</f>
        <v>17</v>
      </c>
      <c r="B182" s="50" t="str">
        <f>Source!F85</f>
        <v>11-01-049-01</v>
      </c>
      <c r="C182" s="50" t="str">
        <f>Source!G85</f>
        <v>Укладка металлического накладного профиля (порога)</v>
      </c>
      <c r="D182" s="31" t="str">
        <f>Source!H85</f>
        <v>100 м</v>
      </c>
      <c r="E182" s="13">
        <f>Source!I85</f>
        <v>8.9999999999999993E-3</v>
      </c>
      <c r="F182" s="32">
        <f>Source!AL85+Source!AM85+Source!AO85</f>
        <v>225.83</v>
      </c>
      <c r="G182" s="33"/>
      <c r="H182" s="34"/>
      <c r="I182" s="33" t="str">
        <f>Source!BO85</f>
        <v/>
      </c>
      <c r="J182" s="33"/>
      <c r="K182" s="34"/>
      <c r="L182" s="35"/>
      <c r="S182">
        <f>ROUND((Source!FX85/100)*((ROUND(Source!AF85*Source!I85, 2)+ROUND(Source!AE85*Source!I85, 2))), 2)</f>
        <v>1.67</v>
      </c>
      <c r="T182">
        <f>Source!X85</f>
        <v>10.16</v>
      </c>
      <c r="U182">
        <f>ROUND((Source!FY85/100)*((ROUND(Source!AF85*Source!I85, 2)+ROUND(Source!AE85*Source!I85, 2))), 2)</f>
        <v>0.96</v>
      </c>
      <c r="V182">
        <f>Source!Y85</f>
        <v>5.86</v>
      </c>
    </row>
    <row r="183" spans="1:26" x14ac:dyDescent="0.2">
      <c r="C183" s="26" t="str">
        <f>"Объем: "&amp;Source!I85&amp;"=90/"&amp;"100"</f>
        <v>Объем: 0,009=90/100</v>
      </c>
    </row>
    <row r="184" spans="1:26" ht="14.25" x14ac:dyDescent="0.2">
      <c r="A184" s="49"/>
      <c r="B184" s="50"/>
      <c r="C184" s="50" t="s">
        <v>149</v>
      </c>
      <c r="D184" s="31"/>
      <c r="E184" s="13"/>
      <c r="F184" s="32">
        <f>Source!AO85</f>
        <v>145.43</v>
      </c>
      <c r="G184" s="33" t="str">
        <f>Source!DG85</f>
        <v>)*1,15</v>
      </c>
      <c r="H184" s="34">
        <f>ROUND(Source!AF85*Source!I85, 2)</f>
        <v>1.51</v>
      </c>
      <c r="I184" s="33"/>
      <c r="J184" s="33">
        <f>IF(Source!BA85&lt;&gt; 0, Source!BA85, 1)</f>
        <v>6.08</v>
      </c>
      <c r="K184" s="34">
        <f>Source!S85</f>
        <v>9.15</v>
      </c>
      <c r="L184" s="35"/>
      <c r="R184">
        <f>H184</f>
        <v>1.51</v>
      </c>
    </row>
    <row r="185" spans="1:26" ht="14.25" x14ac:dyDescent="0.2">
      <c r="A185" s="49"/>
      <c r="B185" s="50"/>
      <c r="C185" s="50" t="s">
        <v>151</v>
      </c>
      <c r="D185" s="31"/>
      <c r="E185" s="13"/>
      <c r="F185" s="32">
        <f>Source!AL85</f>
        <v>80.400000000000006</v>
      </c>
      <c r="G185" s="33" t="str">
        <f>Source!DD85</f>
        <v/>
      </c>
      <c r="H185" s="34">
        <f>ROUND(Source!AC85*Source!I85, 2)</f>
        <v>0.72</v>
      </c>
      <c r="I185" s="33"/>
      <c r="J185" s="33">
        <f>IF(Source!BC85&lt;&gt; 0, Source!BC85, 1)</f>
        <v>6.08</v>
      </c>
      <c r="K185" s="34">
        <f>Source!P85</f>
        <v>4.4000000000000004</v>
      </c>
      <c r="L185" s="35"/>
    </row>
    <row r="186" spans="1:26" ht="14.25" x14ac:dyDescent="0.2">
      <c r="A186" s="49"/>
      <c r="B186" s="50"/>
      <c r="C186" s="50" t="s">
        <v>152</v>
      </c>
      <c r="D186" s="31" t="s">
        <v>153</v>
      </c>
      <c r="E186" s="13">
        <f>Source!BZ85</f>
        <v>123</v>
      </c>
      <c r="F186" s="70" t="str">
        <f>CONCATENATE(" )", Source!DL85, Source!FT85, "=", Source!FX85)</f>
        <v xml:space="preserve"> )*0,9=110,7</v>
      </c>
      <c r="G186" s="71"/>
      <c r="H186" s="34">
        <f>SUM(S182:S189)</f>
        <v>1.67</v>
      </c>
      <c r="I186" s="37"/>
      <c r="J186" s="29">
        <f>Source!AT85</f>
        <v>111</v>
      </c>
      <c r="K186" s="34">
        <f>SUM(T182:T189)</f>
        <v>10.16</v>
      </c>
      <c r="L186" s="35"/>
    </row>
    <row r="187" spans="1:26" ht="14.25" x14ac:dyDescent="0.2">
      <c r="A187" s="49"/>
      <c r="B187" s="50"/>
      <c r="C187" s="50" t="s">
        <v>154</v>
      </c>
      <c r="D187" s="31" t="s">
        <v>153</v>
      </c>
      <c r="E187" s="13">
        <f>Source!CA85</f>
        <v>75</v>
      </c>
      <c r="F187" s="70" t="str">
        <f>CONCATENATE(" )", Source!DM85, Source!FU85, "=", Source!FY85)</f>
        <v xml:space="preserve"> )*0,85=63,75</v>
      </c>
      <c r="G187" s="71"/>
      <c r="H187" s="34">
        <f>SUM(U182:U189)</f>
        <v>0.96</v>
      </c>
      <c r="I187" s="37"/>
      <c r="J187" s="29">
        <f>Source!AU85</f>
        <v>64</v>
      </c>
      <c r="K187" s="34">
        <f>SUM(V182:V189)</f>
        <v>5.86</v>
      </c>
      <c r="L187" s="35"/>
    </row>
    <row r="188" spans="1:26" ht="14.25" x14ac:dyDescent="0.2">
      <c r="A188" s="49"/>
      <c r="B188" s="50"/>
      <c r="C188" s="50" t="s">
        <v>155</v>
      </c>
      <c r="D188" s="31" t="s">
        <v>156</v>
      </c>
      <c r="E188" s="13">
        <f>Source!AQ85</f>
        <v>16.64</v>
      </c>
      <c r="F188" s="32"/>
      <c r="G188" s="33" t="str">
        <f>Source!DI85</f>
        <v>)*1,15</v>
      </c>
      <c r="H188" s="34"/>
      <c r="I188" s="33"/>
      <c r="J188" s="33"/>
      <c r="K188" s="34"/>
      <c r="L188" s="45">
        <f>Source!U85</f>
        <v>0.17222399999999999</v>
      </c>
    </row>
    <row r="189" spans="1:26" ht="42.75" x14ac:dyDescent="0.2">
      <c r="A189" s="51" t="str">
        <f>Source!E87</f>
        <v>17,1</v>
      </c>
      <c r="B189" s="52" t="str">
        <f>Source!F87</f>
        <v>09.2.03.02-0027</v>
      </c>
      <c r="C189" s="52" t="str">
        <f>Source!G87</f>
        <v>Профили стыкоперекрывающие из алюминиевых сплавов (порожки) с покрытием, шириной 90 мм</v>
      </c>
      <c r="D189" s="38" t="str">
        <f>Source!H87</f>
        <v>м</v>
      </c>
      <c r="E189" s="39">
        <f>Source!I87</f>
        <v>0.94499999999999995</v>
      </c>
      <c r="F189" s="40">
        <f>Source!AL87+Source!AM87+Source!AO87</f>
        <v>23.19</v>
      </c>
      <c r="G189" s="46" t="s">
        <v>224</v>
      </c>
      <c r="H189" s="42">
        <f>ROUND(Source!AC87*Source!I87, 2)+ROUND(Source!AD87*Source!I87, 2)+ROUND(Source!AF87*Source!I87, 2)</f>
        <v>21.91</v>
      </c>
      <c r="I189" s="41"/>
      <c r="J189" s="41">
        <f>IF(Source!BC87&lt;&gt; 0, Source!BC87, 1)</f>
        <v>6.08</v>
      </c>
      <c r="K189" s="42">
        <f>Source!O87</f>
        <v>133.24</v>
      </c>
      <c r="L189" s="47"/>
      <c r="S189">
        <f>ROUND((Source!FX87/100)*((ROUND(Source!AF87*Source!I87, 2)+ROUND(Source!AE87*Source!I87, 2))), 2)</f>
        <v>0</v>
      </c>
      <c r="T189">
        <f>Source!X87</f>
        <v>0</v>
      </c>
      <c r="U189">
        <f>ROUND((Source!FY87/100)*((ROUND(Source!AF87*Source!I87, 2)+ROUND(Source!AE87*Source!I87, 2))), 2)</f>
        <v>0</v>
      </c>
      <c r="V189">
        <f>Source!Y87</f>
        <v>0</v>
      </c>
      <c r="W189">
        <f>IF(Source!BI87&lt;=1,H189, 0)</f>
        <v>21.91</v>
      </c>
      <c r="X189">
        <f>IF(Source!BI87=2,H189, 0)</f>
        <v>0</v>
      </c>
      <c r="Y189">
        <f>IF(Source!BI87=3,H189, 0)</f>
        <v>0</v>
      </c>
      <c r="Z189">
        <f>IF(Source!BI87=4,H189, 0)</f>
        <v>0</v>
      </c>
    </row>
    <row r="190" spans="1:26" ht="15" x14ac:dyDescent="0.25">
      <c r="G190" s="69">
        <f>H184+H185+H186+H187+SUM(H189:H189)</f>
        <v>26.77</v>
      </c>
      <c r="H190" s="69"/>
      <c r="J190" s="69">
        <f>K184+K185+K186+K187+SUM(K189:K189)</f>
        <v>162.81</v>
      </c>
      <c r="K190" s="69"/>
      <c r="L190" s="44">
        <f>Source!U85</f>
        <v>0.17222399999999999</v>
      </c>
      <c r="O190" s="27">
        <f>G190</f>
        <v>26.77</v>
      </c>
      <c r="P190" s="27">
        <f>J190</f>
        <v>162.81</v>
      </c>
      <c r="Q190" s="27">
        <f>L190</f>
        <v>0.17222399999999999</v>
      </c>
      <c r="W190">
        <f>IF(Source!BI85&lt;=1,H184+H185+H186+H187, 0)</f>
        <v>4.8599999999999994</v>
      </c>
      <c r="X190">
        <f>IF(Source!BI85=2,H184+H185+H186+H187, 0)</f>
        <v>0</v>
      </c>
      <c r="Y190">
        <f>IF(Source!BI85=3,H184+H185+H186+H187, 0)</f>
        <v>0</v>
      </c>
      <c r="Z190">
        <f>IF(Source!BI85=4,H184+H185+H186+H187, 0)</f>
        <v>0</v>
      </c>
    </row>
    <row r="191" spans="1:26" ht="28.5" x14ac:dyDescent="0.2">
      <c r="A191" s="49" t="str">
        <f>Source!E89</f>
        <v>18</v>
      </c>
      <c r="B191" s="50" t="str">
        <f>Source!F89</f>
        <v>12-01-020-01</v>
      </c>
      <c r="C191" s="50" t="str">
        <f>Source!G89</f>
        <v>Устройство кровель различных типов из металлочерепицы</v>
      </c>
      <c r="D191" s="31" t="str">
        <f>Source!H89</f>
        <v>100 м2</v>
      </c>
      <c r="E191" s="13">
        <f>Source!I89</f>
        <v>3.55</v>
      </c>
      <c r="F191" s="32">
        <f>Source!AL89+Source!AM89+Source!AO89</f>
        <v>13129.18</v>
      </c>
      <c r="G191" s="33"/>
      <c r="H191" s="34"/>
      <c r="I191" s="33" t="str">
        <f>Source!BO89</f>
        <v/>
      </c>
      <c r="J191" s="33"/>
      <c r="K191" s="34"/>
      <c r="L191" s="35"/>
      <c r="S191">
        <f>ROUND((Source!FX89/100)*((ROUND(Source!AF89*Source!I89, 2)+ROUND(Source!AE89*Source!I89, 2))), 2)</f>
        <v>7399.91</v>
      </c>
      <c r="T191">
        <f>Source!X89</f>
        <v>44991.43</v>
      </c>
      <c r="U191">
        <f>ROUND((Source!FY89/100)*((ROUND(Source!AF89*Source!I89, 2)+ROUND(Source!AE89*Source!I89, 2))), 2)</f>
        <v>3785.6</v>
      </c>
      <c r="V191">
        <f>Source!Y89</f>
        <v>22912.3</v>
      </c>
    </row>
    <row r="192" spans="1:26" x14ac:dyDescent="0.2">
      <c r="C192" s="26" t="str">
        <f>"Объем: "&amp;Source!I89&amp;"=355/"&amp;"100"</f>
        <v>Объем: 3,55=355/100</v>
      </c>
    </row>
    <row r="193" spans="1:26" ht="14.25" x14ac:dyDescent="0.2">
      <c r="A193" s="49"/>
      <c r="B193" s="50"/>
      <c r="C193" s="50" t="s">
        <v>149</v>
      </c>
      <c r="D193" s="31"/>
      <c r="E193" s="13"/>
      <c r="F193" s="32">
        <f>Source!AO89</f>
        <v>1634.38</v>
      </c>
      <c r="G193" s="33" t="str">
        <f>Source!DG89</f>
        <v>)*1,15</v>
      </c>
      <c r="H193" s="34">
        <f>ROUND(Source!AF89*Source!I89, 2)</f>
        <v>6672.36</v>
      </c>
      <c r="I193" s="33"/>
      <c r="J193" s="33">
        <f>IF(Source!BA89&lt;&gt; 0, Source!BA89, 1)</f>
        <v>6.08</v>
      </c>
      <c r="K193" s="34">
        <f>Source!S89</f>
        <v>40567.93</v>
      </c>
      <c r="L193" s="35"/>
      <c r="R193">
        <f>H193</f>
        <v>6672.36</v>
      </c>
    </row>
    <row r="194" spans="1:26" ht="14.25" x14ac:dyDescent="0.2">
      <c r="A194" s="49"/>
      <c r="B194" s="50"/>
      <c r="C194" s="50" t="s">
        <v>451</v>
      </c>
      <c r="D194" s="31"/>
      <c r="E194" s="13"/>
      <c r="F194" s="32">
        <f>Source!AM89</f>
        <v>599.72</v>
      </c>
      <c r="G194" s="33" t="str">
        <f>Source!DE89</f>
        <v>)*1,25</v>
      </c>
      <c r="H194" s="34">
        <f>ROUND(Source!AD89*Source!I89, 2)</f>
        <v>2661.26</v>
      </c>
      <c r="I194" s="33"/>
      <c r="J194" s="33">
        <f>IF(Source!BB89&lt;&gt; 0, Source!BB89, 1)</f>
        <v>6.08</v>
      </c>
      <c r="K194" s="34">
        <f>Source!Q89</f>
        <v>16180.45</v>
      </c>
      <c r="L194" s="35"/>
    </row>
    <row r="195" spans="1:26" ht="14.25" x14ac:dyDescent="0.2">
      <c r="A195" s="49"/>
      <c r="B195" s="50"/>
      <c r="C195" s="50" t="s">
        <v>150</v>
      </c>
      <c r="D195" s="31"/>
      <c r="E195" s="13"/>
      <c r="F195" s="32">
        <f>Source!AN89</f>
        <v>40.43</v>
      </c>
      <c r="G195" s="33" t="str">
        <f>Source!DF89</f>
        <v>)*1,25</v>
      </c>
      <c r="H195" s="36">
        <f>ROUND(Source!AE89*Source!I89, 2)</f>
        <v>179.41</v>
      </c>
      <c r="I195" s="33"/>
      <c r="J195" s="33">
        <f>IF(Source!BS89&lt;&gt; 0, Source!BS89, 1)</f>
        <v>6.08</v>
      </c>
      <c r="K195" s="36">
        <f>Source!R89</f>
        <v>1090.8</v>
      </c>
      <c r="L195" s="35"/>
      <c r="R195">
        <f>H195</f>
        <v>179.41</v>
      </c>
    </row>
    <row r="196" spans="1:26" ht="14.25" x14ac:dyDescent="0.2">
      <c r="A196" s="49"/>
      <c r="B196" s="50"/>
      <c r="C196" s="50" t="s">
        <v>151</v>
      </c>
      <c r="D196" s="31"/>
      <c r="E196" s="13"/>
      <c r="F196" s="32">
        <f>Source!AL89</f>
        <v>10895.08</v>
      </c>
      <c r="G196" s="33" t="str">
        <f>Source!DD89</f>
        <v/>
      </c>
      <c r="H196" s="34">
        <f>ROUND(Source!AC89*Source!I89, 2)</f>
        <v>38677.53</v>
      </c>
      <c r="I196" s="33"/>
      <c r="J196" s="33">
        <f>IF(Source!BC89&lt;&gt; 0, Source!BC89, 1)</f>
        <v>6.08</v>
      </c>
      <c r="K196" s="34">
        <f>Source!P89</f>
        <v>235159.41</v>
      </c>
      <c r="L196" s="35"/>
    </row>
    <row r="197" spans="1:26" ht="14.25" x14ac:dyDescent="0.2">
      <c r="A197" s="49"/>
      <c r="B197" s="50"/>
      <c r="C197" s="50" t="s">
        <v>152</v>
      </c>
      <c r="D197" s="31" t="s">
        <v>153</v>
      </c>
      <c r="E197" s="13">
        <f>Source!BZ89</f>
        <v>120</v>
      </c>
      <c r="F197" s="70" t="str">
        <f>CONCATENATE(" )", Source!DL89, Source!FT89, "=", Source!FX89)</f>
        <v xml:space="preserve"> )*0,9=108</v>
      </c>
      <c r="G197" s="71"/>
      <c r="H197" s="34">
        <f>SUM(S191:S200)</f>
        <v>7399.91</v>
      </c>
      <c r="I197" s="37"/>
      <c r="J197" s="29">
        <f>Source!AT89</f>
        <v>108</v>
      </c>
      <c r="K197" s="34">
        <f>SUM(T191:T200)</f>
        <v>44991.43</v>
      </c>
      <c r="L197" s="35"/>
    </row>
    <row r="198" spans="1:26" ht="14.25" x14ac:dyDescent="0.2">
      <c r="A198" s="49"/>
      <c r="B198" s="50"/>
      <c r="C198" s="50" t="s">
        <v>154</v>
      </c>
      <c r="D198" s="31" t="s">
        <v>153</v>
      </c>
      <c r="E198" s="13">
        <f>Source!CA89</f>
        <v>65</v>
      </c>
      <c r="F198" s="70" t="str">
        <f>CONCATENATE(" )", Source!DM89, Source!FU89, "=", Source!FY89)</f>
        <v xml:space="preserve"> )*0,85=55,25</v>
      </c>
      <c r="G198" s="71"/>
      <c r="H198" s="34">
        <f>SUM(U191:U200)</f>
        <v>3785.6</v>
      </c>
      <c r="I198" s="37"/>
      <c r="J198" s="29">
        <f>Source!AU89</f>
        <v>55</v>
      </c>
      <c r="K198" s="34">
        <f>SUM(V191:V200)</f>
        <v>22912.3</v>
      </c>
      <c r="L198" s="35"/>
    </row>
    <row r="199" spans="1:26" ht="14.25" x14ac:dyDescent="0.2">
      <c r="A199" s="49"/>
      <c r="B199" s="50"/>
      <c r="C199" s="50" t="s">
        <v>155</v>
      </c>
      <c r="D199" s="31" t="s">
        <v>156</v>
      </c>
      <c r="E199" s="13">
        <f>Source!AQ89</f>
        <v>173.87</v>
      </c>
      <c r="F199" s="32"/>
      <c r="G199" s="33" t="str">
        <f>Source!DI89</f>
        <v>)*1,15</v>
      </c>
      <c r="H199" s="34"/>
      <c r="I199" s="33"/>
      <c r="J199" s="33"/>
      <c r="K199" s="34"/>
      <c r="L199" s="45">
        <f>Source!U89</f>
        <v>709.82427499999983</v>
      </c>
    </row>
    <row r="200" spans="1:26" ht="28.5" x14ac:dyDescent="0.2">
      <c r="A200" s="51" t="str">
        <f>Source!E91</f>
        <v>18,1</v>
      </c>
      <c r="B200" s="52" t="str">
        <f>Source!F91</f>
        <v>12.1.03.02-0011</v>
      </c>
      <c r="C200" s="52" t="str">
        <f>Source!G91</f>
        <v>Металлочерепица «Элит» с покрытием полиэстер</v>
      </c>
      <c r="D200" s="38" t="str">
        <f>Source!H91</f>
        <v>м2</v>
      </c>
      <c r="E200" s="39">
        <f>Source!I91</f>
        <v>447.3</v>
      </c>
      <c r="F200" s="40">
        <f>Source!AL91+Source!AM91+Source!AO91</f>
        <v>102.93</v>
      </c>
      <c r="G200" s="46" t="s">
        <v>224</v>
      </c>
      <c r="H200" s="42">
        <f>ROUND(Source!AC91*Source!I91, 2)+ROUND(Source!AD91*Source!I91, 2)+ROUND(Source!AF91*Source!I91, 2)</f>
        <v>46040.59</v>
      </c>
      <c r="I200" s="41"/>
      <c r="J200" s="41">
        <f>IF(Source!BC91&lt;&gt; 0, Source!BC91, 1)</f>
        <v>6.08</v>
      </c>
      <c r="K200" s="42">
        <f>Source!O91</f>
        <v>279926.78000000003</v>
      </c>
      <c r="L200" s="47"/>
      <c r="S200">
        <f>ROUND((Source!FX91/100)*((ROUND(Source!AF91*Source!I91, 2)+ROUND(Source!AE91*Source!I91, 2))), 2)</f>
        <v>0</v>
      </c>
      <c r="T200">
        <f>Source!X91</f>
        <v>0</v>
      </c>
      <c r="U200">
        <f>ROUND((Source!FY91/100)*((ROUND(Source!AF91*Source!I91, 2)+ROUND(Source!AE91*Source!I91, 2))), 2)</f>
        <v>0</v>
      </c>
      <c r="V200">
        <f>Source!Y91</f>
        <v>0</v>
      </c>
      <c r="W200">
        <f>IF(Source!BI91&lt;=1,H200, 0)</f>
        <v>46040.59</v>
      </c>
      <c r="X200">
        <f>IF(Source!BI91=2,H200, 0)</f>
        <v>0</v>
      </c>
      <c r="Y200">
        <f>IF(Source!BI91=3,H200, 0)</f>
        <v>0</v>
      </c>
      <c r="Z200">
        <f>IF(Source!BI91=4,H200, 0)</f>
        <v>0</v>
      </c>
    </row>
    <row r="201" spans="1:26" ht="15" x14ac:dyDescent="0.25">
      <c r="G201" s="69">
        <f>H193+H194+H196+H197+H198+SUM(H200:H200)</f>
        <v>105237.25</v>
      </c>
      <c r="H201" s="69"/>
      <c r="J201" s="69">
        <f>K193+K194+K196+K197+K198+SUM(K200:K200)</f>
        <v>639738.30000000005</v>
      </c>
      <c r="K201" s="69"/>
      <c r="L201" s="44">
        <f>Source!U89</f>
        <v>709.82427499999983</v>
      </c>
      <c r="O201" s="27">
        <f>G201</f>
        <v>105237.25</v>
      </c>
      <c r="P201" s="27">
        <f>J201</f>
        <v>639738.30000000005</v>
      </c>
      <c r="Q201" s="27">
        <f>L201</f>
        <v>709.82427499999983</v>
      </c>
      <c r="W201">
        <f>IF(Source!BI89&lt;=1,H193+H194+H196+H197+H198, 0)</f>
        <v>59196.659999999996</v>
      </c>
      <c r="X201">
        <f>IF(Source!BI89=2,H193+H194+H196+H197+H198, 0)</f>
        <v>0</v>
      </c>
      <c r="Y201">
        <f>IF(Source!BI89=3,H193+H194+H196+H197+H198, 0)</f>
        <v>0</v>
      </c>
      <c r="Z201">
        <f>IF(Source!BI89=4,H193+H194+H196+H197+H198, 0)</f>
        <v>0</v>
      </c>
    </row>
    <row r="202" spans="1:26" ht="28.5" x14ac:dyDescent="0.2">
      <c r="A202" s="49" t="str">
        <f>Source!E93</f>
        <v>19</v>
      </c>
      <c r="B202" s="50" t="str">
        <f>Source!F93</f>
        <v>12-01-009-01</v>
      </c>
      <c r="C202" s="50" t="str">
        <f>Source!G93</f>
        <v>Устройство желобов настенных</v>
      </c>
      <c r="D202" s="31" t="str">
        <f>Source!H93</f>
        <v>100 м</v>
      </c>
      <c r="E202" s="13">
        <f>Source!I93</f>
        <v>0.3</v>
      </c>
      <c r="F202" s="32">
        <f>Source!AL93+Source!AM93+Source!AO93</f>
        <v>18929.53</v>
      </c>
      <c r="G202" s="33"/>
      <c r="H202" s="34"/>
      <c r="I202" s="33" t="str">
        <f>Source!BO93</f>
        <v/>
      </c>
      <c r="J202" s="33"/>
      <c r="K202" s="34"/>
      <c r="L202" s="35"/>
      <c r="S202">
        <f>ROUND((Source!FX93/100)*((ROUND(Source!AF93*Source!I93, 2)+ROUND(Source!AE93*Source!I93, 2))), 2)</f>
        <v>247.53</v>
      </c>
      <c r="T202">
        <f>Source!X93</f>
        <v>1504.9</v>
      </c>
      <c r="U202">
        <f>ROUND((Source!FY93/100)*((ROUND(Source!AF93*Source!I93, 2)+ROUND(Source!AE93*Source!I93, 2))), 2)</f>
        <v>126.63</v>
      </c>
      <c r="V202">
        <f>Source!Y93</f>
        <v>766.39</v>
      </c>
    </row>
    <row r="203" spans="1:26" x14ac:dyDescent="0.2">
      <c r="C203" s="26" t="str">
        <f>"Объем: "&amp;Source!I93&amp;"=30/"&amp;"100"</f>
        <v>Объем: 0,3=30/100</v>
      </c>
    </row>
    <row r="204" spans="1:26" ht="14.25" x14ac:dyDescent="0.2">
      <c r="A204" s="49"/>
      <c r="B204" s="50"/>
      <c r="C204" s="50" t="s">
        <v>149</v>
      </c>
      <c r="D204" s="31"/>
      <c r="E204" s="13"/>
      <c r="F204" s="32">
        <f>Source!AO93</f>
        <v>722.92</v>
      </c>
      <c r="G204" s="33" t="str">
        <f>Source!DG93</f>
        <v/>
      </c>
      <c r="H204" s="34">
        <f>ROUND(Source!AF93*Source!I93, 2)</f>
        <v>216.88</v>
      </c>
      <c r="I204" s="33"/>
      <c r="J204" s="33">
        <f>IF(Source!BA93&lt;&gt; 0, Source!BA93, 1)</f>
        <v>6.08</v>
      </c>
      <c r="K204" s="34">
        <f>Source!S93</f>
        <v>1318.61</v>
      </c>
      <c r="L204" s="35"/>
      <c r="R204">
        <f>H204</f>
        <v>216.88</v>
      </c>
    </row>
    <row r="205" spans="1:26" ht="14.25" x14ac:dyDescent="0.2">
      <c r="A205" s="49"/>
      <c r="B205" s="50"/>
      <c r="C205" s="50" t="s">
        <v>451</v>
      </c>
      <c r="D205" s="31"/>
      <c r="E205" s="13"/>
      <c r="F205" s="32">
        <f>Source!AM93</f>
        <v>272.98</v>
      </c>
      <c r="G205" s="33" t="str">
        <f>Source!DE93</f>
        <v/>
      </c>
      <c r="H205" s="34">
        <f>ROUND(Source!AD93*Source!I93, 2)</f>
        <v>81.89</v>
      </c>
      <c r="I205" s="33"/>
      <c r="J205" s="33">
        <f>IF(Source!BB93&lt;&gt; 0, Source!BB93, 1)</f>
        <v>6.08</v>
      </c>
      <c r="K205" s="34">
        <f>Source!Q93</f>
        <v>497.92</v>
      </c>
      <c r="L205" s="35"/>
    </row>
    <row r="206" spans="1:26" ht="14.25" x14ac:dyDescent="0.2">
      <c r="A206" s="49"/>
      <c r="B206" s="50"/>
      <c r="C206" s="50" t="s">
        <v>150</v>
      </c>
      <c r="D206" s="31"/>
      <c r="E206" s="13"/>
      <c r="F206" s="32">
        <f>Source!AN93</f>
        <v>41.02</v>
      </c>
      <c r="G206" s="33" t="str">
        <f>Source!DF93</f>
        <v/>
      </c>
      <c r="H206" s="36">
        <f>ROUND(Source!AE93*Source!I93, 2)</f>
        <v>12.31</v>
      </c>
      <c r="I206" s="33"/>
      <c r="J206" s="33">
        <f>IF(Source!BS93&lt;&gt; 0, Source!BS93, 1)</f>
        <v>6.08</v>
      </c>
      <c r="K206" s="36">
        <f>Source!R93</f>
        <v>74.819999999999993</v>
      </c>
      <c r="L206" s="35"/>
      <c r="R206">
        <f>H206</f>
        <v>12.31</v>
      </c>
    </row>
    <row r="207" spans="1:26" ht="14.25" x14ac:dyDescent="0.2">
      <c r="A207" s="49"/>
      <c r="B207" s="50"/>
      <c r="C207" s="50" t="s">
        <v>151</v>
      </c>
      <c r="D207" s="31"/>
      <c r="E207" s="13"/>
      <c r="F207" s="32">
        <f>Source!AL93</f>
        <v>17933.63</v>
      </c>
      <c r="G207" s="33" t="str">
        <f>Source!DD93</f>
        <v/>
      </c>
      <c r="H207" s="34">
        <f>ROUND(Source!AC93*Source!I93, 2)</f>
        <v>5380.09</v>
      </c>
      <c r="I207" s="33"/>
      <c r="J207" s="33">
        <f>IF(Source!BC93&lt;&gt; 0, Source!BC93, 1)</f>
        <v>6.08</v>
      </c>
      <c r="K207" s="34">
        <f>Source!P93</f>
        <v>32710.94</v>
      </c>
      <c r="L207" s="35"/>
    </row>
    <row r="208" spans="1:26" ht="14.25" x14ac:dyDescent="0.2">
      <c r="A208" s="49"/>
      <c r="B208" s="50"/>
      <c r="C208" s="50" t="s">
        <v>152</v>
      </c>
      <c r="D208" s="31" t="s">
        <v>153</v>
      </c>
      <c r="E208" s="13">
        <f>Source!BZ93</f>
        <v>120</v>
      </c>
      <c r="F208" s="70" t="str">
        <f>CONCATENATE(" )", Source!DL93, Source!FT93, "=", Source!FX93)</f>
        <v xml:space="preserve"> )*0,9=108</v>
      </c>
      <c r="G208" s="71"/>
      <c r="H208" s="34">
        <f>SUM(S202:S210)</f>
        <v>247.53</v>
      </c>
      <c r="I208" s="37"/>
      <c r="J208" s="29">
        <f>Source!AT93</f>
        <v>108</v>
      </c>
      <c r="K208" s="34">
        <f>SUM(T202:T210)</f>
        <v>1504.9</v>
      </c>
      <c r="L208" s="35"/>
    </row>
    <row r="209" spans="1:26" ht="14.25" x14ac:dyDescent="0.2">
      <c r="A209" s="49"/>
      <c r="B209" s="50"/>
      <c r="C209" s="50" t="s">
        <v>154</v>
      </c>
      <c r="D209" s="31" t="s">
        <v>153</v>
      </c>
      <c r="E209" s="13">
        <f>Source!CA93</f>
        <v>65</v>
      </c>
      <c r="F209" s="70" t="str">
        <f>CONCATENATE(" )", Source!DM93, Source!FU93, "=", Source!FY93)</f>
        <v xml:space="preserve"> )*0,85=55,25</v>
      </c>
      <c r="G209" s="71"/>
      <c r="H209" s="34">
        <f>SUM(U202:U210)</f>
        <v>126.63</v>
      </c>
      <c r="I209" s="37"/>
      <c r="J209" s="29">
        <f>Source!AU93</f>
        <v>55</v>
      </c>
      <c r="K209" s="34">
        <f>SUM(V202:V210)</f>
        <v>766.39</v>
      </c>
      <c r="L209" s="35"/>
    </row>
    <row r="210" spans="1:26" ht="14.25" x14ac:dyDescent="0.2">
      <c r="A210" s="51"/>
      <c r="B210" s="52"/>
      <c r="C210" s="52" t="s">
        <v>155</v>
      </c>
      <c r="D210" s="38" t="s">
        <v>156</v>
      </c>
      <c r="E210" s="39">
        <f>Source!AQ93</f>
        <v>84.75</v>
      </c>
      <c r="F210" s="40"/>
      <c r="G210" s="41" t="str">
        <f>Source!DI93</f>
        <v/>
      </c>
      <c r="H210" s="42"/>
      <c r="I210" s="41"/>
      <c r="J210" s="41"/>
      <c r="K210" s="42"/>
      <c r="L210" s="43">
        <f>Source!U93</f>
        <v>25.425000000000001</v>
      </c>
    </row>
    <row r="211" spans="1:26" ht="15" x14ac:dyDescent="0.25">
      <c r="G211" s="69">
        <f>H204+H205+H207+H208+H209</f>
        <v>6053.02</v>
      </c>
      <c r="H211" s="69"/>
      <c r="J211" s="69">
        <f>K204+K205+K207+K208+K209</f>
        <v>36798.76</v>
      </c>
      <c r="K211" s="69"/>
      <c r="L211" s="44">
        <f>Source!U93</f>
        <v>25.425000000000001</v>
      </c>
      <c r="O211" s="27">
        <f>G211</f>
        <v>6053.02</v>
      </c>
      <c r="P211" s="27">
        <f>J211</f>
        <v>36798.76</v>
      </c>
      <c r="Q211" s="27">
        <f>L211</f>
        <v>25.425000000000001</v>
      </c>
      <c r="W211">
        <f>IF(Source!BI93&lt;=1,H204+H205+H207+H208+H209, 0)</f>
        <v>6053.02</v>
      </c>
      <c r="X211">
        <f>IF(Source!BI93=2,H204+H205+H207+H208+H209, 0)</f>
        <v>0</v>
      </c>
      <c r="Y211">
        <f>IF(Source!BI93=3,H204+H205+H207+H208+H209, 0)</f>
        <v>0</v>
      </c>
      <c r="Z211">
        <f>IF(Source!BI93=4,H204+H205+H207+H208+H209, 0)</f>
        <v>0</v>
      </c>
    </row>
    <row r="212" spans="1:26" ht="28.5" x14ac:dyDescent="0.2">
      <c r="A212" s="49" t="str">
        <f>Source!E95</f>
        <v>20</v>
      </c>
      <c r="B212" s="50" t="str">
        <f>Source!F95</f>
        <v>12-01-002-09</v>
      </c>
      <c r="C212" s="50" t="str">
        <f>Source!G95</f>
        <v>Устройство кровель плоских из наплавляемых материалов в два слоя</v>
      </c>
      <c r="D212" s="31" t="str">
        <f>Source!H95</f>
        <v>100 м2</v>
      </c>
      <c r="E212" s="13">
        <f>Source!I95</f>
        <v>0.3</v>
      </c>
      <c r="F212" s="32">
        <f>Source!AL95+Source!AM95+Source!AO95</f>
        <v>341.78</v>
      </c>
      <c r="G212" s="33"/>
      <c r="H212" s="34"/>
      <c r="I212" s="33" t="str">
        <f>Source!BO95</f>
        <v/>
      </c>
      <c r="J212" s="33"/>
      <c r="K212" s="34"/>
      <c r="L212" s="35"/>
      <c r="S212">
        <f>ROUND((Source!FX95/100)*((ROUND(Source!AF95*Source!I95, 2)+ROUND(Source!AE95*Source!I95, 2))), 2)</f>
        <v>51.82</v>
      </c>
      <c r="T212">
        <f>Source!X95</f>
        <v>315.01</v>
      </c>
      <c r="U212">
        <f>ROUND((Source!FY95/100)*((ROUND(Source!AF95*Source!I95, 2)+ROUND(Source!AE95*Source!I95, 2))), 2)</f>
        <v>26.51</v>
      </c>
      <c r="V212">
        <f>Source!Y95</f>
        <v>160.41999999999999</v>
      </c>
    </row>
    <row r="213" spans="1:26" x14ac:dyDescent="0.2">
      <c r="C213" s="26" t="str">
        <f>"Объем: "&amp;Source!I95&amp;"=30/"&amp;"100"</f>
        <v>Объем: 0,3=30/100</v>
      </c>
    </row>
    <row r="214" spans="1:26" ht="14.25" x14ac:dyDescent="0.2">
      <c r="A214" s="49"/>
      <c r="B214" s="50"/>
      <c r="C214" s="50" t="s">
        <v>149</v>
      </c>
      <c r="D214" s="31"/>
      <c r="E214" s="13"/>
      <c r="F214" s="32">
        <f>Source!AO95</f>
        <v>134.97999999999999</v>
      </c>
      <c r="G214" s="33" t="str">
        <f>Source!DG95</f>
        <v>)*1,15</v>
      </c>
      <c r="H214" s="34">
        <f>ROUND(Source!AF95*Source!I95, 2)</f>
        <v>46.57</v>
      </c>
      <c r="I214" s="33"/>
      <c r="J214" s="33">
        <f>IF(Source!BA95&lt;&gt; 0, Source!BA95, 1)</f>
        <v>6.08</v>
      </c>
      <c r="K214" s="34">
        <f>Source!S95</f>
        <v>283.13</v>
      </c>
      <c r="L214" s="35"/>
      <c r="R214">
        <f>H214</f>
        <v>46.57</v>
      </c>
    </row>
    <row r="215" spans="1:26" ht="14.25" x14ac:dyDescent="0.2">
      <c r="A215" s="49"/>
      <c r="B215" s="50"/>
      <c r="C215" s="50" t="s">
        <v>451</v>
      </c>
      <c r="D215" s="31"/>
      <c r="E215" s="13"/>
      <c r="F215" s="32">
        <f>Source!AM95</f>
        <v>24.47</v>
      </c>
      <c r="G215" s="33" t="str">
        <f>Source!DE95</f>
        <v>)*1,25</v>
      </c>
      <c r="H215" s="34">
        <f>ROUND(Source!AD95*Source!I95, 2)</f>
        <v>9.18</v>
      </c>
      <c r="I215" s="33"/>
      <c r="J215" s="33">
        <f>IF(Source!BB95&lt;&gt; 0, Source!BB95, 1)</f>
        <v>6.08</v>
      </c>
      <c r="K215" s="34">
        <f>Source!Q95</f>
        <v>55.79</v>
      </c>
      <c r="L215" s="35"/>
    </row>
    <row r="216" spans="1:26" ht="14.25" x14ac:dyDescent="0.2">
      <c r="A216" s="49"/>
      <c r="B216" s="50"/>
      <c r="C216" s="50" t="s">
        <v>150</v>
      </c>
      <c r="D216" s="31"/>
      <c r="E216" s="13"/>
      <c r="F216" s="32">
        <f>Source!AN95</f>
        <v>3.75</v>
      </c>
      <c r="G216" s="33" t="str">
        <f>Source!DF95</f>
        <v>)*1,25</v>
      </c>
      <c r="H216" s="36">
        <f>ROUND(Source!AE95*Source!I95, 2)</f>
        <v>1.41</v>
      </c>
      <c r="I216" s="33"/>
      <c r="J216" s="33">
        <f>IF(Source!BS95&lt;&gt; 0, Source!BS95, 1)</f>
        <v>6.08</v>
      </c>
      <c r="K216" s="36">
        <f>Source!R95</f>
        <v>8.5500000000000007</v>
      </c>
      <c r="L216" s="35"/>
      <c r="R216">
        <f>H216</f>
        <v>1.41</v>
      </c>
    </row>
    <row r="217" spans="1:26" ht="14.25" x14ac:dyDescent="0.2">
      <c r="A217" s="49"/>
      <c r="B217" s="50"/>
      <c r="C217" s="50" t="s">
        <v>151</v>
      </c>
      <c r="D217" s="31"/>
      <c r="E217" s="13"/>
      <c r="F217" s="32">
        <f>Source!AL95</f>
        <v>182.33</v>
      </c>
      <c r="G217" s="33" t="str">
        <f>Source!DD95</f>
        <v/>
      </c>
      <c r="H217" s="34">
        <f>ROUND(Source!AC95*Source!I95, 2)</f>
        <v>54.7</v>
      </c>
      <c r="I217" s="33"/>
      <c r="J217" s="33">
        <f>IF(Source!BC95&lt;&gt; 0, Source!BC95, 1)</f>
        <v>6.08</v>
      </c>
      <c r="K217" s="34">
        <f>Source!P95</f>
        <v>332.57</v>
      </c>
      <c r="L217" s="35"/>
    </row>
    <row r="218" spans="1:26" ht="14.25" x14ac:dyDescent="0.2">
      <c r="A218" s="49"/>
      <c r="B218" s="50"/>
      <c r="C218" s="50" t="s">
        <v>152</v>
      </c>
      <c r="D218" s="31" t="s">
        <v>153</v>
      </c>
      <c r="E218" s="13">
        <f>Source!BZ95</f>
        <v>120</v>
      </c>
      <c r="F218" s="70" t="str">
        <f>CONCATENATE(" )", Source!DL95, Source!FT95, "=", Source!FX95)</f>
        <v xml:space="preserve"> )*0,9=108</v>
      </c>
      <c r="G218" s="71"/>
      <c r="H218" s="34">
        <f>SUM(S212:S222)</f>
        <v>51.82</v>
      </c>
      <c r="I218" s="37"/>
      <c r="J218" s="29">
        <f>Source!AT95</f>
        <v>108</v>
      </c>
      <c r="K218" s="34">
        <f>SUM(T212:T222)</f>
        <v>315.01</v>
      </c>
      <c r="L218" s="35"/>
    </row>
    <row r="219" spans="1:26" ht="14.25" x14ac:dyDescent="0.2">
      <c r="A219" s="49"/>
      <c r="B219" s="50"/>
      <c r="C219" s="50" t="s">
        <v>154</v>
      </c>
      <c r="D219" s="31" t="s">
        <v>153</v>
      </c>
      <c r="E219" s="13">
        <f>Source!CA95</f>
        <v>65</v>
      </c>
      <c r="F219" s="70" t="str">
        <f>CONCATENATE(" )", Source!DM95, Source!FU95, "=", Source!FY95)</f>
        <v xml:space="preserve"> )*0,85=55,25</v>
      </c>
      <c r="G219" s="71"/>
      <c r="H219" s="34">
        <f>SUM(U212:U222)</f>
        <v>26.51</v>
      </c>
      <c r="I219" s="37"/>
      <c r="J219" s="29">
        <f>Source!AU95</f>
        <v>55</v>
      </c>
      <c r="K219" s="34">
        <f>SUM(V212:V222)</f>
        <v>160.41999999999999</v>
      </c>
      <c r="L219" s="35"/>
    </row>
    <row r="220" spans="1:26" ht="14.25" x14ac:dyDescent="0.2">
      <c r="A220" s="49"/>
      <c r="B220" s="50"/>
      <c r="C220" s="50" t="s">
        <v>155</v>
      </c>
      <c r="D220" s="31" t="s">
        <v>156</v>
      </c>
      <c r="E220" s="13">
        <f>Source!AQ95</f>
        <v>14.36</v>
      </c>
      <c r="F220" s="32"/>
      <c r="G220" s="33" t="str">
        <f>Source!DI95</f>
        <v>)*1,15</v>
      </c>
      <c r="H220" s="34"/>
      <c r="I220" s="33"/>
      <c r="J220" s="33"/>
      <c r="K220" s="34"/>
      <c r="L220" s="45">
        <f>Source!U95</f>
        <v>4.9541999999999993</v>
      </c>
    </row>
    <row r="221" spans="1:26" ht="28.5" x14ac:dyDescent="0.2">
      <c r="A221" s="49" t="str">
        <f>Source!E97</f>
        <v>20,1</v>
      </c>
      <c r="B221" s="50" t="str">
        <f>Source!F97</f>
        <v>12.1.02.04-0142</v>
      </c>
      <c r="C221" s="50" t="str">
        <f>Source!G97</f>
        <v>Унифлекс ТКП</v>
      </c>
      <c r="D221" s="31" t="str">
        <f>Source!H97</f>
        <v>м2</v>
      </c>
      <c r="E221" s="13">
        <f>Source!I97</f>
        <v>34.200000000000003</v>
      </c>
      <c r="F221" s="32">
        <f>Source!AL97+Source!AM97+Source!AO97</f>
        <v>13.67</v>
      </c>
      <c r="G221" s="48" t="s">
        <v>224</v>
      </c>
      <c r="H221" s="34">
        <f>ROUND(Source!AC97*Source!I97, 2)+ROUND(Source!AD97*Source!I97, 2)+ROUND(Source!AF97*Source!I97, 2)</f>
        <v>467.51</v>
      </c>
      <c r="I221" s="33"/>
      <c r="J221" s="33">
        <f>IF(Source!BC97&lt;&gt; 0, Source!BC97, 1)</f>
        <v>6.08</v>
      </c>
      <c r="K221" s="34">
        <f>Source!O97</f>
        <v>2842.49</v>
      </c>
      <c r="L221" s="35"/>
      <c r="S221">
        <f>ROUND((Source!FX97/100)*((ROUND(Source!AF97*Source!I97, 2)+ROUND(Source!AE97*Source!I97, 2))), 2)</f>
        <v>0</v>
      </c>
      <c r="T221">
        <f>Source!X97</f>
        <v>0</v>
      </c>
      <c r="U221">
        <f>ROUND((Source!FY97/100)*((ROUND(Source!AF97*Source!I97, 2)+ROUND(Source!AE97*Source!I97, 2))), 2)</f>
        <v>0</v>
      </c>
      <c r="V221">
        <f>Source!Y97</f>
        <v>0</v>
      </c>
      <c r="W221">
        <f>IF(Source!BI97&lt;=1,H221, 0)</f>
        <v>467.51</v>
      </c>
      <c r="X221">
        <f>IF(Source!BI97=2,H221, 0)</f>
        <v>0</v>
      </c>
      <c r="Y221">
        <f>IF(Source!BI97=3,H221, 0)</f>
        <v>0</v>
      </c>
      <c r="Z221">
        <f>IF(Source!BI97=4,H221, 0)</f>
        <v>0</v>
      </c>
    </row>
    <row r="222" spans="1:26" ht="28.5" x14ac:dyDescent="0.2">
      <c r="A222" s="51" t="str">
        <f>Source!E99</f>
        <v>20,2</v>
      </c>
      <c r="B222" s="52" t="str">
        <f>Source!F99</f>
        <v>12.1.02.04-0143</v>
      </c>
      <c r="C222" s="52" t="str">
        <f>Source!G99</f>
        <v>Унифлекс ТПП</v>
      </c>
      <c r="D222" s="38" t="str">
        <f>Source!H99</f>
        <v>м2</v>
      </c>
      <c r="E222" s="39">
        <f>Source!I99</f>
        <v>34.799999999999997</v>
      </c>
      <c r="F222" s="40">
        <f>Source!AL99+Source!AM99+Source!AO99</f>
        <v>16.22</v>
      </c>
      <c r="G222" s="46" t="s">
        <v>224</v>
      </c>
      <c r="H222" s="42">
        <f>ROUND(Source!AC99*Source!I99, 2)+ROUND(Source!AD99*Source!I99, 2)+ROUND(Source!AF99*Source!I99, 2)</f>
        <v>564.46</v>
      </c>
      <c r="I222" s="41"/>
      <c r="J222" s="41">
        <f>IF(Source!BC99&lt;&gt; 0, Source!BC99, 1)</f>
        <v>6.08</v>
      </c>
      <c r="K222" s="42">
        <f>Source!O99</f>
        <v>3431.89</v>
      </c>
      <c r="L222" s="47"/>
      <c r="S222">
        <f>ROUND((Source!FX99/100)*((ROUND(Source!AF99*Source!I99, 2)+ROUND(Source!AE99*Source!I99, 2))), 2)</f>
        <v>0</v>
      </c>
      <c r="T222">
        <f>Source!X99</f>
        <v>0</v>
      </c>
      <c r="U222">
        <f>ROUND((Source!FY99/100)*((ROUND(Source!AF99*Source!I99, 2)+ROUND(Source!AE99*Source!I99, 2))), 2)</f>
        <v>0</v>
      </c>
      <c r="V222">
        <f>Source!Y99</f>
        <v>0</v>
      </c>
      <c r="W222">
        <f>IF(Source!BI99&lt;=1,H222, 0)</f>
        <v>564.46</v>
      </c>
      <c r="X222">
        <f>IF(Source!BI99=2,H222, 0)</f>
        <v>0</v>
      </c>
      <c r="Y222">
        <f>IF(Source!BI99=3,H222, 0)</f>
        <v>0</v>
      </c>
      <c r="Z222">
        <f>IF(Source!BI99=4,H222, 0)</f>
        <v>0</v>
      </c>
    </row>
    <row r="223" spans="1:26" ht="15" x14ac:dyDescent="0.25">
      <c r="G223" s="69">
        <f>H214+H215+H217+H218+H219+SUM(H221:H222)</f>
        <v>1220.75</v>
      </c>
      <c r="H223" s="69"/>
      <c r="J223" s="69">
        <f>K214+K215+K217+K218+K219+SUM(K221:K222)</f>
        <v>7421.2999999999993</v>
      </c>
      <c r="K223" s="69"/>
      <c r="L223" s="44">
        <f>Source!U95</f>
        <v>4.9541999999999993</v>
      </c>
      <c r="O223" s="27">
        <f>G223</f>
        <v>1220.75</v>
      </c>
      <c r="P223" s="27">
        <f>J223</f>
        <v>7421.2999999999993</v>
      </c>
      <c r="Q223" s="27">
        <f>L223</f>
        <v>4.9541999999999993</v>
      </c>
      <c r="W223">
        <f>IF(Source!BI95&lt;=1,H214+H215+H217+H218+H219, 0)</f>
        <v>188.78</v>
      </c>
      <c r="X223">
        <f>IF(Source!BI95=2,H214+H215+H217+H218+H219, 0)</f>
        <v>0</v>
      </c>
      <c r="Y223">
        <f>IF(Source!BI95=3,H214+H215+H217+H218+H219, 0)</f>
        <v>0</v>
      </c>
      <c r="Z223">
        <f>IF(Source!BI95=4,H214+H215+H217+H218+H219, 0)</f>
        <v>0</v>
      </c>
    </row>
    <row r="224" spans="1:26" ht="42.75" x14ac:dyDescent="0.2">
      <c r="A224" s="49" t="str">
        <f>Source!E101</f>
        <v>21</v>
      </c>
      <c r="B224" s="50" t="str">
        <f>Source!F101</f>
        <v>09-04-011-01</v>
      </c>
      <c r="C224" s="50" t="str">
        <f>Source!G101</f>
        <v>Монтаж каркасов ворот большепролетных зданий, ангаров и др. без механизмов открывания</v>
      </c>
      <c r="D224" s="31" t="str">
        <f>Source!H101</f>
        <v>т</v>
      </c>
      <c r="E224" s="13">
        <f>Source!I101</f>
        <v>0.1</v>
      </c>
      <c r="F224" s="32">
        <f>Source!AL101+Source!AM101+Source!AO101</f>
        <v>3392.28</v>
      </c>
      <c r="G224" s="33"/>
      <c r="H224" s="34"/>
      <c r="I224" s="33" t="str">
        <f>Source!BO101</f>
        <v/>
      </c>
      <c r="J224" s="33"/>
      <c r="K224" s="34"/>
      <c r="L224" s="35"/>
      <c r="S224">
        <f>ROUND((Source!FX101/100)*((ROUND(Source!AF101*Source!I101, 2)+ROUND(Source!AE101*Source!I101, 2))), 2)</f>
        <v>56</v>
      </c>
      <c r="T224">
        <f>Source!X101</f>
        <v>340.43</v>
      </c>
      <c r="U224">
        <f>ROUND((Source!FY101/100)*((ROUND(Source!AF101*Source!I101, 2)+ROUND(Source!AE101*Source!I101, 2))), 2)</f>
        <v>49.95</v>
      </c>
      <c r="V224">
        <f>Source!Y101</f>
        <v>302.61</v>
      </c>
    </row>
    <row r="225" spans="1:26" ht="14.25" x14ac:dyDescent="0.2">
      <c r="A225" s="49"/>
      <c r="B225" s="50"/>
      <c r="C225" s="50" t="s">
        <v>149</v>
      </c>
      <c r="D225" s="31"/>
      <c r="E225" s="13"/>
      <c r="F225" s="32">
        <f>Source!AO101</f>
        <v>466.48</v>
      </c>
      <c r="G225" s="33" t="str">
        <f>Source!DG101</f>
        <v>)*1,15</v>
      </c>
      <c r="H225" s="34">
        <f>ROUND(Source!AF101*Source!I101, 2)</f>
        <v>53.65</v>
      </c>
      <c r="I225" s="33"/>
      <c r="J225" s="33">
        <f>IF(Source!BA101&lt;&gt; 0, Source!BA101, 1)</f>
        <v>6.08</v>
      </c>
      <c r="K225" s="34">
        <f>Source!S101</f>
        <v>326.16000000000003</v>
      </c>
      <c r="L225" s="35"/>
      <c r="R225">
        <f>H225</f>
        <v>53.65</v>
      </c>
    </row>
    <row r="226" spans="1:26" ht="14.25" x14ac:dyDescent="0.2">
      <c r="A226" s="49"/>
      <c r="B226" s="50"/>
      <c r="C226" s="50" t="s">
        <v>451</v>
      </c>
      <c r="D226" s="31"/>
      <c r="E226" s="13"/>
      <c r="F226" s="32">
        <f>Source!AM101</f>
        <v>2435.58</v>
      </c>
      <c r="G226" s="33" t="str">
        <f>Source!DE101</f>
        <v>)*1,25</v>
      </c>
      <c r="H226" s="34">
        <f>ROUND(Source!AD101*Source!I101, 2)</f>
        <v>304.45</v>
      </c>
      <c r="I226" s="33"/>
      <c r="J226" s="33">
        <f>IF(Source!BB101&lt;&gt; 0, Source!BB101, 1)</f>
        <v>6.08</v>
      </c>
      <c r="K226" s="34">
        <f>Source!Q101</f>
        <v>1851.04</v>
      </c>
      <c r="L226" s="35"/>
    </row>
    <row r="227" spans="1:26" ht="14.25" x14ac:dyDescent="0.2">
      <c r="A227" s="49"/>
      <c r="B227" s="50"/>
      <c r="C227" s="50" t="s">
        <v>150</v>
      </c>
      <c r="D227" s="31"/>
      <c r="E227" s="13"/>
      <c r="F227" s="32">
        <f>Source!AN101</f>
        <v>123.85</v>
      </c>
      <c r="G227" s="33" t="str">
        <f>Source!DF101</f>
        <v>)*1,25</v>
      </c>
      <c r="H227" s="36">
        <f>ROUND(Source!AE101*Source!I101, 2)</f>
        <v>15.48</v>
      </c>
      <c r="I227" s="33"/>
      <c r="J227" s="33">
        <f>IF(Source!BS101&lt;&gt; 0, Source!BS101, 1)</f>
        <v>6.08</v>
      </c>
      <c r="K227" s="36">
        <f>Source!R101</f>
        <v>94.13</v>
      </c>
      <c r="L227" s="35"/>
      <c r="R227">
        <f>H227</f>
        <v>15.48</v>
      </c>
    </row>
    <row r="228" spans="1:26" ht="14.25" x14ac:dyDescent="0.2">
      <c r="A228" s="49"/>
      <c r="B228" s="50"/>
      <c r="C228" s="50" t="s">
        <v>151</v>
      </c>
      <c r="D228" s="31"/>
      <c r="E228" s="13"/>
      <c r="F228" s="32">
        <f>Source!AL101</f>
        <v>490.22</v>
      </c>
      <c r="G228" s="33" t="str">
        <f>Source!DD101</f>
        <v/>
      </c>
      <c r="H228" s="34">
        <f>ROUND(Source!AC101*Source!I101, 2)</f>
        <v>49.02</v>
      </c>
      <c r="I228" s="33"/>
      <c r="J228" s="33">
        <f>IF(Source!BC101&lt;&gt; 0, Source!BC101, 1)</f>
        <v>6.08</v>
      </c>
      <c r="K228" s="34">
        <f>Source!P101</f>
        <v>298.05</v>
      </c>
      <c r="L228" s="35"/>
    </row>
    <row r="229" spans="1:26" ht="14.25" x14ac:dyDescent="0.2">
      <c r="A229" s="49"/>
      <c r="B229" s="50"/>
      <c r="C229" s="50" t="s">
        <v>152</v>
      </c>
      <c r="D229" s="31" t="s">
        <v>153</v>
      </c>
      <c r="E229" s="13">
        <f>Source!BZ101</f>
        <v>90</v>
      </c>
      <c r="F229" s="70" t="str">
        <f>CONCATENATE(" )", Source!DL101, Source!FT101, "=", Source!FX101)</f>
        <v xml:space="preserve"> )*0,9=81</v>
      </c>
      <c r="G229" s="71"/>
      <c r="H229" s="34">
        <f>SUM(S224:S232)</f>
        <v>56</v>
      </c>
      <c r="I229" s="37"/>
      <c r="J229" s="29">
        <f>Source!AT101</f>
        <v>81</v>
      </c>
      <c r="K229" s="34">
        <f>SUM(T224:T232)</f>
        <v>340.43</v>
      </c>
      <c r="L229" s="35"/>
    </row>
    <row r="230" spans="1:26" ht="14.25" x14ac:dyDescent="0.2">
      <c r="A230" s="49"/>
      <c r="B230" s="50"/>
      <c r="C230" s="50" t="s">
        <v>154</v>
      </c>
      <c r="D230" s="31" t="s">
        <v>153</v>
      </c>
      <c r="E230" s="13">
        <f>Source!CA101</f>
        <v>85</v>
      </c>
      <c r="F230" s="70" t="str">
        <f>CONCATENATE(" )", Source!DM101, Source!FU101, "=", Source!FY101)</f>
        <v xml:space="preserve"> )*0,85=72,25</v>
      </c>
      <c r="G230" s="71"/>
      <c r="H230" s="34">
        <f>SUM(U224:U232)</f>
        <v>49.95</v>
      </c>
      <c r="I230" s="37"/>
      <c r="J230" s="29">
        <f>Source!AU101</f>
        <v>72</v>
      </c>
      <c r="K230" s="34">
        <f>SUM(V224:V232)</f>
        <v>302.61</v>
      </c>
      <c r="L230" s="35"/>
    </row>
    <row r="231" spans="1:26" ht="14.25" x14ac:dyDescent="0.2">
      <c r="A231" s="49"/>
      <c r="B231" s="50"/>
      <c r="C231" s="50" t="s">
        <v>155</v>
      </c>
      <c r="D231" s="31" t="s">
        <v>156</v>
      </c>
      <c r="E231" s="13">
        <f>Source!AQ101</f>
        <v>46.37</v>
      </c>
      <c r="F231" s="32"/>
      <c r="G231" s="33" t="str">
        <f>Source!DI101</f>
        <v>)*1,15</v>
      </c>
      <c r="H231" s="34"/>
      <c r="I231" s="33"/>
      <c r="J231" s="33"/>
      <c r="K231" s="34"/>
      <c r="L231" s="45">
        <f>Source!U101</f>
        <v>5.3325499999999995</v>
      </c>
    </row>
    <row r="232" spans="1:26" ht="28.5" x14ac:dyDescent="0.2">
      <c r="A232" s="51" t="str">
        <f>Source!E103</f>
        <v>21,1</v>
      </c>
      <c r="B232" s="52" t="str">
        <f>Source!F103</f>
        <v>08.1.06.01-0014</v>
      </c>
      <c r="C232" s="52" t="str">
        <f>Source!G103</f>
        <v>Ворота распашные складчатые РСВ 2,67х2,56 м</v>
      </c>
      <c r="D232" s="38" t="str">
        <f>Source!H103</f>
        <v>шт.</v>
      </c>
      <c r="E232" s="39">
        <f>Source!I103</f>
        <v>1</v>
      </c>
      <c r="F232" s="40">
        <f>Source!AL103+Source!AM103+Source!AO103</f>
        <v>11688.87</v>
      </c>
      <c r="G232" s="46" t="s">
        <v>224</v>
      </c>
      <c r="H232" s="42">
        <f>ROUND(Source!AC103*Source!I103, 2)+ROUND(Source!AD103*Source!I103, 2)+ROUND(Source!AF103*Source!I103, 2)</f>
        <v>11688.87</v>
      </c>
      <c r="I232" s="41"/>
      <c r="J232" s="41">
        <f>IF(Source!BC103&lt;&gt; 0, Source!BC103, 1)</f>
        <v>6.08</v>
      </c>
      <c r="K232" s="42">
        <f>Source!O103</f>
        <v>71068.33</v>
      </c>
      <c r="L232" s="47"/>
      <c r="S232">
        <f>ROUND((Source!FX103/100)*((ROUND(Source!AF103*Source!I103, 2)+ROUND(Source!AE103*Source!I103, 2))), 2)</f>
        <v>0</v>
      </c>
      <c r="T232">
        <f>Source!X103</f>
        <v>0</v>
      </c>
      <c r="U232">
        <f>ROUND((Source!FY103/100)*((ROUND(Source!AF103*Source!I103, 2)+ROUND(Source!AE103*Source!I103, 2))), 2)</f>
        <v>0</v>
      </c>
      <c r="V232">
        <f>Source!Y103</f>
        <v>0</v>
      </c>
      <c r="W232">
        <f>IF(Source!BI103&lt;=1,H232, 0)</f>
        <v>11688.87</v>
      </c>
      <c r="X232">
        <f>IF(Source!BI103=2,H232, 0)</f>
        <v>0</v>
      </c>
      <c r="Y232">
        <f>IF(Source!BI103=3,H232, 0)</f>
        <v>0</v>
      </c>
      <c r="Z232">
        <f>IF(Source!BI103=4,H232, 0)</f>
        <v>0</v>
      </c>
    </row>
    <row r="233" spans="1:26" ht="15" x14ac:dyDescent="0.25">
      <c r="G233" s="69">
        <f>H225+H226+H228+H229+H230+SUM(H232:H232)</f>
        <v>12201.94</v>
      </c>
      <c r="H233" s="69"/>
      <c r="J233" s="69">
        <f>K225+K226+K228+K229+K230+SUM(K232:K232)</f>
        <v>74186.62</v>
      </c>
      <c r="K233" s="69"/>
      <c r="L233" s="44">
        <f>Source!U101</f>
        <v>5.3325499999999995</v>
      </c>
      <c r="O233" s="27">
        <f>G233</f>
        <v>12201.94</v>
      </c>
      <c r="P233" s="27">
        <f>J233</f>
        <v>74186.62</v>
      </c>
      <c r="Q233" s="27">
        <f>L233</f>
        <v>5.3325499999999995</v>
      </c>
      <c r="W233">
        <f>IF(Source!BI101&lt;=1,H225+H226+H228+H229+H230, 0)</f>
        <v>513.06999999999994</v>
      </c>
      <c r="X233">
        <f>IF(Source!BI101=2,H225+H226+H228+H229+H230, 0)</f>
        <v>0</v>
      </c>
      <c r="Y233">
        <f>IF(Source!BI101=3,H225+H226+H228+H229+H230, 0)</f>
        <v>0</v>
      </c>
      <c r="Z233">
        <f>IF(Source!BI101=4,H225+H226+H228+H229+H230, 0)</f>
        <v>0</v>
      </c>
    </row>
    <row r="234" spans="1:26" ht="28.5" x14ac:dyDescent="0.2">
      <c r="A234" s="49" t="str">
        <f>Source!E105</f>
        <v>22</v>
      </c>
      <c r="B234" s="50" t="str">
        <f>Source!F105</f>
        <v>09-04-012-01</v>
      </c>
      <c r="C234" s="50" t="str">
        <f>Source!G105</f>
        <v>Монтаж  металлических дверных блоков в готовые проемы</v>
      </c>
      <c r="D234" s="31" t="str">
        <f>Source!H105</f>
        <v>м2</v>
      </c>
      <c r="E234" s="13">
        <f>Source!I105</f>
        <v>10.31</v>
      </c>
      <c r="F234" s="32">
        <f>Source!AL105+Source!AM105+Source!AO105</f>
        <v>63.94</v>
      </c>
      <c r="G234" s="33"/>
      <c r="H234" s="34"/>
      <c r="I234" s="33" t="str">
        <f>Source!BO105</f>
        <v/>
      </c>
      <c r="J234" s="33"/>
      <c r="K234" s="34"/>
      <c r="L234" s="35"/>
      <c r="S234">
        <f>ROUND((Source!FX105/100)*((ROUND(Source!AF105*Source!I105, 2)+ROUND(Source!AE105*Source!I105, 2))), 2)</f>
        <v>249.23</v>
      </c>
      <c r="T234">
        <f>Source!X105</f>
        <v>1515.32</v>
      </c>
      <c r="U234">
        <f>ROUND((Source!FY105/100)*((ROUND(Source!AF105*Source!I105, 2)+ROUND(Source!AE105*Source!I105, 2))), 2)</f>
        <v>222.31</v>
      </c>
      <c r="V234">
        <f>Source!Y105</f>
        <v>1346.95</v>
      </c>
    </row>
    <row r="235" spans="1:26" ht="14.25" x14ac:dyDescent="0.2">
      <c r="A235" s="49"/>
      <c r="B235" s="50"/>
      <c r="C235" s="50" t="s">
        <v>149</v>
      </c>
      <c r="D235" s="31"/>
      <c r="E235" s="13"/>
      <c r="F235" s="32">
        <f>Source!AO105</f>
        <v>23.81</v>
      </c>
      <c r="G235" s="33" t="str">
        <f>Source!DG105</f>
        <v>)*1,15</v>
      </c>
      <c r="H235" s="34">
        <f>ROUND(Source!AF105*Source!I105, 2)</f>
        <v>282.3</v>
      </c>
      <c r="I235" s="33"/>
      <c r="J235" s="33">
        <f>IF(Source!BA105&lt;&gt; 0, Source!BA105, 1)</f>
        <v>6.08</v>
      </c>
      <c r="K235" s="34">
        <f>Source!S105</f>
        <v>1716.4</v>
      </c>
      <c r="L235" s="35"/>
      <c r="R235">
        <f>H235</f>
        <v>282.3</v>
      </c>
    </row>
    <row r="236" spans="1:26" ht="14.25" x14ac:dyDescent="0.2">
      <c r="A236" s="49"/>
      <c r="B236" s="50"/>
      <c r="C236" s="50" t="s">
        <v>451</v>
      </c>
      <c r="D236" s="31"/>
      <c r="E236" s="13"/>
      <c r="F236" s="32">
        <f>Source!AM105</f>
        <v>14.41</v>
      </c>
      <c r="G236" s="33" t="str">
        <f>Source!DE105</f>
        <v>)*1,25</v>
      </c>
      <c r="H236" s="34">
        <f>ROUND(Source!AD105*Source!I105, 2)</f>
        <v>185.71</v>
      </c>
      <c r="I236" s="33"/>
      <c r="J236" s="33">
        <f>IF(Source!BB105&lt;&gt; 0, Source!BB105, 1)</f>
        <v>6.08</v>
      </c>
      <c r="K236" s="34">
        <f>Source!Q105</f>
        <v>1129.1099999999999</v>
      </c>
      <c r="L236" s="35"/>
    </row>
    <row r="237" spans="1:26" ht="14.25" x14ac:dyDescent="0.2">
      <c r="A237" s="49"/>
      <c r="B237" s="50"/>
      <c r="C237" s="50" t="s">
        <v>150</v>
      </c>
      <c r="D237" s="31"/>
      <c r="E237" s="13"/>
      <c r="F237" s="32">
        <f>Source!AN105</f>
        <v>1.97</v>
      </c>
      <c r="G237" s="33" t="str">
        <f>Source!DF105</f>
        <v>)*1,25</v>
      </c>
      <c r="H237" s="36">
        <f>ROUND(Source!AE105*Source!I105, 2)</f>
        <v>25.39</v>
      </c>
      <c r="I237" s="33"/>
      <c r="J237" s="33">
        <f>IF(Source!BS105&lt;&gt; 0, Source!BS105, 1)</f>
        <v>6.08</v>
      </c>
      <c r="K237" s="36">
        <f>Source!R105</f>
        <v>154.36000000000001</v>
      </c>
      <c r="L237" s="35"/>
      <c r="R237">
        <f>H237</f>
        <v>25.39</v>
      </c>
    </row>
    <row r="238" spans="1:26" ht="14.25" x14ac:dyDescent="0.2">
      <c r="A238" s="49"/>
      <c r="B238" s="50"/>
      <c r="C238" s="50" t="s">
        <v>151</v>
      </c>
      <c r="D238" s="31"/>
      <c r="E238" s="13"/>
      <c r="F238" s="32">
        <f>Source!AL105</f>
        <v>25.72</v>
      </c>
      <c r="G238" s="33" t="str">
        <f>Source!DD105</f>
        <v/>
      </c>
      <c r="H238" s="34">
        <f>ROUND(Source!AC105*Source!I105, 2)</f>
        <v>265.17</v>
      </c>
      <c r="I238" s="33"/>
      <c r="J238" s="33">
        <f>IF(Source!BC105&lt;&gt; 0, Source!BC105, 1)</f>
        <v>6.08</v>
      </c>
      <c r="K238" s="34">
        <f>Source!P105</f>
        <v>1612.25</v>
      </c>
      <c r="L238" s="35"/>
    </row>
    <row r="239" spans="1:26" ht="14.25" x14ac:dyDescent="0.2">
      <c r="A239" s="49"/>
      <c r="B239" s="50"/>
      <c r="C239" s="50" t="s">
        <v>152</v>
      </c>
      <c r="D239" s="31" t="s">
        <v>153</v>
      </c>
      <c r="E239" s="13">
        <f>Source!BZ105</f>
        <v>90</v>
      </c>
      <c r="F239" s="70" t="str">
        <f>CONCATENATE(" )", Source!DL105, Source!FT105, "=", Source!FX105)</f>
        <v xml:space="preserve"> )*0,9=81</v>
      </c>
      <c r="G239" s="71"/>
      <c r="H239" s="34">
        <f>SUM(S234:S244)</f>
        <v>249.23</v>
      </c>
      <c r="I239" s="37"/>
      <c r="J239" s="29">
        <f>Source!AT105</f>
        <v>81</v>
      </c>
      <c r="K239" s="34">
        <f>SUM(T234:T244)</f>
        <v>1515.32</v>
      </c>
      <c r="L239" s="35"/>
    </row>
    <row r="240" spans="1:26" ht="14.25" x14ac:dyDescent="0.2">
      <c r="A240" s="49"/>
      <c r="B240" s="50"/>
      <c r="C240" s="50" t="s">
        <v>154</v>
      </c>
      <c r="D240" s="31" t="s">
        <v>153</v>
      </c>
      <c r="E240" s="13">
        <f>Source!CA105</f>
        <v>85</v>
      </c>
      <c r="F240" s="70" t="str">
        <f>CONCATENATE(" )", Source!DM105, Source!FU105, "=", Source!FY105)</f>
        <v xml:space="preserve"> )*0,85=72,25</v>
      </c>
      <c r="G240" s="71"/>
      <c r="H240" s="34">
        <f>SUM(U234:U244)</f>
        <v>222.31</v>
      </c>
      <c r="I240" s="37"/>
      <c r="J240" s="29">
        <f>Source!AU105</f>
        <v>72</v>
      </c>
      <c r="K240" s="34">
        <f>SUM(V234:V244)</f>
        <v>1346.95</v>
      </c>
      <c r="L240" s="35"/>
    </row>
    <row r="241" spans="1:26" ht="14.25" x14ac:dyDescent="0.2">
      <c r="A241" s="49"/>
      <c r="B241" s="50"/>
      <c r="C241" s="50" t="s">
        <v>155</v>
      </c>
      <c r="D241" s="31" t="s">
        <v>156</v>
      </c>
      <c r="E241" s="13">
        <f>Source!AQ105</f>
        <v>2.4</v>
      </c>
      <c r="F241" s="32"/>
      <c r="G241" s="33" t="str">
        <f>Source!DI105</f>
        <v>)*1,15</v>
      </c>
      <c r="H241" s="34"/>
      <c r="I241" s="33"/>
      <c r="J241" s="33"/>
      <c r="K241" s="34"/>
      <c r="L241" s="45">
        <f>Source!U105</f>
        <v>28.4556</v>
      </c>
    </row>
    <row r="242" spans="1:26" ht="42.75" x14ac:dyDescent="0.2">
      <c r="A242" s="49" t="str">
        <f>Source!E107</f>
        <v>22,1</v>
      </c>
      <c r="B242" s="50" t="str">
        <f>Source!F107</f>
        <v>07.1.01.03-0021</v>
      </c>
      <c r="C242" s="50" t="str">
        <f>Source!G107</f>
        <v>Дверь металлическая распашная с притвором, двупольная с порогомразмером  2,0х1,33м</v>
      </c>
      <c r="D242" s="31" t="str">
        <f>Source!H107</f>
        <v>шт.</v>
      </c>
      <c r="E242" s="13">
        <f>Source!I107</f>
        <v>1</v>
      </c>
      <c r="F242" s="32">
        <f>Source!AL107+Source!AM107+Source!AO107</f>
        <v>3462.65</v>
      </c>
      <c r="G242" s="48" t="s">
        <v>224</v>
      </c>
      <c r="H242" s="34">
        <f>ROUND(Source!AC107*Source!I107, 2)+ROUND(Source!AD107*Source!I107, 2)+ROUND(Source!AF107*Source!I107, 2)</f>
        <v>3462.65</v>
      </c>
      <c r="I242" s="33"/>
      <c r="J242" s="33">
        <f>IF(Source!BC107&lt;&gt; 0, Source!BC107, 1)</f>
        <v>6.08</v>
      </c>
      <c r="K242" s="34">
        <f>Source!O107</f>
        <v>21052.91</v>
      </c>
      <c r="L242" s="35"/>
      <c r="S242">
        <f>ROUND((Source!FX107/100)*((ROUND(Source!AF107*Source!I107, 2)+ROUND(Source!AE107*Source!I107, 2))), 2)</f>
        <v>0</v>
      </c>
      <c r="T242">
        <f>Source!X107</f>
        <v>0</v>
      </c>
      <c r="U242">
        <f>ROUND((Source!FY107/100)*((ROUND(Source!AF107*Source!I107, 2)+ROUND(Source!AE107*Source!I107, 2))), 2)</f>
        <v>0</v>
      </c>
      <c r="V242">
        <f>Source!Y107</f>
        <v>0</v>
      </c>
      <c r="W242">
        <f>IF(Source!BI107&lt;=1,H242, 0)</f>
        <v>3462.65</v>
      </c>
      <c r="X242">
        <f>IF(Source!BI107=2,H242, 0)</f>
        <v>0</v>
      </c>
      <c r="Y242">
        <f>IF(Source!BI107=3,H242, 0)</f>
        <v>0</v>
      </c>
      <c r="Z242">
        <f>IF(Source!BI107=4,H242, 0)</f>
        <v>0</v>
      </c>
    </row>
    <row r="243" spans="1:26" ht="42.75" x14ac:dyDescent="0.25">
      <c r="A243" s="49" t="str">
        <f>Source!E109</f>
        <v>22,2</v>
      </c>
      <c r="B243" s="50" t="str">
        <f>Source!F109</f>
        <v>07.1.01.03-0002</v>
      </c>
      <c r="C243" s="50" t="str">
        <f>Source!G109</f>
        <v>Дверь металлическая распашная с притвором, двупольная с порогом размером 2,1х2,32 м</v>
      </c>
      <c r="D243" s="31" t="str">
        <f>Source!H109</f>
        <v>м2</v>
      </c>
      <c r="E243" s="13">
        <f>Source!I109</f>
        <v>4.87</v>
      </c>
      <c r="F243" s="32">
        <f>Source!AL109+Source!AM109+Source!AO109</f>
        <v>1465.11</v>
      </c>
      <c r="G243" s="48" t="s">
        <v>224</v>
      </c>
      <c r="H243" s="34">
        <f>ROUND(Source!AC109*Source!I109, 2)+ROUND(Source!AD109*Source!I109, 2)+ROUND(Source!AF109*Source!I109, 2)</f>
        <v>7135.09</v>
      </c>
      <c r="I243" s="33"/>
      <c r="J243" s="33">
        <f>IF(Source!BC109&lt;&gt; 0, Source!BC109, 1)</f>
        <v>6.08</v>
      </c>
      <c r="K243" s="34">
        <f>Source!O109</f>
        <v>43381.32</v>
      </c>
      <c r="L243" s="35"/>
      <c r="S243">
        <f>ROUND((Source!FX109/100)*((ROUND(Source!AF109*Source!I109, 2)+ROUND(Source!AE109*Source!I109, 2))), 2)</f>
        <v>0</v>
      </c>
      <c r="T243">
        <f>Source!X109</f>
        <v>0</v>
      </c>
      <c r="U243">
        <f>ROUND((Source!FY109/100)*((ROUND(Source!AF109*Source!I109, 2)+ROUND(Source!AE109*Source!I109, 2))), 2)</f>
        <v>0</v>
      </c>
      <c r="V243">
        <f>Source!Y109</f>
        <v>0</v>
      </c>
      <c r="W243">
        <f>IF(Source!BI109&lt;=1,H243, 0)</f>
        <v>7135.09</v>
      </c>
      <c r="X243">
        <f>IF(Source!BI109=2,H243, 0)</f>
        <v>0</v>
      </c>
      <c r="Y243">
        <f>IF(Source!BI109=3,H243, 0)</f>
        <v>0</v>
      </c>
      <c r="Z243">
        <f>IF(Source!BI109=4,H243, 0)</f>
        <v>0</v>
      </c>
    </row>
    <row r="244" spans="1:26" ht="42.75" x14ac:dyDescent="0.2">
      <c r="A244" s="51" t="str">
        <f>Source!E111</f>
        <v>22,3</v>
      </c>
      <c r="B244" s="52" t="str">
        <f>Source!F111</f>
        <v>07.1.01.03-0022</v>
      </c>
      <c r="C244" s="52" t="str">
        <f>Source!G111</f>
        <v>Дверь металлическая двупольная , распашная с притвором , с порогом   размером  2,25х1,23 м</v>
      </c>
      <c r="D244" s="38" t="str">
        <f>Source!H111</f>
        <v>шт.</v>
      </c>
      <c r="E244" s="39">
        <f>Source!I111</f>
        <v>1</v>
      </c>
      <c r="F244" s="40">
        <f>Source!AL111+Source!AM111+Source!AO111</f>
        <v>3739.42</v>
      </c>
      <c r="G244" s="46" t="s">
        <v>224</v>
      </c>
      <c r="H244" s="42">
        <f>ROUND(Source!AC111*Source!I111, 2)+ROUND(Source!AD111*Source!I111, 2)+ROUND(Source!AF111*Source!I111, 2)</f>
        <v>3739.42</v>
      </c>
      <c r="I244" s="41"/>
      <c r="J244" s="41">
        <f>IF(Source!BC111&lt;&gt; 0, Source!BC111, 1)</f>
        <v>6.08</v>
      </c>
      <c r="K244" s="42">
        <f>Source!O111</f>
        <v>22735.67</v>
      </c>
      <c r="L244" s="47"/>
      <c r="S244">
        <f>ROUND((Source!FX111/100)*((ROUND(Source!AF111*Source!I111, 2)+ROUND(Source!AE111*Source!I111, 2))), 2)</f>
        <v>0</v>
      </c>
      <c r="T244">
        <f>Source!X111</f>
        <v>0</v>
      </c>
      <c r="U244">
        <f>ROUND((Source!FY111/100)*((ROUND(Source!AF111*Source!I111, 2)+ROUND(Source!AE111*Source!I111, 2))), 2)</f>
        <v>0</v>
      </c>
      <c r="V244">
        <f>Source!Y111</f>
        <v>0</v>
      </c>
      <c r="W244">
        <f>IF(Source!BI111&lt;=1,H244, 0)</f>
        <v>3739.42</v>
      </c>
      <c r="X244">
        <f>IF(Source!BI111=2,H244, 0)</f>
        <v>0</v>
      </c>
      <c r="Y244">
        <f>IF(Source!BI111=3,H244, 0)</f>
        <v>0</v>
      </c>
      <c r="Z244">
        <f>IF(Source!BI111=4,H244, 0)</f>
        <v>0</v>
      </c>
    </row>
    <row r="245" spans="1:26" ht="15" x14ac:dyDescent="0.25">
      <c r="G245" s="69">
        <f>H235+H236+H238+H239+H240+SUM(H242:H244)</f>
        <v>15541.88</v>
      </c>
      <c r="H245" s="69"/>
      <c r="J245" s="69">
        <f>K235+K236+K238+K239+K240+SUM(K242:K244)</f>
        <v>94489.93</v>
      </c>
      <c r="K245" s="69"/>
      <c r="L245" s="44">
        <f>Source!U105</f>
        <v>28.4556</v>
      </c>
      <c r="O245" s="27">
        <f>G245</f>
        <v>15541.88</v>
      </c>
      <c r="P245" s="27">
        <f>J245</f>
        <v>94489.93</v>
      </c>
      <c r="Q245" s="27">
        <f>L245</f>
        <v>28.4556</v>
      </c>
      <c r="W245">
        <f>IF(Source!BI105&lt;=1,H235+H236+H238+H239+H240, 0)</f>
        <v>1204.72</v>
      </c>
      <c r="X245">
        <f>IF(Source!BI105=2,H235+H236+H238+H239+H240, 0)</f>
        <v>0</v>
      </c>
      <c r="Y245">
        <f>IF(Source!BI105=3,H235+H236+H238+H239+H240, 0)</f>
        <v>0</v>
      </c>
      <c r="Z245">
        <f>IF(Source!BI105=4,H235+H236+H238+H239+H240, 0)</f>
        <v>0</v>
      </c>
    </row>
    <row r="247" spans="1:26" ht="15" x14ac:dyDescent="0.25">
      <c r="A247" s="72" t="str">
        <f>CONCATENATE("Итого по разделу: ",IF(Source!G113&lt;&gt;"Новый раздел", Source!G113, ""))</f>
        <v>Итого по разделу: Общестроительные работы</v>
      </c>
      <c r="B247" s="72"/>
      <c r="C247" s="72"/>
      <c r="D247" s="72"/>
      <c r="E247" s="72"/>
      <c r="F247" s="72"/>
      <c r="G247" s="74">
        <f>SUM(O26:O246)</f>
        <v>190139.16</v>
      </c>
      <c r="H247" s="74"/>
      <c r="I247" s="28"/>
      <c r="J247" s="74">
        <f>SUM(P26:P246)</f>
        <v>1156358.32</v>
      </c>
      <c r="K247" s="74"/>
      <c r="L247" s="44">
        <f>SUM(Q26:Q246)</f>
        <v>2063.4745019999991</v>
      </c>
    </row>
    <row r="249" spans="1:26" ht="16.5" x14ac:dyDescent="0.25">
      <c r="A249" s="73" t="str">
        <f>CONCATENATE("Раздел: ",IF(Source!G145&lt;&gt;"Новый раздел", Source!G145, ""))</f>
        <v>Раздел: Сантехнические работы</v>
      </c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</row>
    <row r="250" spans="1:26" ht="42.75" x14ac:dyDescent="0.2">
      <c r="A250" s="49" t="str">
        <f>Source!E150</f>
        <v>23</v>
      </c>
      <c r="B250" s="50" t="str">
        <f>Source!F150</f>
        <v>65-1-1</v>
      </c>
      <c r="C250" s="50" t="str">
        <f>Source!G150</f>
        <v>Разборка трубопроводов из водогазопроводных труб диаметром до 32 мм</v>
      </c>
      <c r="D250" s="31" t="str">
        <f>Source!H150</f>
        <v>100 м</v>
      </c>
      <c r="E250" s="13">
        <f>Source!I150</f>
        <v>0.01</v>
      </c>
      <c r="F250" s="32">
        <f>Source!AL150+Source!AM150+Source!AO150</f>
        <v>328.71</v>
      </c>
      <c r="G250" s="33"/>
      <c r="H250" s="34"/>
      <c r="I250" s="33" t="str">
        <f>Source!BO150</f>
        <v/>
      </c>
      <c r="J250" s="33"/>
      <c r="K250" s="34"/>
      <c r="L250" s="35"/>
      <c r="S250">
        <f>ROUND((Source!FX150/100)*((ROUND(Source!AF150*Source!I150, 2)+ROUND(Source!AE150*Source!I150, 2))), 2)</f>
        <v>2.14</v>
      </c>
      <c r="T250">
        <f>Source!X150</f>
        <v>13.02</v>
      </c>
      <c r="U250">
        <f>ROUND((Source!FY150/100)*((ROUND(Source!AF150*Source!I150, 2)+ROUND(Source!AE150*Source!I150, 2))), 2)</f>
        <v>1.45</v>
      </c>
      <c r="V250">
        <f>Source!Y150</f>
        <v>8.8000000000000007</v>
      </c>
    </row>
    <row r="251" spans="1:26" x14ac:dyDescent="0.2">
      <c r="C251" s="26" t="str">
        <f>"Объем: "&amp;Source!I150&amp;"=1/"&amp;"100"</f>
        <v>Объем: 0,01=1/100</v>
      </c>
    </row>
    <row r="252" spans="1:26" ht="14.25" x14ac:dyDescent="0.2">
      <c r="A252" s="49"/>
      <c r="B252" s="50"/>
      <c r="C252" s="50" t="s">
        <v>149</v>
      </c>
      <c r="D252" s="31"/>
      <c r="E252" s="13"/>
      <c r="F252" s="32">
        <f>Source!AO150</f>
        <v>288.02</v>
      </c>
      <c r="G252" s="33" t="str">
        <f>Source!DG150</f>
        <v/>
      </c>
      <c r="H252" s="34">
        <f>ROUND(Source!AF150*Source!I150, 2)</f>
        <v>2.88</v>
      </c>
      <c r="I252" s="33"/>
      <c r="J252" s="33">
        <f>IF(Source!BA150&lt;&gt; 0, Source!BA150, 1)</f>
        <v>6.08</v>
      </c>
      <c r="K252" s="34">
        <f>Source!S150</f>
        <v>17.510000000000002</v>
      </c>
      <c r="L252" s="35"/>
      <c r="R252">
        <f>H252</f>
        <v>2.88</v>
      </c>
    </row>
    <row r="253" spans="1:26" ht="14.25" x14ac:dyDescent="0.2">
      <c r="A253" s="49"/>
      <c r="B253" s="50"/>
      <c r="C253" s="50" t="s">
        <v>451</v>
      </c>
      <c r="D253" s="31"/>
      <c r="E253" s="13"/>
      <c r="F253" s="32">
        <f>Source!AM150</f>
        <v>7.09</v>
      </c>
      <c r="G253" s="33" t="str">
        <f>Source!DE150</f>
        <v/>
      </c>
      <c r="H253" s="34">
        <f>ROUND(Source!AD150*Source!I150, 2)</f>
        <v>7.0000000000000007E-2</v>
      </c>
      <c r="I253" s="33"/>
      <c r="J253" s="33">
        <f>IF(Source!BB150&lt;&gt; 0, Source!BB150, 1)</f>
        <v>6.08</v>
      </c>
      <c r="K253" s="34">
        <f>Source!Q150</f>
        <v>0.43</v>
      </c>
      <c r="L253" s="35"/>
    </row>
    <row r="254" spans="1:26" ht="14.25" x14ac:dyDescent="0.2">
      <c r="A254" s="49"/>
      <c r="B254" s="50"/>
      <c r="C254" s="50" t="s">
        <v>150</v>
      </c>
      <c r="D254" s="31"/>
      <c r="E254" s="13"/>
      <c r="F254" s="32">
        <f>Source!AN150</f>
        <v>1.35</v>
      </c>
      <c r="G254" s="33" t="str">
        <f>Source!DF150</f>
        <v/>
      </c>
      <c r="H254" s="36">
        <f>ROUND(Source!AE150*Source!I150, 2)</f>
        <v>0.01</v>
      </c>
      <c r="I254" s="33"/>
      <c r="J254" s="33">
        <f>IF(Source!BS150&lt;&gt; 0, Source!BS150, 1)</f>
        <v>6.08</v>
      </c>
      <c r="K254" s="36">
        <f>Source!R150</f>
        <v>0.08</v>
      </c>
      <c r="L254" s="35"/>
      <c r="R254">
        <f>H254</f>
        <v>0.01</v>
      </c>
    </row>
    <row r="255" spans="1:26" ht="14.25" x14ac:dyDescent="0.2">
      <c r="A255" s="49"/>
      <c r="B255" s="50"/>
      <c r="C255" s="50" t="s">
        <v>151</v>
      </c>
      <c r="D255" s="31"/>
      <c r="E255" s="13"/>
      <c r="F255" s="32">
        <f>Source!AL150</f>
        <v>33.6</v>
      </c>
      <c r="G255" s="33" t="str">
        <f>Source!DD150</f>
        <v/>
      </c>
      <c r="H255" s="34">
        <f>ROUND(Source!AC150*Source!I150, 2)</f>
        <v>0.34</v>
      </c>
      <c r="I255" s="33"/>
      <c r="J255" s="33">
        <f>IF(Source!BC150&lt;&gt; 0, Source!BC150, 1)</f>
        <v>6.08</v>
      </c>
      <c r="K255" s="34">
        <f>Source!P150</f>
        <v>2.04</v>
      </c>
      <c r="L255" s="35"/>
    </row>
    <row r="256" spans="1:26" ht="14.25" x14ac:dyDescent="0.2">
      <c r="A256" s="49"/>
      <c r="B256" s="50"/>
      <c r="C256" s="50" t="s">
        <v>152</v>
      </c>
      <c r="D256" s="31" t="s">
        <v>153</v>
      </c>
      <c r="E256" s="13">
        <f>Source!BZ150</f>
        <v>74</v>
      </c>
      <c r="F256" s="53"/>
      <c r="G256" s="33"/>
      <c r="H256" s="34">
        <f>SUM(S250:S258)</f>
        <v>2.14</v>
      </c>
      <c r="I256" s="37"/>
      <c r="J256" s="29">
        <f>Source!AT150</f>
        <v>74</v>
      </c>
      <c r="K256" s="34">
        <f>SUM(T250:T258)</f>
        <v>13.02</v>
      </c>
      <c r="L256" s="35"/>
    </row>
    <row r="257" spans="1:26" ht="14.25" x14ac:dyDescent="0.2">
      <c r="A257" s="49"/>
      <c r="B257" s="50"/>
      <c r="C257" s="50" t="s">
        <v>154</v>
      </c>
      <c r="D257" s="31" t="s">
        <v>153</v>
      </c>
      <c r="E257" s="13">
        <f>Source!CA150</f>
        <v>50</v>
      </c>
      <c r="F257" s="53"/>
      <c r="G257" s="33"/>
      <c r="H257" s="34">
        <f>SUM(U250:U258)</f>
        <v>1.45</v>
      </c>
      <c r="I257" s="37"/>
      <c r="J257" s="29">
        <f>Source!AU150</f>
        <v>50</v>
      </c>
      <c r="K257" s="34">
        <f>SUM(V250:V258)</f>
        <v>8.8000000000000007</v>
      </c>
      <c r="L257" s="35"/>
    </row>
    <row r="258" spans="1:26" ht="14.25" x14ac:dyDescent="0.2">
      <c r="A258" s="51"/>
      <c r="B258" s="52"/>
      <c r="C258" s="52" t="s">
        <v>155</v>
      </c>
      <c r="D258" s="38" t="s">
        <v>156</v>
      </c>
      <c r="E258" s="39">
        <f>Source!AQ150</f>
        <v>34.659999999999997</v>
      </c>
      <c r="F258" s="40"/>
      <c r="G258" s="41" t="str">
        <f>Source!DI150</f>
        <v/>
      </c>
      <c r="H258" s="42"/>
      <c r="I258" s="41"/>
      <c r="J258" s="41"/>
      <c r="K258" s="42"/>
      <c r="L258" s="43">
        <f>Source!U150</f>
        <v>0.34659999999999996</v>
      </c>
    </row>
    <row r="259" spans="1:26" ht="15" x14ac:dyDescent="0.25">
      <c r="G259" s="69">
        <f>H252+H253+H255+H256+H257</f>
        <v>6.88</v>
      </c>
      <c r="H259" s="69"/>
      <c r="J259" s="69">
        <f>K252+K253+K255+K256+K257</f>
        <v>41.8</v>
      </c>
      <c r="K259" s="69"/>
      <c r="L259" s="44">
        <f>Source!U150</f>
        <v>0.34659999999999996</v>
      </c>
      <c r="O259" s="27">
        <f>G259</f>
        <v>6.88</v>
      </c>
      <c r="P259" s="27">
        <f>J259</f>
        <v>41.8</v>
      </c>
      <c r="Q259" s="27">
        <f>L259</f>
        <v>0.34659999999999996</v>
      </c>
      <c r="W259">
        <f>IF(Source!BI150&lt;=1,H252+H253+H255+H256+H257, 0)</f>
        <v>6.88</v>
      </c>
      <c r="X259">
        <f>IF(Source!BI150=2,H252+H253+H255+H256+H257, 0)</f>
        <v>0</v>
      </c>
      <c r="Y259">
        <f>IF(Source!BI150=3,H252+H253+H255+H256+H257, 0)</f>
        <v>0</v>
      </c>
      <c r="Z259">
        <f>IF(Source!BI150=4,H252+H253+H255+H256+H257, 0)</f>
        <v>0</v>
      </c>
    </row>
    <row r="260" spans="1:26" ht="14.25" x14ac:dyDescent="0.2">
      <c r="A260" s="49" t="str">
        <f>Source!E152</f>
        <v>24</v>
      </c>
      <c r="B260" s="50" t="str">
        <f>Source!F152</f>
        <v>65-3-7</v>
      </c>
      <c r="C260" s="50" t="str">
        <f>Source!G152</f>
        <v>Снятие смесителя</v>
      </c>
      <c r="D260" s="31" t="str">
        <f>Source!H152</f>
        <v>100 ШТ</v>
      </c>
      <c r="E260" s="13">
        <f>Source!I152</f>
        <v>0.01</v>
      </c>
      <c r="F260" s="32">
        <f>Source!AL152+Source!AM152+Source!AO152</f>
        <v>315.33</v>
      </c>
      <c r="G260" s="33"/>
      <c r="H260" s="34"/>
      <c r="I260" s="33" t="str">
        <f>Source!BO152</f>
        <v/>
      </c>
      <c r="J260" s="33"/>
      <c r="K260" s="34"/>
      <c r="L260" s="35"/>
      <c r="S260">
        <f>ROUND((Source!FX152/100)*((ROUND(Source!AF152*Source!I152, 2)+ROUND(Source!AE152*Source!I152, 2))), 2)</f>
        <v>2.3199999999999998</v>
      </c>
      <c r="T260">
        <f>Source!X152</f>
        <v>14.13</v>
      </c>
      <c r="U260">
        <f>ROUND((Source!FY152/100)*((ROUND(Source!AF152*Source!I152, 2)+ROUND(Source!AE152*Source!I152, 2))), 2)</f>
        <v>1.57</v>
      </c>
      <c r="V260">
        <f>Source!Y152</f>
        <v>9.5500000000000007</v>
      </c>
    </row>
    <row r="261" spans="1:26" x14ac:dyDescent="0.2">
      <c r="C261" s="26" t="str">
        <f>"Объем: "&amp;Source!I152&amp;"=1/"&amp;"100"</f>
        <v>Объем: 0,01=1/100</v>
      </c>
    </row>
    <row r="262" spans="1:26" ht="14.25" x14ac:dyDescent="0.2">
      <c r="A262" s="49"/>
      <c r="B262" s="50"/>
      <c r="C262" s="50" t="s">
        <v>149</v>
      </c>
      <c r="D262" s="31"/>
      <c r="E262" s="13"/>
      <c r="F262" s="32">
        <f>Source!AO152</f>
        <v>313.14</v>
      </c>
      <c r="G262" s="33" t="str">
        <f>Source!DG152</f>
        <v/>
      </c>
      <c r="H262" s="34">
        <f>ROUND(Source!AF152*Source!I152, 2)</f>
        <v>3.13</v>
      </c>
      <c r="I262" s="33"/>
      <c r="J262" s="33">
        <f>IF(Source!BA152&lt;&gt; 0, Source!BA152, 1)</f>
        <v>6.08</v>
      </c>
      <c r="K262" s="34">
        <f>Source!S152</f>
        <v>19.04</v>
      </c>
      <c r="L262" s="35"/>
      <c r="R262">
        <f>H262</f>
        <v>3.13</v>
      </c>
    </row>
    <row r="263" spans="1:26" ht="14.25" x14ac:dyDescent="0.2">
      <c r="A263" s="49"/>
      <c r="B263" s="50"/>
      <c r="C263" s="50" t="s">
        <v>451</v>
      </c>
      <c r="D263" s="31"/>
      <c r="E263" s="13"/>
      <c r="F263" s="32">
        <f>Source!AM152</f>
        <v>2.19</v>
      </c>
      <c r="G263" s="33" t="str">
        <f>Source!DE152</f>
        <v/>
      </c>
      <c r="H263" s="34">
        <f>ROUND(Source!AD152*Source!I152, 2)</f>
        <v>0.02</v>
      </c>
      <c r="I263" s="33"/>
      <c r="J263" s="33">
        <f>IF(Source!BB152&lt;&gt; 0, Source!BB152, 1)</f>
        <v>6.08</v>
      </c>
      <c r="K263" s="34">
        <f>Source!Q152</f>
        <v>0.13</v>
      </c>
      <c r="L263" s="35"/>
    </row>
    <row r="264" spans="1:26" ht="14.25" x14ac:dyDescent="0.2">
      <c r="A264" s="49"/>
      <c r="B264" s="50"/>
      <c r="C264" s="50" t="s">
        <v>150</v>
      </c>
      <c r="D264" s="31"/>
      <c r="E264" s="13"/>
      <c r="F264" s="32">
        <f>Source!AN152</f>
        <v>0.95</v>
      </c>
      <c r="G264" s="33" t="str">
        <f>Source!DF152</f>
        <v/>
      </c>
      <c r="H264" s="36">
        <f>ROUND(Source!AE152*Source!I152, 2)</f>
        <v>0.01</v>
      </c>
      <c r="I264" s="33"/>
      <c r="J264" s="33">
        <f>IF(Source!BS152&lt;&gt; 0, Source!BS152, 1)</f>
        <v>6.08</v>
      </c>
      <c r="K264" s="36">
        <f>Source!R152</f>
        <v>0.06</v>
      </c>
      <c r="L264" s="35"/>
      <c r="R264">
        <f>H264</f>
        <v>0.01</v>
      </c>
    </row>
    <row r="265" spans="1:26" ht="14.25" x14ac:dyDescent="0.2">
      <c r="A265" s="49"/>
      <c r="B265" s="50"/>
      <c r="C265" s="50" t="s">
        <v>152</v>
      </c>
      <c r="D265" s="31" t="s">
        <v>153</v>
      </c>
      <c r="E265" s="13">
        <f>Source!BZ152</f>
        <v>74</v>
      </c>
      <c r="F265" s="53"/>
      <c r="G265" s="33"/>
      <c r="H265" s="34">
        <f>SUM(S260:S267)</f>
        <v>2.3199999999999998</v>
      </c>
      <c r="I265" s="37"/>
      <c r="J265" s="29">
        <f>Source!AT152</f>
        <v>74</v>
      </c>
      <c r="K265" s="34">
        <f>SUM(T260:T267)</f>
        <v>14.13</v>
      </c>
      <c r="L265" s="35"/>
    </row>
    <row r="266" spans="1:26" ht="14.25" x14ac:dyDescent="0.2">
      <c r="A266" s="49"/>
      <c r="B266" s="50"/>
      <c r="C266" s="50" t="s">
        <v>154</v>
      </c>
      <c r="D266" s="31" t="s">
        <v>153</v>
      </c>
      <c r="E266" s="13">
        <f>Source!CA152</f>
        <v>50</v>
      </c>
      <c r="F266" s="53"/>
      <c r="G266" s="33"/>
      <c r="H266" s="34">
        <f>SUM(U260:U267)</f>
        <v>1.57</v>
      </c>
      <c r="I266" s="37"/>
      <c r="J266" s="29">
        <f>Source!AU152</f>
        <v>50</v>
      </c>
      <c r="K266" s="34">
        <f>SUM(V260:V267)</f>
        <v>9.5500000000000007</v>
      </c>
      <c r="L266" s="35"/>
    </row>
    <row r="267" spans="1:26" ht="14.25" x14ac:dyDescent="0.2">
      <c r="A267" s="51"/>
      <c r="B267" s="52"/>
      <c r="C267" s="52" t="s">
        <v>155</v>
      </c>
      <c r="D267" s="38" t="s">
        <v>156</v>
      </c>
      <c r="E267" s="39">
        <f>Source!AQ152</f>
        <v>36.71</v>
      </c>
      <c r="F267" s="40"/>
      <c r="G267" s="41" t="str">
        <f>Source!DI152</f>
        <v/>
      </c>
      <c r="H267" s="42"/>
      <c r="I267" s="41"/>
      <c r="J267" s="41"/>
      <c r="K267" s="42"/>
      <c r="L267" s="43">
        <f>Source!U152</f>
        <v>0.36710000000000004</v>
      </c>
    </row>
    <row r="268" spans="1:26" ht="15" x14ac:dyDescent="0.25">
      <c r="G268" s="69">
        <f>H262+H263+H265+H266</f>
        <v>7.04</v>
      </c>
      <c r="H268" s="69"/>
      <c r="J268" s="69">
        <f>K262+K263+K265+K266</f>
        <v>42.849999999999994</v>
      </c>
      <c r="K268" s="69"/>
      <c r="L268" s="44">
        <f>Source!U152</f>
        <v>0.36710000000000004</v>
      </c>
      <c r="O268" s="27">
        <f>G268</f>
        <v>7.04</v>
      </c>
      <c r="P268" s="27">
        <f>J268</f>
        <v>42.849999999999994</v>
      </c>
      <c r="Q268" s="27">
        <f>L268</f>
        <v>0.36710000000000004</v>
      </c>
      <c r="W268">
        <f>IF(Source!BI152&lt;=1,H262+H263+H265+H266, 0)</f>
        <v>7.04</v>
      </c>
      <c r="X268">
        <f>IF(Source!BI152=2,H262+H263+H265+H266, 0)</f>
        <v>0</v>
      </c>
      <c r="Y268">
        <f>IF(Source!BI152=3,H262+H263+H265+H266, 0)</f>
        <v>0</v>
      </c>
      <c r="Z268">
        <f>IF(Source!BI152=4,H262+H263+H265+H266, 0)</f>
        <v>0</v>
      </c>
    </row>
    <row r="269" spans="1:26" ht="14.25" x14ac:dyDescent="0.2">
      <c r="A269" s="49" t="str">
        <f>Source!E154</f>
        <v>25</v>
      </c>
      <c r="B269" s="50" t="str">
        <f>Source!F154</f>
        <v>65-4-1</v>
      </c>
      <c r="C269" s="50" t="str">
        <f>Source!G154</f>
        <v>Демонтаж умывальников и раковин</v>
      </c>
      <c r="D269" s="31" t="str">
        <f>Source!H154</f>
        <v>100 ШТ</v>
      </c>
      <c r="E269" s="13">
        <f>Source!I154</f>
        <v>0.01</v>
      </c>
      <c r="F269" s="32">
        <f>Source!AL154+Source!AM154+Source!AO154</f>
        <v>445.71999999999997</v>
      </c>
      <c r="G269" s="33"/>
      <c r="H269" s="34"/>
      <c r="I269" s="33" t="str">
        <f>Source!BO154</f>
        <v/>
      </c>
      <c r="J269" s="33"/>
      <c r="K269" s="34"/>
      <c r="L269" s="35"/>
      <c r="S269">
        <f>ROUND((Source!FX154/100)*((ROUND(Source!AF154*Source!I154, 2)+ROUND(Source!AE154*Source!I154, 2))), 2)</f>
        <v>3.27</v>
      </c>
      <c r="T269">
        <f>Source!X154</f>
        <v>19.850000000000001</v>
      </c>
      <c r="U269">
        <f>ROUND((Source!FY154/100)*((ROUND(Source!AF154*Source!I154, 2)+ROUND(Source!AE154*Source!I154, 2))), 2)</f>
        <v>2.21</v>
      </c>
      <c r="V269">
        <f>Source!Y154</f>
        <v>13.41</v>
      </c>
    </row>
    <row r="270" spans="1:26" x14ac:dyDescent="0.2">
      <c r="C270" s="26" t="str">
        <f>"Объем: "&amp;Source!I154&amp;"=1/"&amp;"100"</f>
        <v>Объем: 0,01=1/100</v>
      </c>
    </row>
    <row r="271" spans="1:26" ht="14.25" x14ac:dyDescent="0.2">
      <c r="A271" s="49"/>
      <c r="B271" s="50"/>
      <c r="C271" s="50" t="s">
        <v>149</v>
      </c>
      <c r="D271" s="31"/>
      <c r="E271" s="13"/>
      <c r="F271" s="32">
        <f>Source!AO154</f>
        <v>437.59</v>
      </c>
      <c r="G271" s="33" t="str">
        <f>Source!DG154</f>
        <v/>
      </c>
      <c r="H271" s="34">
        <f>ROUND(Source!AF154*Source!I154, 2)</f>
        <v>4.38</v>
      </c>
      <c r="I271" s="33"/>
      <c r="J271" s="33">
        <f>IF(Source!BA154&lt;&gt; 0, Source!BA154, 1)</f>
        <v>6.08</v>
      </c>
      <c r="K271" s="34">
        <f>Source!S154</f>
        <v>26.61</v>
      </c>
      <c r="L271" s="35"/>
      <c r="R271">
        <f>H271</f>
        <v>4.38</v>
      </c>
    </row>
    <row r="272" spans="1:26" ht="14.25" x14ac:dyDescent="0.2">
      <c r="A272" s="49"/>
      <c r="B272" s="50"/>
      <c r="C272" s="50" t="s">
        <v>451</v>
      </c>
      <c r="D272" s="31"/>
      <c r="E272" s="13"/>
      <c r="F272" s="32">
        <f>Source!AM154</f>
        <v>8.1300000000000008</v>
      </c>
      <c r="G272" s="33" t="str">
        <f>Source!DE154</f>
        <v/>
      </c>
      <c r="H272" s="34">
        <f>ROUND(Source!AD154*Source!I154, 2)</f>
        <v>0.08</v>
      </c>
      <c r="I272" s="33"/>
      <c r="J272" s="33">
        <f>IF(Source!BB154&lt;&gt; 0, Source!BB154, 1)</f>
        <v>6.08</v>
      </c>
      <c r="K272" s="34">
        <f>Source!Q154</f>
        <v>0.49</v>
      </c>
      <c r="L272" s="35"/>
    </row>
    <row r="273" spans="1:26" ht="14.25" x14ac:dyDescent="0.2">
      <c r="A273" s="49"/>
      <c r="B273" s="50"/>
      <c r="C273" s="50" t="s">
        <v>150</v>
      </c>
      <c r="D273" s="31"/>
      <c r="E273" s="13"/>
      <c r="F273" s="32">
        <f>Source!AN154</f>
        <v>3.51</v>
      </c>
      <c r="G273" s="33" t="str">
        <f>Source!DF154</f>
        <v/>
      </c>
      <c r="H273" s="36">
        <f>ROUND(Source!AE154*Source!I154, 2)</f>
        <v>0.04</v>
      </c>
      <c r="I273" s="33"/>
      <c r="J273" s="33">
        <f>IF(Source!BS154&lt;&gt; 0, Source!BS154, 1)</f>
        <v>6.08</v>
      </c>
      <c r="K273" s="36">
        <f>Source!R154</f>
        <v>0.21</v>
      </c>
      <c r="L273" s="35"/>
      <c r="R273">
        <f>H273</f>
        <v>0.04</v>
      </c>
    </row>
    <row r="274" spans="1:26" ht="14.25" x14ac:dyDescent="0.2">
      <c r="A274" s="49"/>
      <c r="B274" s="50"/>
      <c r="C274" s="50" t="s">
        <v>152</v>
      </c>
      <c r="D274" s="31" t="s">
        <v>153</v>
      </c>
      <c r="E274" s="13">
        <f>Source!BZ154</f>
        <v>74</v>
      </c>
      <c r="F274" s="53"/>
      <c r="G274" s="33"/>
      <c r="H274" s="34">
        <f>SUM(S269:S276)</f>
        <v>3.27</v>
      </c>
      <c r="I274" s="37"/>
      <c r="J274" s="29">
        <f>Source!AT154</f>
        <v>74</v>
      </c>
      <c r="K274" s="34">
        <f>SUM(T269:T276)</f>
        <v>19.850000000000001</v>
      </c>
      <c r="L274" s="35"/>
    </row>
    <row r="275" spans="1:26" ht="14.25" x14ac:dyDescent="0.2">
      <c r="A275" s="49"/>
      <c r="B275" s="50"/>
      <c r="C275" s="50" t="s">
        <v>154</v>
      </c>
      <c r="D275" s="31" t="s">
        <v>153</v>
      </c>
      <c r="E275" s="13">
        <f>Source!CA154</f>
        <v>50</v>
      </c>
      <c r="F275" s="53"/>
      <c r="G275" s="33"/>
      <c r="H275" s="34">
        <f>SUM(U269:U276)</f>
        <v>2.21</v>
      </c>
      <c r="I275" s="37"/>
      <c r="J275" s="29">
        <f>Source!AU154</f>
        <v>50</v>
      </c>
      <c r="K275" s="34">
        <f>SUM(V269:V276)</f>
        <v>13.41</v>
      </c>
      <c r="L275" s="35"/>
    </row>
    <row r="276" spans="1:26" ht="14.25" x14ac:dyDescent="0.2">
      <c r="A276" s="51"/>
      <c r="B276" s="52"/>
      <c r="C276" s="52" t="s">
        <v>155</v>
      </c>
      <c r="D276" s="38" t="s">
        <v>156</v>
      </c>
      <c r="E276" s="39">
        <f>Source!AQ154</f>
        <v>51.3</v>
      </c>
      <c r="F276" s="40"/>
      <c r="G276" s="41" t="str">
        <f>Source!DI154</f>
        <v/>
      </c>
      <c r="H276" s="42"/>
      <c r="I276" s="41"/>
      <c r="J276" s="41"/>
      <c r="K276" s="42"/>
      <c r="L276" s="43">
        <f>Source!U154</f>
        <v>0.51300000000000001</v>
      </c>
    </row>
    <row r="277" spans="1:26" ht="15" x14ac:dyDescent="0.25">
      <c r="G277" s="69">
        <f>H271+H272+H274+H275</f>
        <v>9.9400000000000013</v>
      </c>
      <c r="H277" s="69"/>
      <c r="J277" s="69">
        <f>K271+K272+K274+K275</f>
        <v>60.36</v>
      </c>
      <c r="K277" s="69"/>
      <c r="L277" s="44">
        <f>Source!U154</f>
        <v>0.51300000000000001</v>
      </c>
      <c r="O277" s="27">
        <f>G277</f>
        <v>9.9400000000000013</v>
      </c>
      <c r="P277" s="27">
        <f>J277</f>
        <v>60.36</v>
      </c>
      <c r="Q277" s="27">
        <f>L277</f>
        <v>0.51300000000000001</v>
      </c>
      <c r="W277">
        <f>IF(Source!BI154&lt;=1,H271+H272+H274+H275, 0)</f>
        <v>9.9400000000000013</v>
      </c>
      <c r="X277">
        <f>IF(Source!BI154=2,H271+H272+H274+H275, 0)</f>
        <v>0</v>
      </c>
      <c r="Y277">
        <f>IF(Source!BI154=3,H271+H272+H274+H275, 0)</f>
        <v>0</v>
      </c>
      <c r="Z277">
        <f>IF(Source!BI154=4,H271+H272+H274+H275, 0)</f>
        <v>0</v>
      </c>
    </row>
    <row r="278" spans="1:26" ht="42.75" x14ac:dyDescent="0.2">
      <c r="A278" s="49" t="str">
        <f>Source!E156</f>
        <v>26</v>
      </c>
      <c r="B278" s="50" t="str">
        <f>Source!F156</f>
        <v>65-2-1</v>
      </c>
      <c r="C278" s="50" t="str">
        <f>Source!G156</f>
        <v>Разборка трубопроводов из чугунных канализационных труб диаметром 50 мм</v>
      </c>
      <c r="D278" s="31" t="str">
        <f>Source!H156</f>
        <v>100 м</v>
      </c>
      <c r="E278" s="13">
        <f>Source!I156</f>
        <v>0.01</v>
      </c>
      <c r="F278" s="32">
        <f>Source!AL156+Source!AM156+Source!AO156</f>
        <v>587.04999999999995</v>
      </c>
      <c r="G278" s="33"/>
      <c r="H278" s="34"/>
      <c r="I278" s="33" t="str">
        <f>Source!BO156</f>
        <v/>
      </c>
      <c r="J278" s="33"/>
      <c r="K278" s="34"/>
      <c r="L278" s="35"/>
      <c r="S278">
        <f>ROUND((Source!FX156/100)*((ROUND(Source!AF156*Source!I156, 2)+ROUND(Source!AE156*Source!I156, 2))), 2)</f>
        <v>4.32</v>
      </c>
      <c r="T278">
        <f>Source!X156</f>
        <v>26.28</v>
      </c>
      <c r="U278">
        <f>ROUND((Source!FY156/100)*((ROUND(Source!AF156*Source!I156, 2)+ROUND(Source!AE156*Source!I156, 2))), 2)</f>
        <v>2.92</v>
      </c>
      <c r="V278">
        <f>Source!Y156</f>
        <v>17.760000000000002</v>
      </c>
    </row>
    <row r="279" spans="1:26" x14ac:dyDescent="0.2">
      <c r="C279" s="26" t="str">
        <f>"Объем: "&amp;Source!I156&amp;"=1/"&amp;"100"</f>
        <v>Объем: 0,01=1/100</v>
      </c>
    </row>
    <row r="280" spans="1:26" ht="14.25" x14ac:dyDescent="0.2">
      <c r="A280" s="49"/>
      <c r="B280" s="50"/>
      <c r="C280" s="50" t="s">
        <v>149</v>
      </c>
      <c r="D280" s="31"/>
      <c r="E280" s="13"/>
      <c r="F280" s="32">
        <f>Source!AO156</f>
        <v>582.04999999999995</v>
      </c>
      <c r="G280" s="33" t="str">
        <f>Source!DG156</f>
        <v/>
      </c>
      <c r="H280" s="34">
        <f>ROUND(Source!AF156*Source!I156, 2)</f>
        <v>5.82</v>
      </c>
      <c r="I280" s="33"/>
      <c r="J280" s="33">
        <f>IF(Source!BA156&lt;&gt; 0, Source!BA156, 1)</f>
        <v>6.08</v>
      </c>
      <c r="K280" s="34">
        <f>Source!S156</f>
        <v>35.39</v>
      </c>
      <c r="L280" s="35"/>
      <c r="R280">
        <f>H280</f>
        <v>5.82</v>
      </c>
    </row>
    <row r="281" spans="1:26" ht="14.25" x14ac:dyDescent="0.2">
      <c r="A281" s="49"/>
      <c r="B281" s="50"/>
      <c r="C281" s="50" t="s">
        <v>451</v>
      </c>
      <c r="D281" s="31"/>
      <c r="E281" s="13"/>
      <c r="F281" s="32">
        <f>Source!AM156</f>
        <v>5</v>
      </c>
      <c r="G281" s="33" t="str">
        <f>Source!DE156</f>
        <v/>
      </c>
      <c r="H281" s="34">
        <f>ROUND(Source!AD156*Source!I156, 2)</f>
        <v>0.05</v>
      </c>
      <c r="I281" s="33"/>
      <c r="J281" s="33">
        <f>IF(Source!BB156&lt;&gt; 0, Source!BB156, 1)</f>
        <v>6.08</v>
      </c>
      <c r="K281" s="34">
        <f>Source!Q156</f>
        <v>0.3</v>
      </c>
      <c r="L281" s="35"/>
    </row>
    <row r="282" spans="1:26" ht="14.25" x14ac:dyDescent="0.2">
      <c r="A282" s="49"/>
      <c r="B282" s="50"/>
      <c r="C282" s="50" t="s">
        <v>150</v>
      </c>
      <c r="D282" s="31"/>
      <c r="E282" s="13"/>
      <c r="F282" s="32">
        <f>Source!AN156</f>
        <v>2.16</v>
      </c>
      <c r="G282" s="33" t="str">
        <f>Source!DF156</f>
        <v/>
      </c>
      <c r="H282" s="36">
        <f>ROUND(Source!AE156*Source!I156, 2)</f>
        <v>0.02</v>
      </c>
      <c r="I282" s="33"/>
      <c r="J282" s="33">
        <f>IF(Source!BS156&lt;&gt; 0, Source!BS156, 1)</f>
        <v>6.08</v>
      </c>
      <c r="K282" s="36">
        <f>Source!R156</f>
        <v>0.13</v>
      </c>
      <c r="L282" s="35"/>
      <c r="R282">
        <f>H282</f>
        <v>0.02</v>
      </c>
    </row>
    <row r="283" spans="1:26" ht="14.25" x14ac:dyDescent="0.2">
      <c r="A283" s="49"/>
      <c r="B283" s="50"/>
      <c r="C283" s="50" t="s">
        <v>152</v>
      </c>
      <c r="D283" s="31" t="s">
        <v>153</v>
      </c>
      <c r="E283" s="13">
        <f>Source!BZ156</f>
        <v>74</v>
      </c>
      <c r="F283" s="53"/>
      <c r="G283" s="33"/>
      <c r="H283" s="34">
        <f>SUM(S278:S285)</f>
        <v>4.32</v>
      </c>
      <c r="I283" s="37"/>
      <c r="J283" s="29">
        <f>Source!AT156</f>
        <v>74</v>
      </c>
      <c r="K283" s="34">
        <f>SUM(T278:T285)</f>
        <v>26.28</v>
      </c>
      <c r="L283" s="35"/>
    </row>
    <row r="284" spans="1:26" ht="14.25" x14ac:dyDescent="0.2">
      <c r="A284" s="49"/>
      <c r="B284" s="50"/>
      <c r="C284" s="50" t="s">
        <v>154</v>
      </c>
      <c r="D284" s="31" t="s">
        <v>153</v>
      </c>
      <c r="E284" s="13">
        <f>Source!CA156</f>
        <v>50</v>
      </c>
      <c r="F284" s="53"/>
      <c r="G284" s="33"/>
      <c r="H284" s="34">
        <f>SUM(U278:U285)</f>
        <v>2.92</v>
      </c>
      <c r="I284" s="37"/>
      <c r="J284" s="29">
        <f>Source!AU156</f>
        <v>50</v>
      </c>
      <c r="K284" s="34">
        <f>SUM(V278:V285)</f>
        <v>17.760000000000002</v>
      </c>
      <c r="L284" s="35"/>
    </row>
    <row r="285" spans="1:26" ht="14.25" x14ac:dyDescent="0.2">
      <c r="A285" s="51"/>
      <c r="B285" s="52"/>
      <c r="C285" s="52" t="s">
        <v>155</v>
      </c>
      <c r="D285" s="38" t="s">
        <v>156</v>
      </c>
      <c r="E285" s="39">
        <f>Source!AQ156</f>
        <v>68.8</v>
      </c>
      <c r="F285" s="40"/>
      <c r="G285" s="41" t="str">
        <f>Source!DI156</f>
        <v/>
      </c>
      <c r="H285" s="42"/>
      <c r="I285" s="41"/>
      <c r="J285" s="41"/>
      <c r="K285" s="42"/>
      <c r="L285" s="43">
        <f>Source!U156</f>
        <v>0.68799999999999994</v>
      </c>
    </row>
    <row r="286" spans="1:26" ht="15" x14ac:dyDescent="0.25">
      <c r="G286" s="69">
        <f>H280+H281+H283+H284</f>
        <v>13.110000000000001</v>
      </c>
      <c r="H286" s="69"/>
      <c r="J286" s="69">
        <f>K280+K281+K283+K284</f>
        <v>79.73</v>
      </c>
      <c r="K286" s="69"/>
      <c r="L286" s="44">
        <f>Source!U156</f>
        <v>0.68799999999999994</v>
      </c>
      <c r="O286" s="27">
        <f>G286</f>
        <v>13.110000000000001</v>
      </c>
      <c r="P286" s="27">
        <f>J286</f>
        <v>79.73</v>
      </c>
      <c r="Q286" s="27">
        <f>L286</f>
        <v>0.68799999999999994</v>
      </c>
      <c r="W286">
        <f>IF(Source!BI156&lt;=1,H280+H281+H283+H284, 0)</f>
        <v>13.110000000000001</v>
      </c>
      <c r="X286">
        <f>IF(Source!BI156=2,H280+H281+H283+H284, 0)</f>
        <v>0</v>
      </c>
      <c r="Y286">
        <f>IF(Source!BI156=3,H280+H281+H283+H284, 0)</f>
        <v>0</v>
      </c>
      <c r="Z286">
        <f>IF(Source!BI156=4,H280+H281+H283+H284, 0)</f>
        <v>0</v>
      </c>
    </row>
    <row r="287" spans="1:26" ht="57" x14ac:dyDescent="0.2">
      <c r="A287" s="49" t="str">
        <f>Source!E158</f>
        <v>27</v>
      </c>
      <c r="B287" s="50" t="str">
        <f>Source!F158</f>
        <v>16-02-001-02</v>
      </c>
      <c r="C287" s="50" t="str">
        <f>Source!G158</f>
        <v>Прокладка трубопроводов отопления из стальных водогазопроводных неоцинкованных труб диаметром 20 мм</v>
      </c>
      <c r="D287" s="31" t="str">
        <f>Source!H158</f>
        <v>100 м</v>
      </c>
      <c r="E287" s="13">
        <f>Source!I158</f>
        <v>0.01</v>
      </c>
      <c r="F287" s="32">
        <f>Source!AL158+Source!AM158+Source!AO158</f>
        <v>383.57000000000005</v>
      </c>
      <c r="G287" s="33"/>
      <c r="H287" s="34"/>
      <c r="I287" s="33" t="str">
        <f>Source!BO158</f>
        <v/>
      </c>
      <c r="J287" s="33"/>
      <c r="K287" s="34"/>
      <c r="L287" s="35"/>
      <c r="S287">
        <f>ROUND((Source!FX158/100)*((ROUND(Source!AF158*Source!I158, 2)+ROUND(Source!AE158*Source!I158, 2))), 2)</f>
        <v>4.3</v>
      </c>
      <c r="T287">
        <f>Source!X158</f>
        <v>26.04</v>
      </c>
      <c r="U287">
        <f>ROUND((Source!FY158/100)*((ROUND(Source!AF158*Source!I158, 2)+ROUND(Source!AE158*Source!I158, 2))), 2)</f>
        <v>2.63</v>
      </c>
      <c r="V287">
        <f>Source!Y158</f>
        <v>16.07</v>
      </c>
    </row>
    <row r="288" spans="1:26" x14ac:dyDescent="0.2">
      <c r="C288" s="26" t="str">
        <f>"Объем: "&amp;Source!I158&amp;"=1/"&amp;"100"</f>
        <v>Объем: 0,01=1/100</v>
      </c>
    </row>
    <row r="289" spans="1:26" ht="14.25" x14ac:dyDescent="0.2">
      <c r="A289" s="49"/>
      <c r="B289" s="50"/>
      <c r="C289" s="50" t="s">
        <v>149</v>
      </c>
      <c r="D289" s="31"/>
      <c r="E289" s="13"/>
      <c r="F289" s="32">
        <f>Source!AO158</f>
        <v>317.17</v>
      </c>
      <c r="G289" s="33" t="str">
        <f>Source!DG158</f>
        <v>)*1,15</v>
      </c>
      <c r="H289" s="34">
        <f>ROUND(Source!AF158*Source!I158, 2)</f>
        <v>3.65</v>
      </c>
      <c r="I289" s="33"/>
      <c r="J289" s="33">
        <f>IF(Source!BA158&lt;&gt; 0, Source!BA158, 1)</f>
        <v>6.08</v>
      </c>
      <c r="K289" s="34">
        <f>Source!S158</f>
        <v>22.18</v>
      </c>
      <c r="L289" s="35"/>
      <c r="R289">
        <f>H289</f>
        <v>3.65</v>
      </c>
    </row>
    <row r="290" spans="1:26" ht="14.25" x14ac:dyDescent="0.2">
      <c r="A290" s="49"/>
      <c r="B290" s="50"/>
      <c r="C290" s="50" t="s">
        <v>451</v>
      </c>
      <c r="D290" s="31"/>
      <c r="E290" s="13"/>
      <c r="F290" s="32">
        <f>Source!AM158</f>
        <v>39.130000000000003</v>
      </c>
      <c r="G290" s="33" t="str">
        <f>Source!DE158</f>
        <v>)*1,25</v>
      </c>
      <c r="H290" s="34">
        <f>ROUND(Source!AD158*Source!I158, 2)</f>
        <v>0.49</v>
      </c>
      <c r="I290" s="33"/>
      <c r="J290" s="33">
        <f>IF(Source!BB158&lt;&gt; 0, Source!BB158, 1)</f>
        <v>6.08</v>
      </c>
      <c r="K290" s="34">
        <f>Source!Q158</f>
        <v>2.97</v>
      </c>
      <c r="L290" s="35"/>
    </row>
    <row r="291" spans="1:26" ht="14.25" x14ac:dyDescent="0.2">
      <c r="A291" s="49"/>
      <c r="B291" s="50"/>
      <c r="C291" s="50" t="s">
        <v>150</v>
      </c>
      <c r="D291" s="31"/>
      <c r="E291" s="13"/>
      <c r="F291" s="32">
        <f>Source!AN158</f>
        <v>6.09</v>
      </c>
      <c r="G291" s="33" t="str">
        <f>Source!DF158</f>
        <v>)*1,25</v>
      </c>
      <c r="H291" s="36">
        <f>ROUND(Source!AE158*Source!I158, 2)</f>
        <v>0.08</v>
      </c>
      <c r="I291" s="33"/>
      <c r="J291" s="33">
        <f>IF(Source!BS158&lt;&gt; 0, Source!BS158, 1)</f>
        <v>6.08</v>
      </c>
      <c r="K291" s="36">
        <f>Source!R158</f>
        <v>0.46</v>
      </c>
      <c r="L291" s="35"/>
      <c r="R291">
        <f>H291</f>
        <v>0.08</v>
      </c>
    </row>
    <row r="292" spans="1:26" ht="14.25" x14ac:dyDescent="0.2">
      <c r="A292" s="49"/>
      <c r="B292" s="50"/>
      <c r="C292" s="50" t="s">
        <v>151</v>
      </c>
      <c r="D292" s="31"/>
      <c r="E292" s="13"/>
      <c r="F292" s="32">
        <f>Source!AL158</f>
        <v>27.27</v>
      </c>
      <c r="G292" s="33" t="str">
        <f>Source!DD158</f>
        <v/>
      </c>
      <c r="H292" s="34">
        <f>ROUND(Source!AC158*Source!I158, 2)</f>
        <v>0.27</v>
      </c>
      <c r="I292" s="33"/>
      <c r="J292" s="33">
        <f>IF(Source!BC158&lt;&gt; 0, Source!BC158, 1)</f>
        <v>6.08</v>
      </c>
      <c r="K292" s="34">
        <f>Source!P158</f>
        <v>1.66</v>
      </c>
      <c r="L292" s="35"/>
    </row>
    <row r="293" spans="1:26" ht="14.25" x14ac:dyDescent="0.2">
      <c r="A293" s="49"/>
      <c r="B293" s="50"/>
      <c r="C293" s="50" t="s">
        <v>152</v>
      </c>
      <c r="D293" s="31" t="s">
        <v>153</v>
      </c>
      <c r="E293" s="13">
        <f>Source!BZ158</f>
        <v>128</v>
      </c>
      <c r="F293" s="70" t="str">
        <f>CONCATENATE(" )", Source!DL158, Source!FT158, "=", Source!FX158)</f>
        <v xml:space="preserve"> )*0,9=115,2</v>
      </c>
      <c r="G293" s="71"/>
      <c r="H293" s="34">
        <f>SUM(S287:S296)</f>
        <v>4.3</v>
      </c>
      <c r="I293" s="37"/>
      <c r="J293" s="29">
        <f>Source!AT158</f>
        <v>115</v>
      </c>
      <c r="K293" s="34">
        <f>SUM(T287:T296)</f>
        <v>26.04</v>
      </c>
      <c r="L293" s="35"/>
    </row>
    <row r="294" spans="1:26" ht="14.25" x14ac:dyDescent="0.2">
      <c r="A294" s="49"/>
      <c r="B294" s="50"/>
      <c r="C294" s="50" t="s">
        <v>154</v>
      </c>
      <c r="D294" s="31" t="s">
        <v>153</v>
      </c>
      <c r="E294" s="13">
        <f>Source!CA158</f>
        <v>83</v>
      </c>
      <c r="F294" s="70" t="str">
        <f>CONCATENATE(" )", Source!DM158, Source!FU158, "=", Source!FY158)</f>
        <v xml:space="preserve"> )*0,85=70,55</v>
      </c>
      <c r="G294" s="71"/>
      <c r="H294" s="34">
        <f>SUM(U287:U296)</f>
        <v>2.63</v>
      </c>
      <c r="I294" s="37"/>
      <c r="J294" s="29">
        <f>Source!AU158</f>
        <v>71</v>
      </c>
      <c r="K294" s="34">
        <f>SUM(V287:V296)</f>
        <v>16.07</v>
      </c>
      <c r="L294" s="35"/>
    </row>
    <row r="295" spans="1:26" ht="14.25" x14ac:dyDescent="0.2">
      <c r="A295" s="49"/>
      <c r="B295" s="50"/>
      <c r="C295" s="50" t="s">
        <v>155</v>
      </c>
      <c r="D295" s="31" t="s">
        <v>156</v>
      </c>
      <c r="E295" s="13">
        <f>Source!AQ158</f>
        <v>32.97</v>
      </c>
      <c r="F295" s="32"/>
      <c r="G295" s="33" t="str">
        <f>Source!DI158</f>
        <v>)*1,15</v>
      </c>
      <c r="H295" s="34"/>
      <c r="I295" s="33"/>
      <c r="J295" s="33"/>
      <c r="K295" s="34"/>
      <c r="L295" s="45">
        <f>Source!U158</f>
        <v>0.37915499999999996</v>
      </c>
    </row>
    <row r="296" spans="1:26" ht="71.25" x14ac:dyDescent="0.2">
      <c r="A296" s="51" t="str">
        <f>Source!E160</f>
        <v>27,1</v>
      </c>
      <c r="B296" s="52" t="str">
        <f>Source!F160</f>
        <v>18.5.13.01-0002</v>
      </c>
      <c r="C296" s="52" t="str">
        <f>Source!G160</f>
        <v>Узлы укрупненные монтажные (трубопроводы) из стальных водогазопроводных  неоцинкованных труб с гильзами для систем ГВС и ХВС диаметром 20 мм</v>
      </c>
      <c r="D296" s="38" t="str">
        <f>Source!H160</f>
        <v>м</v>
      </c>
      <c r="E296" s="39">
        <f>Source!I160</f>
        <v>1</v>
      </c>
      <c r="F296" s="40">
        <f>Source!AL160+Source!AM160+Source!AO160</f>
        <v>23.39</v>
      </c>
      <c r="G296" s="46" t="s">
        <v>224</v>
      </c>
      <c r="H296" s="42">
        <f>ROUND(Source!AC160*Source!I160, 2)+ROUND(Source!AD160*Source!I160, 2)+ROUND(Source!AF160*Source!I160, 2)</f>
        <v>23.39</v>
      </c>
      <c r="I296" s="41"/>
      <c r="J296" s="41">
        <f>IF(Source!BC160&lt;&gt; 0, Source!BC160, 1)</f>
        <v>6.08</v>
      </c>
      <c r="K296" s="42">
        <f>Source!O160</f>
        <v>142.21</v>
      </c>
      <c r="L296" s="47"/>
      <c r="S296">
        <f>ROUND((Source!FX160/100)*((ROUND(Source!AF160*Source!I160, 2)+ROUND(Source!AE160*Source!I160, 2))), 2)</f>
        <v>0</v>
      </c>
      <c r="T296">
        <f>Source!X160</f>
        <v>0</v>
      </c>
      <c r="U296">
        <f>ROUND((Source!FY160/100)*((ROUND(Source!AF160*Source!I160, 2)+ROUND(Source!AE160*Source!I160, 2))), 2)</f>
        <v>0</v>
      </c>
      <c r="V296">
        <f>Source!Y160</f>
        <v>0</v>
      </c>
      <c r="W296">
        <f>IF(Source!BI160&lt;=1,H296, 0)</f>
        <v>23.39</v>
      </c>
      <c r="X296">
        <f>IF(Source!BI160=2,H296, 0)</f>
        <v>0</v>
      </c>
      <c r="Y296">
        <f>IF(Source!BI160=3,H296, 0)</f>
        <v>0</v>
      </c>
      <c r="Z296">
        <f>IF(Source!BI160=4,H296, 0)</f>
        <v>0</v>
      </c>
    </row>
    <row r="297" spans="1:26" ht="15" x14ac:dyDescent="0.25">
      <c r="G297" s="69">
        <f>H289+H290+H292+H293+H294+SUM(H296:H296)</f>
        <v>34.730000000000004</v>
      </c>
      <c r="H297" s="69"/>
      <c r="J297" s="69">
        <f>K289+K290+K292+K293+K294+SUM(K296:K296)</f>
        <v>211.13</v>
      </c>
      <c r="K297" s="69"/>
      <c r="L297" s="44">
        <f>Source!U158</f>
        <v>0.37915499999999996</v>
      </c>
      <c r="O297" s="27">
        <f>G297</f>
        <v>34.730000000000004</v>
      </c>
      <c r="P297" s="27">
        <f>J297</f>
        <v>211.13</v>
      </c>
      <c r="Q297" s="27">
        <f>L297</f>
        <v>0.37915499999999996</v>
      </c>
      <c r="W297">
        <f>IF(Source!BI158&lt;=1,H289+H290+H292+H293+H294, 0)</f>
        <v>11.34</v>
      </c>
      <c r="X297">
        <f>IF(Source!BI158=2,H289+H290+H292+H293+H294, 0)</f>
        <v>0</v>
      </c>
      <c r="Y297">
        <f>IF(Source!BI158=3,H289+H290+H292+H293+H294, 0)</f>
        <v>0</v>
      </c>
      <c r="Z297">
        <f>IF(Source!BI158=4,H289+H290+H292+H293+H294, 0)</f>
        <v>0</v>
      </c>
    </row>
    <row r="298" spans="1:26" ht="42.75" x14ac:dyDescent="0.2">
      <c r="A298" s="49" t="str">
        <f>Source!E162</f>
        <v>28</v>
      </c>
      <c r="B298" s="50" t="str">
        <f>Source!F162</f>
        <v>16-04-001-01</v>
      </c>
      <c r="C298" s="50" t="str">
        <f>Source!G162</f>
        <v>Прокладка трубопроводов канализации из полиэтиленовых труб высокой плотности диаметром 50 мм</v>
      </c>
      <c r="D298" s="31" t="str">
        <f>Source!H162</f>
        <v>100 м</v>
      </c>
      <c r="E298" s="13">
        <f>Source!I162</f>
        <v>0.01</v>
      </c>
      <c r="F298" s="32">
        <f>Source!AL162+Source!AM162+Source!AO162</f>
        <v>695.27</v>
      </c>
      <c r="G298" s="33"/>
      <c r="H298" s="34"/>
      <c r="I298" s="33" t="str">
        <f>Source!BO162</f>
        <v/>
      </c>
      <c r="J298" s="33"/>
      <c r="K298" s="34"/>
      <c r="L298" s="35"/>
      <c r="S298">
        <f>ROUND((Source!FX162/100)*((ROUND(Source!AF162*Source!I162, 2)+ROUND(Source!AE162*Source!I162, 2))), 2)</f>
        <v>8.4600000000000009</v>
      </c>
      <c r="T298">
        <f>Source!X162</f>
        <v>51.28</v>
      </c>
      <c r="U298">
        <f>ROUND((Source!FY162/100)*((ROUND(Source!AF162*Source!I162, 2)+ROUND(Source!AE162*Source!I162, 2))), 2)</f>
        <v>5.18</v>
      </c>
      <c r="V298">
        <f>Source!Y162</f>
        <v>31.66</v>
      </c>
    </row>
    <row r="299" spans="1:26" x14ac:dyDescent="0.2">
      <c r="C299" s="26" t="str">
        <f>"Объем: "&amp;Source!I162&amp;"=1/"&amp;"100"</f>
        <v>Объем: 0,01=1/100</v>
      </c>
    </row>
    <row r="300" spans="1:26" ht="14.25" x14ac:dyDescent="0.2">
      <c r="A300" s="49"/>
      <c r="B300" s="50"/>
      <c r="C300" s="50" t="s">
        <v>149</v>
      </c>
      <c r="D300" s="31"/>
      <c r="E300" s="13"/>
      <c r="F300" s="32">
        <f>Source!AO162</f>
        <v>637.26</v>
      </c>
      <c r="G300" s="33" t="str">
        <f>Source!DG162</f>
        <v>)*1,15</v>
      </c>
      <c r="H300" s="34">
        <f>ROUND(Source!AF162*Source!I162, 2)</f>
        <v>7.33</v>
      </c>
      <c r="I300" s="33"/>
      <c r="J300" s="33">
        <f>IF(Source!BA162&lt;&gt; 0, Source!BA162, 1)</f>
        <v>6.08</v>
      </c>
      <c r="K300" s="34">
        <f>Source!S162</f>
        <v>44.56</v>
      </c>
      <c r="L300" s="35"/>
      <c r="R300">
        <f>H300</f>
        <v>7.33</v>
      </c>
    </row>
    <row r="301" spans="1:26" ht="14.25" x14ac:dyDescent="0.2">
      <c r="A301" s="49"/>
      <c r="B301" s="50"/>
      <c r="C301" s="50" t="s">
        <v>451</v>
      </c>
      <c r="D301" s="31"/>
      <c r="E301" s="13"/>
      <c r="F301" s="32">
        <f>Source!AM162</f>
        <v>2.64</v>
      </c>
      <c r="G301" s="33" t="str">
        <f>Source!DE162</f>
        <v>)*1,25</v>
      </c>
      <c r="H301" s="34">
        <f>ROUND(Source!AD162*Source!I162, 2)</f>
        <v>0.03</v>
      </c>
      <c r="I301" s="33"/>
      <c r="J301" s="33">
        <f>IF(Source!BB162&lt;&gt; 0, Source!BB162, 1)</f>
        <v>6.08</v>
      </c>
      <c r="K301" s="34">
        <f>Source!Q162</f>
        <v>0.2</v>
      </c>
      <c r="L301" s="35"/>
    </row>
    <row r="302" spans="1:26" ht="14.25" x14ac:dyDescent="0.2">
      <c r="A302" s="49"/>
      <c r="B302" s="50"/>
      <c r="C302" s="50" t="s">
        <v>150</v>
      </c>
      <c r="D302" s="31"/>
      <c r="E302" s="13"/>
      <c r="F302" s="32">
        <f>Source!AN162</f>
        <v>0.4</v>
      </c>
      <c r="G302" s="33" t="str">
        <f>Source!DF162</f>
        <v>)*1,25</v>
      </c>
      <c r="H302" s="36">
        <f>ROUND(Source!AE162*Source!I162, 2)</f>
        <v>0.01</v>
      </c>
      <c r="I302" s="33"/>
      <c r="J302" s="33">
        <f>IF(Source!BS162&lt;&gt; 0, Source!BS162, 1)</f>
        <v>6.08</v>
      </c>
      <c r="K302" s="36">
        <f>Source!R162</f>
        <v>0.03</v>
      </c>
      <c r="L302" s="35"/>
      <c r="R302">
        <f>H302</f>
        <v>0.01</v>
      </c>
    </row>
    <row r="303" spans="1:26" ht="14.25" x14ac:dyDescent="0.2">
      <c r="A303" s="49"/>
      <c r="B303" s="50"/>
      <c r="C303" s="50" t="s">
        <v>151</v>
      </c>
      <c r="D303" s="31"/>
      <c r="E303" s="13"/>
      <c r="F303" s="32">
        <f>Source!AL162</f>
        <v>55.37</v>
      </c>
      <c r="G303" s="33" t="str">
        <f>Source!DD162</f>
        <v/>
      </c>
      <c r="H303" s="34">
        <f>ROUND(Source!AC162*Source!I162, 2)</f>
        <v>0.55000000000000004</v>
      </c>
      <c r="I303" s="33"/>
      <c r="J303" s="33">
        <f>IF(Source!BC162&lt;&gt; 0, Source!BC162, 1)</f>
        <v>6.08</v>
      </c>
      <c r="K303" s="34">
        <f>Source!P162</f>
        <v>3.37</v>
      </c>
      <c r="L303" s="35"/>
    </row>
    <row r="304" spans="1:26" ht="14.25" x14ac:dyDescent="0.2">
      <c r="A304" s="49"/>
      <c r="B304" s="50"/>
      <c r="C304" s="50" t="s">
        <v>152</v>
      </c>
      <c r="D304" s="31" t="s">
        <v>153</v>
      </c>
      <c r="E304" s="13">
        <f>Source!BZ162</f>
        <v>128</v>
      </c>
      <c r="F304" s="70" t="str">
        <f>CONCATENATE(" )", Source!DL162, Source!FT162, "=", Source!FX162)</f>
        <v xml:space="preserve"> )*0,9=115,2</v>
      </c>
      <c r="G304" s="71"/>
      <c r="H304" s="34">
        <f>SUM(S298:S307)</f>
        <v>8.4600000000000009</v>
      </c>
      <c r="I304" s="37"/>
      <c r="J304" s="29">
        <f>Source!AT162</f>
        <v>115</v>
      </c>
      <c r="K304" s="34">
        <f>SUM(T298:T307)</f>
        <v>51.28</v>
      </c>
      <c r="L304" s="35"/>
    </row>
    <row r="305" spans="1:26" ht="14.25" x14ac:dyDescent="0.2">
      <c r="A305" s="49"/>
      <c r="B305" s="50"/>
      <c r="C305" s="50" t="s">
        <v>154</v>
      </c>
      <c r="D305" s="31" t="s">
        <v>153</v>
      </c>
      <c r="E305" s="13">
        <f>Source!CA162</f>
        <v>83</v>
      </c>
      <c r="F305" s="70" t="str">
        <f>CONCATENATE(" )", Source!DM162, Source!FU162, "=", Source!FY162)</f>
        <v xml:space="preserve"> )*0,85=70,55</v>
      </c>
      <c r="G305" s="71"/>
      <c r="H305" s="34">
        <f>SUM(U298:U307)</f>
        <v>5.18</v>
      </c>
      <c r="I305" s="37"/>
      <c r="J305" s="29">
        <f>Source!AU162</f>
        <v>71</v>
      </c>
      <c r="K305" s="34">
        <f>SUM(V298:V307)</f>
        <v>31.66</v>
      </c>
      <c r="L305" s="35"/>
    </row>
    <row r="306" spans="1:26" ht="14.25" x14ac:dyDescent="0.2">
      <c r="A306" s="49"/>
      <c r="B306" s="50"/>
      <c r="C306" s="50" t="s">
        <v>155</v>
      </c>
      <c r="D306" s="31" t="s">
        <v>156</v>
      </c>
      <c r="E306" s="13">
        <f>Source!AQ162</f>
        <v>64.239999999999995</v>
      </c>
      <c r="F306" s="32"/>
      <c r="G306" s="33" t="str">
        <f>Source!DI162</f>
        <v>)*1,15</v>
      </c>
      <c r="H306" s="34"/>
      <c r="I306" s="33"/>
      <c r="J306" s="33"/>
      <c r="K306" s="34"/>
      <c r="L306" s="45">
        <f>Source!U162</f>
        <v>0.73875999999999997</v>
      </c>
    </row>
    <row r="307" spans="1:26" ht="57" x14ac:dyDescent="0.2">
      <c r="A307" s="51" t="str">
        <f>Source!E164</f>
        <v>28,1</v>
      </c>
      <c r="B307" s="52" t="str">
        <f>Source!F164</f>
        <v>24.3.03.02-0001</v>
      </c>
      <c r="C307" s="52" t="str">
        <f>Source!G164</f>
        <v>Трубопроводы канализации из полиэтиленовых труб высокой плотности с гильзами, диаметром 50 мм</v>
      </c>
      <c r="D307" s="38" t="str">
        <f>Source!H164</f>
        <v>м</v>
      </c>
      <c r="E307" s="39">
        <f>Source!I164</f>
        <v>0.998</v>
      </c>
      <c r="F307" s="40">
        <f>Source!AL164+Source!AM164+Source!AO164</f>
        <v>39.36</v>
      </c>
      <c r="G307" s="46" t="s">
        <v>224</v>
      </c>
      <c r="H307" s="42">
        <f>ROUND(Source!AC164*Source!I164, 2)+ROUND(Source!AD164*Source!I164, 2)+ROUND(Source!AF164*Source!I164, 2)</f>
        <v>39.28</v>
      </c>
      <c r="I307" s="41"/>
      <c r="J307" s="41">
        <f>IF(Source!BC164&lt;&gt; 0, Source!BC164, 1)</f>
        <v>6.08</v>
      </c>
      <c r="K307" s="42">
        <f>Source!O164</f>
        <v>238.83</v>
      </c>
      <c r="L307" s="47"/>
      <c r="S307">
        <f>ROUND((Source!FX164/100)*((ROUND(Source!AF164*Source!I164, 2)+ROUND(Source!AE164*Source!I164, 2))), 2)</f>
        <v>0</v>
      </c>
      <c r="T307">
        <f>Source!X164</f>
        <v>0</v>
      </c>
      <c r="U307">
        <f>ROUND((Source!FY164/100)*((ROUND(Source!AF164*Source!I164, 2)+ROUND(Source!AE164*Source!I164, 2))), 2)</f>
        <v>0</v>
      </c>
      <c r="V307">
        <f>Source!Y164</f>
        <v>0</v>
      </c>
      <c r="W307">
        <f>IF(Source!BI164&lt;=1,H307, 0)</f>
        <v>39.28</v>
      </c>
      <c r="X307">
        <f>IF(Source!BI164=2,H307, 0)</f>
        <v>0</v>
      </c>
      <c r="Y307">
        <f>IF(Source!BI164=3,H307, 0)</f>
        <v>0</v>
      </c>
      <c r="Z307">
        <f>IF(Source!BI164=4,H307, 0)</f>
        <v>0</v>
      </c>
    </row>
    <row r="308" spans="1:26" ht="15" x14ac:dyDescent="0.25">
      <c r="G308" s="69">
        <f>H300+H301+H303+H304+H305+SUM(H307:H307)</f>
        <v>60.83</v>
      </c>
      <c r="H308" s="69"/>
      <c r="J308" s="69">
        <f>K300+K301+K303+K304+K305+SUM(K307:K307)</f>
        <v>369.9</v>
      </c>
      <c r="K308" s="69"/>
      <c r="L308" s="44">
        <f>Source!U162</f>
        <v>0.73875999999999997</v>
      </c>
      <c r="O308" s="27">
        <f>G308</f>
        <v>60.83</v>
      </c>
      <c r="P308" s="27">
        <f>J308</f>
        <v>369.9</v>
      </c>
      <c r="Q308" s="27">
        <f>L308</f>
        <v>0.73875999999999997</v>
      </c>
      <c r="W308">
        <f>IF(Source!BI162&lt;=1,H300+H301+H303+H304+H305, 0)</f>
        <v>21.55</v>
      </c>
      <c r="X308">
        <f>IF(Source!BI162=2,H300+H301+H303+H304+H305, 0)</f>
        <v>0</v>
      </c>
      <c r="Y308">
        <f>IF(Source!BI162=3,H300+H301+H303+H304+H305, 0)</f>
        <v>0</v>
      </c>
      <c r="Z308">
        <f>IF(Source!BI162=4,H300+H301+H303+H304+H305, 0)</f>
        <v>0</v>
      </c>
    </row>
    <row r="309" spans="1:26" ht="28.5" x14ac:dyDescent="0.2">
      <c r="A309" s="49" t="str">
        <f>Source!E166</f>
        <v>29</v>
      </c>
      <c r="B309" s="50" t="str">
        <f>Source!F166</f>
        <v>17-01-005-04</v>
      </c>
      <c r="C309" s="50" t="str">
        <f>Source!G166</f>
        <v>Установка раковин</v>
      </c>
      <c r="D309" s="31" t="str">
        <f>Source!H166</f>
        <v>10 компл</v>
      </c>
      <c r="E309" s="13">
        <f>Source!I166</f>
        <v>0.1</v>
      </c>
      <c r="F309" s="32">
        <f>Source!AL166+Source!AM166+Source!AO166</f>
        <v>153.76999999999998</v>
      </c>
      <c r="G309" s="33"/>
      <c r="H309" s="34"/>
      <c r="I309" s="33" t="str">
        <f>Source!BO166</f>
        <v/>
      </c>
      <c r="J309" s="33"/>
      <c r="K309" s="34"/>
      <c r="L309" s="35"/>
      <c r="S309">
        <f>ROUND((Source!FX166/100)*((ROUND(Source!AF166*Source!I166, 2)+ROUND(Source!AE166*Source!I166, 2))), 2)</f>
        <v>11.83</v>
      </c>
      <c r="T309">
        <f>Source!X166</f>
        <v>71.78</v>
      </c>
      <c r="U309">
        <f>ROUND((Source!FY166/100)*((ROUND(Source!AF166*Source!I166, 2)+ROUND(Source!AE166*Source!I166, 2))), 2)</f>
        <v>7.25</v>
      </c>
      <c r="V309">
        <f>Source!Y166</f>
        <v>44.32</v>
      </c>
    </row>
    <row r="310" spans="1:26" x14ac:dyDescent="0.2">
      <c r="C310" s="26" t="str">
        <f>"Объем: "&amp;Source!I166&amp;"=1/"&amp;"10"</f>
        <v>Объем: 0,1=1/10</v>
      </c>
    </row>
    <row r="311" spans="1:26" ht="14.25" x14ac:dyDescent="0.2">
      <c r="A311" s="49"/>
      <c r="B311" s="50"/>
      <c r="C311" s="50" t="s">
        <v>149</v>
      </c>
      <c r="D311" s="31"/>
      <c r="E311" s="13"/>
      <c r="F311" s="32">
        <f>Source!AO166</f>
        <v>86.48</v>
      </c>
      <c r="G311" s="33" t="str">
        <f>Source!DG166</f>
        <v>)*1,15</v>
      </c>
      <c r="H311" s="34">
        <f>ROUND(Source!AF166*Source!I166, 2)</f>
        <v>9.9499999999999993</v>
      </c>
      <c r="I311" s="33"/>
      <c r="J311" s="33">
        <f>IF(Source!BA166&lt;&gt; 0, Source!BA166, 1)</f>
        <v>6.08</v>
      </c>
      <c r="K311" s="34">
        <f>Source!S166</f>
        <v>60.47</v>
      </c>
      <c r="L311" s="35"/>
      <c r="R311">
        <f>H311</f>
        <v>9.9499999999999993</v>
      </c>
    </row>
    <row r="312" spans="1:26" ht="14.25" x14ac:dyDescent="0.2">
      <c r="A312" s="49"/>
      <c r="B312" s="50"/>
      <c r="C312" s="50" t="s">
        <v>451</v>
      </c>
      <c r="D312" s="31"/>
      <c r="E312" s="13"/>
      <c r="F312" s="32">
        <f>Source!AM166</f>
        <v>11.39</v>
      </c>
      <c r="G312" s="33" t="str">
        <f>Source!DE166</f>
        <v>)*1,25</v>
      </c>
      <c r="H312" s="34">
        <f>ROUND(Source!AD166*Source!I166, 2)</f>
        <v>1.42</v>
      </c>
      <c r="I312" s="33"/>
      <c r="J312" s="33">
        <f>IF(Source!BB166&lt;&gt; 0, Source!BB166, 1)</f>
        <v>6.08</v>
      </c>
      <c r="K312" s="34">
        <f>Source!Q166</f>
        <v>8.66</v>
      </c>
      <c r="L312" s="35"/>
    </row>
    <row r="313" spans="1:26" ht="14.25" x14ac:dyDescent="0.2">
      <c r="A313" s="49"/>
      <c r="B313" s="50"/>
      <c r="C313" s="50" t="s">
        <v>150</v>
      </c>
      <c r="D313" s="31"/>
      <c r="E313" s="13"/>
      <c r="F313" s="32">
        <f>Source!AN166</f>
        <v>2.57</v>
      </c>
      <c r="G313" s="33" t="str">
        <f>Source!DF166</f>
        <v>)*1,25</v>
      </c>
      <c r="H313" s="36">
        <f>ROUND(Source!AE166*Source!I166, 2)</f>
        <v>0.32</v>
      </c>
      <c r="I313" s="33"/>
      <c r="J313" s="33">
        <f>IF(Source!BS166&lt;&gt; 0, Source!BS166, 1)</f>
        <v>6.08</v>
      </c>
      <c r="K313" s="36">
        <f>Source!R166</f>
        <v>1.95</v>
      </c>
      <c r="L313" s="35"/>
      <c r="R313">
        <f>H313</f>
        <v>0.32</v>
      </c>
    </row>
    <row r="314" spans="1:26" ht="14.25" x14ac:dyDescent="0.2">
      <c r="A314" s="49"/>
      <c r="B314" s="50"/>
      <c r="C314" s="50" t="s">
        <v>151</v>
      </c>
      <c r="D314" s="31"/>
      <c r="E314" s="13"/>
      <c r="F314" s="32">
        <f>Source!AL166</f>
        <v>55.9</v>
      </c>
      <c r="G314" s="33" t="str">
        <f>Source!DD166</f>
        <v/>
      </c>
      <c r="H314" s="34">
        <f>ROUND(Source!AC166*Source!I166, 2)</f>
        <v>5.59</v>
      </c>
      <c r="I314" s="33"/>
      <c r="J314" s="33">
        <f>IF(Source!BC166&lt;&gt; 0, Source!BC166, 1)</f>
        <v>6.08</v>
      </c>
      <c r="K314" s="34">
        <f>Source!P166</f>
        <v>33.99</v>
      </c>
      <c r="L314" s="35"/>
    </row>
    <row r="315" spans="1:26" ht="14.25" x14ac:dyDescent="0.2">
      <c r="A315" s="49"/>
      <c r="B315" s="50"/>
      <c r="C315" s="50" t="s">
        <v>152</v>
      </c>
      <c r="D315" s="31" t="s">
        <v>153</v>
      </c>
      <c r="E315" s="13">
        <f>Source!BZ166</f>
        <v>128</v>
      </c>
      <c r="F315" s="70" t="str">
        <f>CONCATENATE(" )", Source!DL166, Source!FT166, "=", Source!FX166)</f>
        <v xml:space="preserve"> )*0,9=115,2</v>
      </c>
      <c r="G315" s="71"/>
      <c r="H315" s="34">
        <f>SUM(S309:S318)</f>
        <v>11.83</v>
      </c>
      <c r="I315" s="37"/>
      <c r="J315" s="29">
        <f>Source!AT166</f>
        <v>115</v>
      </c>
      <c r="K315" s="34">
        <f>SUM(T309:T318)</f>
        <v>71.78</v>
      </c>
      <c r="L315" s="35"/>
    </row>
    <row r="316" spans="1:26" ht="14.25" x14ac:dyDescent="0.2">
      <c r="A316" s="49"/>
      <c r="B316" s="50"/>
      <c r="C316" s="50" t="s">
        <v>154</v>
      </c>
      <c r="D316" s="31" t="s">
        <v>153</v>
      </c>
      <c r="E316" s="13">
        <f>Source!CA166</f>
        <v>83</v>
      </c>
      <c r="F316" s="70" t="str">
        <f>CONCATENATE(" )", Source!DM166, Source!FU166, "=", Source!FY166)</f>
        <v xml:space="preserve"> )*0,85=70,55</v>
      </c>
      <c r="G316" s="71"/>
      <c r="H316" s="34">
        <f>SUM(U309:U318)</f>
        <v>7.25</v>
      </c>
      <c r="I316" s="37"/>
      <c r="J316" s="29">
        <f>Source!AU166</f>
        <v>71</v>
      </c>
      <c r="K316" s="34">
        <f>SUM(V309:V318)</f>
        <v>44.32</v>
      </c>
      <c r="L316" s="35"/>
    </row>
    <row r="317" spans="1:26" ht="14.25" x14ac:dyDescent="0.2">
      <c r="A317" s="49"/>
      <c r="B317" s="50"/>
      <c r="C317" s="50" t="s">
        <v>155</v>
      </c>
      <c r="D317" s="31" t="s">
        <v>156</v>
      </c>
      <c r="E317" s="13">
        <f>Source!AQ166</f>
        <v>8.99</v>
      </c>
      <c r="F317" s="32"/>
      <c r="G317" s="33" t="str">
        <f>Source!DI166</f>
        <v>)*1,15</v>
      </c>
      <c r="H317" s="34"/>
      <c r="I317" s="33"/>
      <c r="J317" s="33"/>
      <c r="K317" s="34"/>
      <c r="L317" s="45">
        <f>Source!U166</f>
        <v>1.0338499999999999</v>
      </c>
    </row>
    <row r="318" spans="1:26" ht="28.5" x14ac:dyDescent="0.2">
      <c r="A318" s="51" t="str">
        <f>Source!E168</f>
        <v>29,1</v>
      </c>
      <c r="B318" s="52" t="str">
        <f>Source!F168</f>
        <v>18.2.02.08-0011</v>
      </c>
      <c r="C318" s="52" t="str">
        <f>Source!G168</f>
        <v>Раковины стальные эмалированные</v>
      </c>
      <c r="D318" s="38" t="str">
        <f>Source!H168</f>
        <v>компл.</v>
      </c>
      <c r="E318" s="39">
        <f>Source!I168</f>
        <v>1</v>
      </c>
      <c r="F318" s="40">
        <f>Source!AL168+Source!AM168+Source!AO168</f>
        <v>101.7</v>
      </c>
      <c r="G318" s="46" t="s">
        <v>224</v>
      </c>
      <c r="H318" s="42">
        <f>ROUND(Source!AC168*Source!I168, 2)+ROUND(Source!AD168*Source!I168, 2)+ROUND(Source!AF168*Source!I168, 2)</f>
        <v>101.7</v>
      </c>
      <c r="I318" s="41"/>
      <c r="J318" s="41">
        <f>IF(Source!BC168&lt;&gt; 0, Source!BC168, 1)</f>
        <v>6.08</v>
      </c>
      <c r="K318" s="42">
        <f>Source!O168</f>
        <v>618.34</v>
      </c>
      <c r="L318" s="47"/>
      <c r="S318">
        <f>ROUND((Source!FX168/100)*((ROUND(Source!AF168*Source!I168, 2)+ROUND(Source!AE168*Source!I168, 2))), 2)</f>
        <v>0</v>
      </c>
      <c r="T318">
        <f>Source!X168</f>
        <v>0</v>
      </c>
      <c r="U318">
        <f>ROUND((Source!FY168/100)*((ROUND(Source!AF168*Source!I168, 2)+ROUND(Source!AE168*Source!I168, 2))), 2)</f>
        <v>0</v>
      </c>
      <c r="V318">
        <f>Source!Y168</f>
        <v>0</v>
      </c>
      <c r="W318">
        <f>IF(Source!BI168&lt;=1,H318, 0)</f>
        <v>101.7</v>
      </c>
      <c r="X318">
        <f>IF(Source!BI168=2,H318, 0)</f>
        <v>0</v>
      </c>
      <c r="Y318">
        <f>IF(Source!BI168=3,H318, 0)</f>
        <v>0</v>
      </c>
      <c r="Z318">
        <f>IF(Source!BI168=4,H318, 0)</f>
        <v>0</v>
      </c>
    </row>
    <row r="319" spans="1:26" ht="15" x14ac:dyDescent="0.25">
      <c r="G319" s="69">
        <f>H311+H312+H314+H315+H316+SUM(H318:H318)</f>
        <v>137.74</v>
      </c>
      <c r="H319" s="69"/>
      <c r="J319" s="69">
        <f>K311+K312+K314+K315+K316+SUM(K318:K318)</f>
        <v>837.56000000000006</v>
      </c>
      <c r="K319" s="69"/>
      <c r="L319" s="44">
        <f>Source!U166</f>
        <v>1.0338499999999999</v>
      </c>
      <c r="O319" s="27">
        <f>G319</f>
        <v>137.74</v>
      </c>
      <c r="P319" s="27">
        <f>J319</f>
        <v>837.56000000000006</v>
      </c>
      <c r="Q319" s="27">
        <f>L319</f>
        <v>1.0338499999999999</v>
      </c>
      <c r="W319">
        <f>IF(Source!BI166&lt;=1,H311+H312+H314+H315+H316, 0)</f>
        <v>36.04</v>
      </c>
      <c r="X319">
        <f>IF(Source!BI166=2,H311+H312+H314+H315+H316, 0)</f>
        <v>0</v>
      </c>
      <c r="Y319">
        <f>IF(Source!BI166=3,H311+H312+H314+H315+H316, 0)</f>
        <v>0</v>
      </c>
      <c r="Z319">
        <f>IF(Source!BI166=4,H311+H312+H314+H315+H316, 0)</f>
        <v>0</v>
      </c>
    </row>
    <row r="320" spans="1:26" ht="28.5" x14ac:dyDescent="0.2">
      <c r="A320" s="49" t="str">
        <f>Source!E170</f>
        <v>30</v>
      </c>
      <c r="B320" s="50" t="str">
        <f>Source!F170</f>
        <v>17-01-002-03</v>
      </c>
      <c r="C320" s="50" t="str">
        <f>Source!G170</f>
        <v>Установка смесителей</v>
      </c>
      <c r="D320" s="31" t="str">
        <f>Source!H170</f>
        <v>10 ШТ</v>
      </c>
      <c r="E320" s="13">
        <f>Source!I170</f>
        <v>0.1</v>
      </c>
      <c r="F320" s="32">
        <f>Source!AL170+Source!AM170+Source!AO170</f>
        <v>78.320000000000007</v>
      </c>
      <c r="G320" s="33"/>
      <c r="H320" s="34"/>
      <c r="I320" s="33" t="str">
        <f>Source!BO170</f>
        <v/>
      </c>
      <c r="J320" s="33"/>
      <c r="K320" s="34"/>
      <c r="L320" s="35"/>
      <c r="S320">
        <f>ROUND((Source!FX170/100)*((ROUND(Source!AF170*Source!I170, 2)+ROUND(Source!AE170*Source!I170, 2))), 2)</f>
        <v>8.92</v>
      </c>
      <c r="T320">
        <f>Source!X170</f>
        <v>54.14</v>
      </c>
      <c r="U320">
        <f>ROUND((Source!FY170/100)*((ROUND(Source!AF170*Source!I170, 2)+ROUND(Source!AE170*Source!I170, 2))), 2)</f>
        <v>5.46</v>
      </c>
      <c r="V320">
        <f>Source!Y170</f>
        <v>33.43</v>
      </c>
    </row>
    <row r="321" spans="1:26" x14ac:dyDescent="0.2">
      <c r="C321" s="26" t="str">
        <f>"Объем: "&amp;Source!I170&amp;"=1/"&amp;"10"</f>
        <v>Объем: 0,1=1/10</v>
      </c>
    </row>
    <row r="322" spans="1:26" ht="14.25" x14ac:dyDescent="0.2">
      <c r="A322" s="49"/>
      <c r="B322" s="50"/>
      <c r="C322" s="50" t="s">
        <v>149</v>
      </c>
      <c r="D322" s="31"/>
      <c r="E322" s="13"/>
      <c r="F322" s="32">
        <f>Source!AO170</f>
        <v>67.34</v>
      </c>
      <c r="G322" s="33" t="str">
        <f>Source!DG170</f>
        <v>)*1,15</v>
      </c>
      <c r="H322" s="34">
        <f>ROUND(Source!AF170*Source!I170, 2)</f>
        <v>7.74</v>
      </c>
      <c r="I322" s="33"/>
      <c r="J322" s="33">
        <f>IF(Source!BA170&lt;&gt; 0, Source!BA170, 1)</f>
        <v>6.08</v>
      </c>
      <c r="K322" s="34">
        <f>Source!S170</f>
        <v>47.08</v>
      </c>
      <c r="L322" s="35"/>
      <c r="R322">
        <f>H322</f>
        <v>7.74</v>
      </c>
    </row>
    <row r="323" spans="1:26" ht="14.25" x14ac:dyDescent="0.2">
      <c r="A323" s="49"/>
      <c r="B323" s="50"/>
      <c r="C323" s="50" t="s">
        <v>151</v>
      </c>
      <c r="D323" s="31"/>
      <c r="E323" s="13"/>
      <c r="F323" s="32">
        <f>Source!AL170</f>
        <v>10.98</v>
      </c>
      <c r="G323" s="33" t="str">
        <f>Source!DD170</f>
        <v/>
      </c>
      <c r="H323" s="34">
        <f>ROUND(Source!AC170*Source!I170, 2)</f>
        <v>1.1000000000000001</v>
      </c>
      <c r="I323" s="33"/>
      <c r="J323" s="33">
        <f>IF(Source!BC170&lt;&gt; 0, Source!BC170, 1)</f>
        <v>6.08</v>
      </c>
      <c r="K323" s="34">
        <f>Source!P170</f>
        <v>6.68</v>
      </c>
      <c r="L323" s="35"/>
    </row>
    <row r="324" spans="1:26" ht="14.25" x14ac:dyDescent="0.2">
      <c r="A324" s="49"/>
      <c r="B324" s="50"/>
      <c r="C324" s="50" t="s">
        <v>152</v>
      </c>
      <c r="D324" s="31" t="s">
        <v>153</v>
      </c>
      <c r="E324" s="13">
        <f>Source!BZ170</f>
        <v>128</v>
      </c>
      <c r="F324" s="70" t="str">
        <f>CONCATENATE(" )", Source!DL170, Source!FT170, "=", Source!FX170)</f>
        <v xml:space="preserve"> )*0,9=115,2</v>
      </c>
      <c r="G324" s="71"/>
      <c r="H324" s="34">
        <f>SUM(S320:S327)</f>
        <v>8.92</v>
      </c>
      <c r="I324" s="37"/>
      <c r="J324" s="29">
        <f>Source!AT170</f>
        <v>115</v>
      </c>
      <c r="K324" s="34">
        <f>SUM(T320:T327)</f>
        <v>54.14</v>
      </c>
      <c r="L324" s="35"/>
    </row>
    <row r="325" spans="1:26" ht="14.25" x14ac:dyDescent="0.2">
      <c r="A325" s="49"/>
      <c r="B325" s="50"/>
      <c r="C325" s="50" t="s">
        <v>154</v>
      </c>
      <c r="D325" s="31" t="s">
        <v>153</v>
      </c>
      <c r="E325" s="13">
        <f>Source!CA170</f>
        <v>83</v>
      </c>
      <c r="F325" s="70" t="str">
        <f>CONCATENATE(" )", Source!DM170, Source!FU170, "=", Source!FY170)</f>
        <v xml:space="preserve"> )*0,85=70,55</v>
      </c>
      <c r="G325" s="71"/>
      <c r="H325" s="34">
        <f>SUM(U320:U327)</f>
        <v>5.46</v>
      </c>
      <c r="I325" s="37"/>
      <c r="J325" s="29">
        <f>Source!AU170</f>
        <v>71</v>
      </c>
      <c r="K325" s="34">
        <f>SUM(V320:V327)</f>
        <v>33.43</v>
      </c>
      <c r="L325" s="35"/>
    </row>
    <row r="326" spans="1:26" ht="14.25" x14ac:dyDescent="0.2">
      <c r="A326" s="49"/>
      <c r="B326" s="50"/>
      <c r="C326" s="50" t="s">
        <v>155</v>
      </c>
      <c r="D326" s="31" t="s">
        <v>156</v>
      </c>
      <c r="E326" s="13">
        <f>Source!AQ170</f>
        <v>7</v>
      </c>
      <c r="F326" s="32"/>
      <c r="G326" s="33" t="str">
        <f>Source!DI170</f>
        <v>)*1,15</v>
      </c>
      <c r="H326" s="34"/>
      <c r="I326" s="33"/>
      <c r="J326" s="33"/>
      <c r="K326" s="34"/>
      <c r="L326" s="45">
        <f>Source!U170</f>
        <v>0.80499999999999994</v>
      </c>
    </row>
    <row r="327" spans="1:26" ht="28.5" x14ac:dyDescent="0.2">
      <c r="A327" s="51" t="str">
        <f>Source!E172</f>
        <v>30,1</v>
      </c>
      <c r="B327" s="52" t="str">
        <f>Source!F172</f>
        <v>18.1.10.10-0046</v>
      </c>
      <c r="C327" s="52" t="str">
        <f>Source!G172</f>
        <v>Смесители для умывальников</v>
      </c>
      <c r="D327" s="38" t="str">
        <f>Source!H172</f>
        <v>компл.</v>
      </c>
      <c r="E327" s="39">
        <f>Source!I172</f>
        <v>1</v>
      </c>
      <c r="F327" s="40">
        <f>Source!AL172+Source!AM172+Source!AO172</f>
        <v>310.25</v>
      </c>
      <c r="G327" s="46" t="s">
        <v>224</v>
      </c>
      <c r="H327" s="42">
        <f>ROUND(Source!AC172*Source!I172, 2)+ROUND(Source!AD172*Source!I172, 2)+ROUND(Source!AF172*Source!I172, 2)</f>
        <v>310.25</v>
      </c>
      <c r="I327" s="41"/>
      <c r="J327" s="41">
        <f>IF(Source!BC172&lt;&gt; 0, Source!BC172, 1)</f>
        <v>6.08</v>
      </c>
      <c r="K327" s="42">
        <f>Source!O172</f>
        <v>1886.32</v>
      </c>
      <c r="L327" s="47"/>
      <c r="S327">
        <f>ROUND((Source!FX172/100)*((ROUND(Source!AF172*Source!I172, 2)+ROUND(Source!AE172*Source!I172, 2))), 2)</f>
        <v>0</v>
      </c>
      <c r="T327">
        <f>Source!X172</f>
        <v>0</v>
      </c>
      <c r="U327">
        <f>ROUND((Source!FY172/100)*((ROUND(Source!AF172*Source!I172, 2)+ROUND(Source!AE172*Source!I172, 2))), 2)</f>
        <v>0</v>
      </c>
      <c r="V327">
        <f>Source!Y172</f>
        <v>0</v>
      </c>
      <c r="W327">
        <f>IF(Source!BI172&lt;=1,H327, 0)</f>
        <v>310.25</v>
      </c>
      <c r="X327">
        <f>IF(Source!BI172=2,H327, 0)</f>
        <v>0</v>
      </c>
      <c r="Y327">
        <f>IF(Source!BI172=3,H327, 0)</f>
        <v>0</v>
      </c>
      <c r="Z327">
        <f>IF(Source!BI172=4,H327, 0)</f>
        <v>0</v>
      </c>
    </row>
    <row r="328" spans="1:26" ht="15" x14ac:dyDescent="0.25">
      <c r="G328" s="69">
        <f>H322+H323+H324+H325+SUM(H327:H327)</f>
        <v>333.47</v>
      </c>
      <c r="H328" s="69"/>
      <c r="J328" s="69">
        <f>K322+K323+K324+K325+SUM(K327:K327)</f>
        <v>2027.6499999999999</v>
      </c>
      <c r="K328" s="69"/>
      <c r="L328" s="44">
        <f>Source!U170</f>
        <v>0.80499999999999994</v>
      </c>
      <c r="O328" s="27">
        <f>G328</f>
        <v>333.47</v>
      </c>
      <c r="P328" s="27">
        <f>J328</f>
        <v>2027.6499999999999</v>
      </c>
      <c r="Q328" s="27">
        <f>L328</f>
        <v>0.80499999999999994</v>
      </c>
      <c r="W328">
        <f>IF(Source!BI170&lt;=1,H322+H323+H324+H325, 0)</f>
        <v>23.22</v>
      </c>
      <c r="X328">
        <f>IF(Source!BI170=2,H322+H323+H324+H325, 0)</f>
        <v>0</v>
      </c>
      <c r="Y328">
        <f>IF(Source!BI170=3,H322+H323+H324+H325, 0)</f>
        <v>0</v>
      </c>
      <c r="Z328">
        <f>IF(Source!BI170=4,H322+H323+H324+H325, 0)</f>
        <v>0</v>
      </c>
    </row>
    <row r="329" spans="1:26" ht="42.75" x14ac:dyDescent="0.2">
      <c r="A329" s="51" t="str">
        <f>Source!E174</f>
        <v>31</v>
      </c>
      <c r="B329" s="52" t="str">
        <f>Source!F174</f>
        <v>т01-01-01-041</v>
      </c>
      <c r="C329" s="52" t="str">
        <f>Source!G174</f>
        <v>Погрузочные работы при автомобильных перевозках мусора строительного с погрузкой вручную</v>
      </c>
      <c r="D329" s="38" t="str">
        <f>Source!H174</f>
        <v>1 Т ГРУЗА</v>
      </c>
      <c r="E329" s="39">
        <f>Source!I174</f>
        <v>1.5</v>
      </c>
      <c r="F329" s="40">
        <f>Source!AK174</f>
        <v>42.98</v>
      </c>
      <c r="G329" s="41" t="str">
        <f>Source!DC174</f>
        <v/>
      </c>
      <c r="H329" s="42">
        <f>ROUND(Source!AB174*Source!I174, 2)</f>
        <v>64.47</v>
      </c>
      <c r="I329" s="41" t="str">
        <f>Source!BO174</f>
        <v/>
      </c>
      <c r="J329" s="41">
        <f>Source!AZ174</f>
        <v>6.08</v>
      </c>
      <c r="K329" s="42">
        <f>Source!GM174</f>
        <v>391.98</v>
      </c>
      <c r="L329" s="47"/>
      <c r="S329">
        <f>ROUND((Source!FX174/100)*((ROUND(0*Source!I174, 2)+ROUND(0*Source!I174, 2))), 2)</f>
        <v>0</v>
      </c>
      <c r="T329">
        <f>Source!X174</f>
        <v>0</v>
      </c>
      <c r="U329">
        <f>ROUND((Source!FY174/100)*((ROUND(0*Source!I174, 2)+ROUND(0*Source!I174, 2))), 2)</f>
        <v>0</v>
      </c>
      <c r="V329">
        <f>Source!Y174</f>
        <v>0</v>
      </c>
    </row>
    <row r="330" spans="1:26" ht="15" x14ac:dyDescent="0.25">
      <c r="G330" s="69">
        <f>H329</f>
        <v>64.47</v>
      </c>
      <c r="H330" s="69"/>
      <c r="J330" s="69">
        <f>K329</f>
        <v>391.98</v>
      </c>
      <c r="K330" s="69"/>
      <c r="L330" s="44">
        <f>Source!U174</f>
        <v>0</v>
      </c>
      <c r="O330" s="27">
        <f>G330</f>
        <v>64.47</v>
      </c>
      <c r="P330" s="27">
        <f>J330</f>
        <v>391.98</v>
      </c>
      <c r="Q330" s="27">
        <f>L330</f>
        <v>0</v>
      </c>
      <c r="W330">
        <f>IF(Source!BI174&lt;=1,H329, 0)</f>
        <v>64.47</v>
      </c>
      <c r="X330">
        <f>IF(Source!BI174=2,H329, 0)</f>
        <v>0</v>
      </c>
      <c r="Y330">
        <f>IF(Source!BI174=3,H329, 0)</f>
        <v>0</v>
      </c>
      <c r="Z330">
        <f>IF(Source!BI174=4,H329, 0)</f>
        <v>0</v>
      </c>
    </row>
    <row r="331" spans="1:26" ht="57" x14ac:dyDescent="0.2">
      <c r="A331" s="51" t="str">
        <f>Source!E176</f>
        <v>32</v>
      </c>
      <c r="B331" s="52" t="str">
        <f>Source!F176</f>
        <v>т03-01-01-015</v>
      </c>
      <c r="C331" s="52" t="str">
        <f>Source!G176</f>
        <v>Перевозка грузов I класса автомобилями бортовыми грузоподъемностью до 15 т на расстояние до 15 км</v>
      </c>
      <c r="D331" s="38" t="str">
        <f>Source!H176</f>
        <v>1 Т ГРУЗА</v>
      </c>
      <c r="E331" s="39">
        <f>Source!I176</f>
        <v>1.5</v>
      </c>
      <c r="F331" s="40">
        <f>Source!AK176</f>
        <v>14.03</v>
      </c>
      <c r="G331" s="41" t="str">
        <f>Source!DC176</f>
        <v/>
      </c>
      <c r="H331" s="42">
        <f>ROUND(Source!AB176*Source!I176, 2)</f>
        <v>21.05</v>
      </c>
      <c r="I331" s="41" t="str">
        <f>Source!BO176</f>
        <v/>
      </c>
      <c r="J331" s="41">
        <f>Source!AZ176</f>
        <v>6.08</v>
      </c>
      <c r="K331" s="42">
        <f>Source!GM176</f>
        <v>127.95</v>
      </c>
      <c r="L331" s="47"/>
      <c r="S331">
        <f>ROUND((Source!FX176/100)*((ROUND(0*Source!I176, 2)+ROUND(0*Source!I176, 2))), 2)</f>
        <v>0</v>
      </c>
      <c r="T331">
        <f>Source!X176</f>
        <v>0</v>
      </c>
      <c r="U331">
        <f>ROUND((Source!FY176/100)*((ROUND(0*Source!I176, 2)+ROUND(0*Source!I176, 2))), 2)</f>
        <v>0</v>
      </c>
      <c r="V331">
        <f>Source!Y176</f>
        <v>0</v>
      </c>
    </row>
    <row r="332" spans="1:26" ht="15" x14ac:dyDescent="0.25">
      <c r="G332" s="69">
        <f>H331</f>
        <v>21.05</v>
      </c>
      <c r="H332" s="69"/>
      <c r="J332" s="69">
        <f>K331</f>
        <v>127.95</v>
      </c>
      <c r="K332" s="69"/>
      <c r="L332" s="44">
        <f>Source!U176</f>
        <v>0</v>
      </c>
      <c r="O332" s="27">
        <f>G332</f>
        <v>21.05</v>
      </c>
      <c r="P332" s="27">
        <f>J332</f>
        <v>127.95</v>
      </c>
      <c r="Q332" s="27">
        <f>L332</f>
        <v>0</v>
      </c>
      <c r="W332">
        <f>IF(Source!BI176&lt;=1,H331, 0)</f>
        <v>21.05</v>
      </c>
      <c r="X332">
        <f>IF(Source!BI176=2,H331, 0)</f>
        <v>0</v>
      </c>
      <c r="Y332">
        <f>IF(Source!BI176=3,H331, 0)</f>
        <v>0</v>
      </c>
      <c r="Z332">
        <f>IF(Source!BI176=4,H331, 0)</f>
        <v>0</v>
      </c>
    </row>
    <row r="334" spans="1:26" ht="15" x14ac:dyDescent="0.25">
      <c r="A334" s="72" t="str">
        <f>CONCATENATE("Итого по разделу: ",IF(Source!G178&lt;&gt;"Новый раздел", Source!G178, ""))</f>
        <v>Итого по разделу: Сантехнические работы</v>
      </c>
      <c r="B334" s="72"/>
      <c r="C334" s="72"/>
      <c r="D334" s="72"/>
      <c r="E334" s="72"/>
      <c r="F334" s="72"/>
      <c r="G334" s="74">
        <f>SUM(O249:O333)</f>
        <v>689.26</v>
      </c>
      <c r="H334" s="74"/>
      <c r="I334" s="28"/>
      <c r="J334" s="74">
        <f>SUM(P249:P333)</f>
        <v>4190.91</v>
      </c>
      <c r="K334" s="74"/>
      <c r="L334" s="44">
        <f>SUM(Q249:Q333)</f>
        <v>4.8714649999999997</v>
      </c>
    </row>
    <row r="335" spans="1:26" ht="15" x14ac:dyDescent="0.25">
      <c r="C335" s="72" t="str">
        <f>Source!H270</f>
        <v>Всего</v>
      </c>
      <c r="D335" s="72"/>
      <c r="E335" s="72"/>
      <c r="F335" s="72"/>
      <c r="G335" s="72"/>
      <c r="H335" s="72"/>
      <c r="I335" s="72"/>
      <c r="J335" s="74">
        <f>IF(Source!P270=0, "", Source!P270)</f>
        <v>1160549.23</v>
      </c>
      <c r="K335" s="74"/>
    </row>
    <row r="336" spans="1:26" ht="15" x14ac:dyDescent="0.25">
      <c r="C336" s="72" t="str">
        <f>Source!H271</f>
        <v>Итого НДС 18%</v>
      </c>
      <c r="D336" s="72"/>
      <c r="E336" s="72"/>
      <c r="F336" s="72"/>
      <c r="G336" s="72"/>
      <c r="H336" s="72"/>
      <c r="I336" s="72"/>
      <c r="J336" s="74">
        <f>IF(Source!P271=0, "", Source!P271)</f>
        <v>208898.86</v>
      </c>
      <c r="K336" s="74"/>
    </row>
    <row r="337" spans="3:11" ht="15" x14ac:dyDescent="0.25">
      <c r="C337" s="72" t="str">
        <f>Source!H272</f>
        <v>Всего по смете</v>
      </c>
      <c r="D337" s="72"/>
      <c r="E337" s="72"/>
      <c r="F337" s="72"/>
      <c r="G337" s="72"/>
      <c r="H337" s="72"/>
      <c r="I337" s="72"/>
      <c r="J337" s="74">
        <f>IF(Source!P272=0, "", Source!P272)</f>
        <v>1369448.09</v>
      </c>
      <c r="K337" s="74"/>
    </row>
    <row r="338" spans="3:11" x14ac:dyDescent="0.2">
      <c r="C338" s="68"/>
      <c r="D338" s="68"/>
      <c r="E338" s="68"/>
      <c r="F338" s="68"/>
      <c r="G338" s="68"/>
      <c r="H338" s="68"/>
      <c r="I338" s="68"/>
      <c r="J338" s="68"/>
      <c r="K338" s="68"/>
    </row>
  </sheetData>
  <mergeCells count="159">
    <mergeCell ref="B5:K5"/>
    <mergeCell ref="B7:K7"/>
    <mergeCell ref="B9:K9"/>
    <mergeCell ref="B10:K10"/>
    <mergeCell ref="C14:F14"/>
    <mergeCell ref="G14:H14"/>
    <mergeCell ref="G13:H13"/>
    <mergeCell ref="I13:J13"/>
    <mergeCell ref="I14:J14"/>
    <mergeCell ref="K14:L14"/>
    <mergeCell ref="C15:F15"/>
    <mergeCell ref="G15:H15"/>
    <mergeCell ref="I15:J15"/>
    <mergeCell ref="K15:L15"/>
    <mergeCell ref="C17:F17"/>
    <mergeCell ref="G17:H17"/>
    <mergeCell ref="I17:J17"/>
    <mergeCell ref="K17:L17"/>
    <mergeCell ref="C16:F16"/>
    <mergeCell ref="G16:H16"/>
    <mergeCell ref="K20:L20"/>
    <mergeCell ref="A22:L22"/>
    <mergeCell ref="F91:G91"/>
    <mergeCell ref="F90:G90"/>
    <mergeCell ref="J85:K85"/>
    <mergeCell ref="F82:G82"/>
    <mergeCell ref="I16:J16"/>
    <mergeCell ref="K16:L16"/>
    <mergeCell ref="C18:F18"/>
    <mergeCell ref="G18:H18"/>
    <mergeCell ref="I18:J18"/>
    <mergeCell ref="K18:L18"/>
    <mergeCell ref="G19:H19"/>
    <mergeCell ref="I19:J19"/>
    <mergeCell ref="J77:K77"/>
    <mergeCell ref="C336:I336"/>
    <mergeCell ref="J336:K336"/>
    <mergeCell ref="C337:I337"/>
    <mergeCell ref="J337:K337"/>
    <mergeCell ref="J319:K319"/>
    <mergeCell ref="G319:H319"/>
    <mergeCell ref="F316:G316"/>
    <mergeCell ref="K19:L19"/>
    <mergeCell ref="C335:I335"/>
    <mergeCell ref="J335:K335"/>
    <mergeCell ref="F324:G324"/>
    <mergeCell ref="G334:H334"/>
    <mergeCell ref="J328:K328"/>
    <mergeCell ref="G328:H328"/>
    <mergeCell ref="F325:G325"/>
    <mergeCell ref="F129:G129"/>
    <mergeCell ref="C19:F19"/>
    <mergeCell ref="J334:K334"/>
    <mergeCell ref="C20:F20"/>
    <mergeCell ref="G20:H20"/>
    <mergeCell ref="I20:J20"/>
    <mergeCell ref="F33:G33"/>
    <mergeCell ref="A26:L26"/>
    <mergeCell ref="G144:H144"/>
    <mergeCell ref="F140:G140"/>
    <mergeCell ref="F139:G139"/>
    <mergeCell ref="J132:K132"/>
    <mergeCell ref="G132:H132"/>
    <mergeCell ref="F130:G130"/>
    <mergeCell ref="F57:G57"/>
    <mergeCell ref="J45:K45"/>
    <mergeCell ref="G45:H45"/>
    <mergeCell ref="J36:K36"/>
    <mergeCell ref="G36:H36"/>
    <mergeCell ref="J60:K60"/>
    <mergeCell ref="G60:H60"/>
    <mergeCell ref="F58:G58"/>
    <mergeCell ref="J52:K52"/>
    <mergeCell ref="G52:H52"/>
    <mergeCell ref="F74:G74"/>
    <mergeCell ref="J68:K68"/>
    <mergeCell ref="G68:H68"/>
    <mergeCell ref="F98:G98"/>
    <mergeCell ref="F97:G97"/>
    <mergeCell ref="G77:H77"/>
    <mergeCell ref="F119:G119"/>
    <mergeCell ref="F118:G118"/>
    <mergeCell ref="J100:K100"/>
    <mergeCell ref="G100:H100"/>
    <mergeCell ref="J111:K111"/>
    <mergeCell ref="G111:H111"/>
    <mergeCell ref="F108:G108"/>
    <mergeCell ref="F107:G107"/>
    <mergeCell ref="F34:G34"/>
    <mergeCell ref="F75:G75"/>
    <mergeCell ref="G85:H85"/>
    <mergeCell ref="F83:G83"/>
    <mergeCell ref="J93:K93"/>
    <mergeCell ref="G93:H93"/>
    <mergeCell ref="J286:K286"/>
    <mergeCell ref="G286:H286"/>
    <mergeCell ref="F151:G151"/>
    <mergeCell ref="J122:K122"/>
    <mergeCell ref="G122:H122"/>
    <mergeCell ref="F173:G173"/>
    <mergeCell ref="F172:G172"/>
    <mergeCell ref="J144:K144"/>
    <mergeCell ref="F161:G161"/>
    <mergeCell ref="F160:G160"/>
    <mergeCell ref="J165:K165"/>
    <mergeCell ref="G165:H165"/>
    <mergeCell ref="J201:K201"/>
    <mergeCell ref="G201:H201"/>
    <mergeCell ref="J154:K154"/>
    <mergeCell ref="G154:H154"/>
    <mergeCell ref="F152:G152"/>
    <mergeCell ref="J181:K181"/>
    <mergeCell ref="G181:H181"/>
    <mergeCell ref="F198:G198"/>
    <mergeCell ref="F197:G197"/>
    <mergeCell ref="J190:K190"/>
    <mergeCell ref="G190:H190"/>
    <mergeCell ref="F294:G294"/>
    <mergeCell ref="F293:G293"/>
    <mergeCell ref="J223:K223"/>
    <mergeCell ref="G223:H223"/>
    <mergeCell ref="G259:H259"/>
    <mergeCell ref="A249:L249"/>
    <mergeCell ref="G247:H247"/>
    <mergeCell ref="J247:K247"/>
    <mergeCell ref="A247:F247"/>
    <mergeCell ref="J245:K245"/>
    <mergeCell ref="J211:K211"/>
    <mergeCell ref="G211:H211"/>
    <mergeCell ref="F239:G239"/>
    <mergeCell ref="J259:K259"/>
    <mergeCell ref="J268:K268"/>
    <mergeCell ref="G268:H268"/>
    <mergeCell ref="J233:K233"/>
    <mergeCell ref="G233:H233"/>
    <mergeCell ref="J297:K297"/>
    <mergeCell ref="G297:H297"/>
    <mergeCell ref="F187:G187"/>
    <mergeCell ref="F186:G186"/>
    <mergeCell ref="A334:F334"/>
    <mergeCell ref="J277:K277"/>
    <mergeCell ref="G277:H277"/>
    <mergeCell ref="F315:G315"/>
    <mergeCell ref="J308:K308"/>
    <mergeCell ref="G308:H308"/>
    <mergeCell ref="F305:G305"/>
    <mergeCell ref="F304:G304"/>
    <mergeCell ref="G245:H245"/>
    <mergeCell ref="F240:G240"/>
    <mergeCell ref="F209:G209"/>
    <mergeCell ref="F208:G208"/>
    <mergeCell ref="J332:K332"/>
    <mergeCell ref="G332:H332"/>
    <mergeCell ref="J330:K330"/>
    <mergeCell ref="G330:H330"/>
    <mergeCell ref="F230:G230"/>
    <mergeCell ref="F229:G229"/>
    <mergeCell ref="F219:G219"/>
    <mergeCell ref="F218:G218"/>
  </mergeCells>
  <phoneticPr fontId="0" type="noConversion"/>
  <pageMargins left="0.4" right="0.2" top="0.27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30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8"/>
      <c r="B2" s="28"/>
      <c r="C2" s="28"/>
      <c r="D2" s="28"/>
      <c r="E2" s="99" t="s">
        <v>157</v>
      </c>
      <c r="F2" s="99"/>
      <c r="G2" s="99"/>
      <c r="H2" s="99"/>
    </row>
    <row r="3" spans="1:31" ht="14.25" x14ac:dyDescent="0.2">
      <c r="A3" s="14"/>
      <c r="B3" s="14"/>
      <c r="C3" s="14"/>
      <c r="D3" s="14"/>
      <c r="E3" s="99" t="s">
        <v>158</v>
      </c>
      <c r="F3" s="99"/>
      <c r="G3" s="99"/>
      <c r="H3" s="99"/>
    </row>
    <row r="4" spans="1:31" ht="14.25" x14ac:dyDescent="0.2">
      <c r="A4" s="14"/>
      <c r="B4" s="14"/>
      <c r="C4" s="14"/>
      <c r="D4" s="14"/>
      <c r="E4" s="99" t="s">
        <v>159</v>
      </c>
      <c r="F4" s="99"/>
      <c r="G4" s="99"/>
      <c r="H4" s="99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0" t="s">
        <v>160</v>
      </c>
      <c r="H6" s="101"/>
    </row>
    <row r="7" spans="1:31" ht="14.25" x14ac:dyDescent="0.2">
      <c r="A7" s="14"/>
      <c r="B7" s="14"/>
      <c r="C7" s="14"/>
      <c r="D7" s="14"/>
      <c r="E7" s="14"/>
      <c r="F7" s="13" t="s">
        <v>161</v>
      </c>
      <c r="G7" s="111" t="s">
        <v>162</v>
      </c>
      <c r="H7" s="101"/>
    </row>
    <row r="8" spans="1:31" ht="14.25" x14ac:dyDescent="0.2">
      <c r="A8" s="14"/>
      <c r="B8" s="14"/>
      <c r="C8" s="14"/>
      <c r="D8" s="14"/>
      <c r="E8" s="14"/>
      <c r="F8" s="14"/>
      <c r="G8" s="100" t="str">
        <f>IF(Source!AT15 &lt;&gt; "", Source!AT15, "")</f>
        <v/>
      </c>
      <c r="H8" s="101"/>
    </row>
    <row r="9" spans="1:31" ht="14.25" x14ac:dyDescent="0.2">
      <c r="A9" s="14" t="s">
        <v>163</v>
      </c>
      <c r="B9" s="14"/>
      <c r="C9" s="107" t="str">
        <f>IF(Source!BA15 &lt;&gt; "", Source!BA15, IF(Source!AU15 &lt;&gt; "", Source!AU15, ""))</f>
        <v/>
      </c>
      <c r="D9" s="107"/>
      <c r="E9" s="107"/>
      <c r="F9" s="13" t="s">
        <v>164</v>
      </c>
      <c r="G9" s="105"/>
      <c r="H9" s="106"/>
    </row>
    <row r="10" spans="1:31" ht="14.25" x14ac:dyDescent="0.2">
      <c r="A10" s="14"/>
      <c r="B10" s="14"/>
      <c r="C10" s="102" t="s">
        <v>165</v>
      </c>
      <c r="D10" s="102"/>
      <c r="E10" s="102"/>
      <c r="F10" s="14"/>
      <c r="G10" s="100" t="str">
        <f>IF(Source!AK15 &lt;&gt; "", Source!AK15, "")</f>
        <v/>
      </c>
      <c r="H10" s="101"/>
    </row>
    <row r="11" spans="1:31" ht="14.25" x14ac:dyDescent="0.2">
      <c r="A11" s="14" t="s">
        <v>166</v>
      </c>
      <c r="B11" s="14"/>
      <c r="C11" s="107" t="str">
        <f>IF(Source!AX12&lt;&gt; "", Source!AX12, IF(Source!AJ12 &lt;&gt; "", Source!AJ12, ""))</f>
        <v/>
      </c>
      <c r="D11" s="107"/>
      <c r="E11" s="107"/>
      <c r="F11" s="13" t="s">
        <v>164</v>
      </c>
      <c r="G11" s="105"/>
      <c r="H11" s="106"/>
    </row>
    <row r="12" spans="1:31" ht="14.25" x14ac:dyDescent="0.2">
      <c r="A12" s="14"/>
      <c r="B12" s="14"/>
      <c r="C12" s="102" t="s">
        <v>165</v>
      </c>
      <c r="D12" s="102"/>
      <c r="E12" s="102"/>
      <c r="F12" s="14"/>
      <c r="G12" s="100" t="str">
        <f>IF(Source!AO15 &lt;&gt; "", Source!AO15, "")</f>
        <v/>
      </c>
      <c r="H12" s="101"/>
    </row>
    <row r="13" spans="1:31" ht="14.25" x14ac:dyDescent="0.2">
      <c r="A13" s="14" t="s">
        <v>167</v>
      </c>
      <c r="B13" s="14"/>
      <c r="C13" s="107" t="str">
        <f>IF(Source!AY12&lt;&gt; "", Source!AY12, IF(Source!AN12 &lt;&gt; "", Source!AN12, ""))</f>
        <v/>
      </c>
      <c r="D13" s="107"/>
      <c r="E13" s="107"/>
      <c r="F13" s="13" t="s">
        <v>164</v>
      </c>
      <c r="G13" s="105"/>
      <c r="H13" s="106"/>
    </row>
    <row r="14" spans="1:31" ht="14.25" x14ac:dyDescent="0.2">
      <c r="A14" s="14"/>
      <c r="B14" s="14"/>
      <c r="C14" s="102" t="s">
        <v>165</v>
      </c>
      <c r="D14" s="102"/>
      <c r="E14" s="102"/>
      <c r="F14" s="14"/>
      <c r="G14" s="100" t="str">
        <f>IF(Source!CO15 &lt;&gt; "", Source!CO15, "")</f>
        <v/>
      </c>
      <c r="H14" s="101"/>
    </row>
    <row r="15" spans="1:31" ht="28.5" x14ac:dyDescent="0.2">
      <c r="A15" s="14" t="s">
        <v>168</v>
      </c>
      <c r="B15" s="14"/>
      <c r="C15" s="107" t="s">
        <v>225</v>
      </c>
      <c r="D15" s="107"/>
      <c r="E15" s="107"/>
      <c r="F15" s="14"/>
      <c r="G15" s="105"/>
      <c r="H15" s="106"/>
      <c r="AE15" s="30" t="s">
        <v>225</v>
      </c>
    </row>
    <row r="16" spans="1:31" ht="14.25" x14ac:dyDescent="0.2">
      <c r="A16" s="14"/>
      <c r="B16" s="14"/>
      <c r="C16" s="102" t="s">
        <v>169</v>
      </c>
      <c r="D16" s="102"/>
      <c r="E16" s="102"/>
      <c r="F16" s="14"/>
      <c r="G16" s="100" t="str">
        <f>IF(Source!CP15 &lt;&gt; "", Source!CP15, "")</f>
        <v/>
      </c>
      <c r="H16" s="101"/>
    </row>
    <row r="17" spans="1:31" ht="28.5" x14ac:dyDescent="0.2">
      <c r="A17" s="14" t="s">
        <v>170</v>
      </c>
      <c r="B17" s="14"/>
      <c r="C17" s="107" t="str">
        <f>IF(Source!G12&lt;&gt;"Новый объект", Source!G12, "")</f>
        <v>Капитальный помещений №58,59 1-го этажа учебного корпуса СФТИ НИЯУ мИФИ</v>
      </c>
      <c r="D17" s="107"/>
      <c r="E17" s="107"/>
      <c r="F17" s="14"/>
      <c r="G17" s="108"/>
      <c r="H17" s="109"/>
      <c r="AE17" s="30" t="str">
        <f>IF(Source!G12&lt;&gt;"Новый объект", Source!G12, "")</f>
        <v>Капитальный помещений №58,59 1-го этажа учебного корпуса СФТИ НИЯУ мИФИ</v>
      </c>
    </row>
    <row r="18" spans="1:31" ht="14.25" x14ac:dyDescent="0.2">
      <c r="A18" s="14"/>
      <c r="B18" s="14"/>
      <c r="C18" s="102" t="s">
        <v>171</v>
      </c>
      <c r="D18" s="102"/>
      <c r="E18" s="102"/>
      <c r="F18" s="14"/>
      <c r="G18" s="14"/>
      <c r="H18" s="14"/>
    </row>
    <row r="19" spans="1:31" ht="14.25" x14ac:dyDescent="0.2">
      <c r="A19" s="14"/>
      <c r="B19" s="14"/>
      <c r="C19" s="14"/>
      <c r="D19" s="79" t="s">
        <v>172</v>
      </c>
      <c r="E19" s="79"/>
      <c r="F19" s="110"/>
      <c r="G19" s="100" t="str">
        <f>IF(Source!CQ15 &lt;&gt; "", Source!CQ15, "")</f>
        <v/>
      </c>
      <c r="H19" s="101"/>
    </row>
    <row r="20" spans="1:31" ht="14.25" x14ac:dyDescent="0.2">
      <c r="A20" s="14"/>
      <c r="B20" s="14"/>
      <c r="C20" s="14"/>
      <c r="D20" s="79" t="s">
        <v>173</v>
      </c>
      <c r="E20" s="110"/>
      <c r="F20" s="55" t="s">
        <v>174</v>
      </c>
      <c r="G20" s="100" t="str">
        <f>IF(Source!CR15 &lt;&gt; "", Source!CR15, "")</f>
        <v/>
      </c>
      <c r="H20" s="101"/>
    </row>
    <row r="21" spans="1:31" ht="14.25" x14ac:dyDescent="0.2">
      <c r="A21" s="14"/>
      <c r="B21" s="14"/>
      <c r="C21" s="14"/>
      <c r="D21" s="14"/>
      <c r="E21" s="14"/>
      <c r="F21" s="22" t="s">
        <v>175</v>
      </c>
      <c r="G21" s="103" t="str">
        <f>IF(Source!CS15 &lt;&gt; 0, Source!CS15, "")</f>
        <v/>
      </c>
      <c r="H21" s="104"/>
    </row>
    <row r="22" spans="1:31" ht="14.25" x14ac:dyDescent="0.2">
      <c r="A22" s="14"/>
      <c r="B22" s="14"/>
      <c r="C22" s="14"/>
      <c r="D22" s="14"/>
      <c r="E22" s="14"/>
      <c r="F22" s="13" t="s">
        <v>176</v>
      </c>
      <c r="G22" s="89" t="str">
        <f>IF(Source!CT15 &lt;&gt; "", Source!CT15, "")</f>
        <v/>
      </c>
      <c r="H22" s="90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1" t="s">
        <v>177</v>
      </c>
      <c r="E24" s="93" t="s">
        <v>178</v>
      </c>
      <c r="F24" s="93" t="s">
        <v>179</v>
      </c>
      <c r="G24" s="95"/>
      <c r="H24" s="14"/>
    </row>
    <row r="25" spans="1:31" ht="14.25" x14ac:dyDescent="0.2">
      <c r="A25" s="14"/>
      <c r="B25" s="14"/>
      <c r="C25" s="14"/>
      <c r="D25" s="92"/>
      <c r="E25" s="94"/>
      <c r="F25" s="56" t="s">
        <v>180</v>
      </c>
      <c r="G25" s="57" t="s">
        <v>181</v>
      </c>
      <c r="H25" s="14"/>
    </row>
    <row r="26" spans="1:31" ht="14.25" x14ac:dyDescent="0.2">
      <c r="A26" s="14"/>
      <c r="B26" s="14"/>
      <c r="C26" s="14"/>
      <c r="D26" s="58" t="str">
        <f>IF(Source!CN15 &lt;&gt; "", Source!CN15, "")</f>
        <v/>
      </c>
      <c r="E26" s="59">
        <v>43143.420960648145</v>
      </c>
      <c r="F26" s="58"/>
      <c r="G26" s="60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8" t="s">
        <v>182</v>
      </c>
      <c r="B28" s="98"/>
      <c r="C28" s="98"/>
      <c r="D28" s="98"/>
      <c r="E28" s="98"/>
      <c r="F28" s="98"/>
      <c r="G28" s="98"/>
      <c r="H28" s="98"/>
    </row>
    <row r="29" spans="1:31" ht="18" x14ac:dyDescent="0.25">
      <c r="A29" s="98" t="s">
        <v>183</v>
      </c>
      <c r="B29" s="98"/>
      <c r="C29" s="98"/>
      <c r="D29" s="98"/>
      <c r="E29" s="98"/>
      <c r="F29" s="98"/>
      <c r="G29" s="98"/>
      <c r="H29" s="98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184</v>
      </c>
      <c r="B31" s="14"/>
      <c r="C31" s="14"/>
      <c r="D31" s="14"/>
      <c r="E31" s="14"/>
      <c r="F31" s="96">
        <f>(Source!P272/1000)</f>
        <v>1369.4480900000001</v>
      </c>
      <c r="G31" s="96"/>
      <c r="H31" s="14" t="s">
        <v>185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7" t="s">
        <v>186</v>
      </c>
      <c r="B33" s="97"/>
      <c r="C33" s="97" t="s">
        <v>187</v>
      </c>
      <c r="D33" s="97" t="s">
        <v>188</v>
      </c>
      <c r="E33" s="97" t="s">
        <v>189</v>
      </c>
      <c r="F33" s="97" t="s">
        <v>190</v>
      </c>
      <c r="G33" s="97"/>
      <c r="H33" s="97"/>
    </row>
    <row r="34" spans="1:28" ht="57" x14ac:dyDescent="0.2">
      <c r="A34" s="21" t="s">
        <v>191</v>
      </c>
      <c r="B34" s="21" t="s">
        <v>192</v>
      </c>
      <c r="C34" s="97"/>
      <c r="D34" s="97"/>
      <c r="E34" s="97"/>
      <c r="F34" s="21" t="s">
        <v>193</v>
      </c>
      <c r="G34" s="21" t="s">
        <v>194</v>
      </c>
      <c r="H34" s="21" t="s">
        <v>195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73" t="str">
        <f>CONCATENATE("Локальная смета: ",IF(Source!G20&lt;&gt;"Новая локальная смета", Source!G20, ""))</f>
        <v xml:space="preserve">Локальная смета: </v>
      </c>
      <c r="B37" s="73"/>
      <c r="C37" s="73"/>
      <c r="D37" s="73"/>
      <c r="E37" s="73"/>
      <c r="F37" s="73"/>
      <c r="G37" s="73"/>
      <c r="H37" s="73"/>
    </row>
    <row r="39" spans="1:28" ht="16.5" x14ac:dyDescent="0.25">
      <c r="A39" s="73" t="str">
        <f>CONCATENATE("Раздел: ",IF(Source!G24&lt;&gt;"Новый раздел", Source!G24, ""))</f>
        <v>Раздел: Общестроительные работы</v>
      </c>
      <c r="B39" s="73"/>
      <c r="C39" s="73"/>
      <c r="D39" s="73"/>
      <c r="E39" s="73"/>
      <c r="F39" s="73"/>
      <c r="G39" s="73"/>
      <c r="H39" s="73"/>
    </row>
    <row r="40" spans="1:28" ht="57" x14ac:dyDescent="0.2">
      <c r="A40" s="50">
        <v>1</v>
      </c>
      <c r="B40" s="50" t="str">
        <f>Source!E29</f>
        <v>1</v>
      </c>
      <c r="C40" s="50" t="str">
        <f>Source!G29</f>
        <v>Установка и разборка наружных инвентарных лесов высотой до 16 м трубчатых для прочих отделочных работ</v>
      </c>
      <c r="D40" s="50" t="str">
        <f>Source!F29</f>
        <v>08-07-001-02</v>
      </c>
      <c r="E40" s="33" t="str">
        <f>Source!H29</f>
        <v>100 м2</v>
      </c>
      <c r="F40" s="14">
        <f>Source!I29</f>
        <v>2.91</v>
      </c>
      <c r="G40" s="24">
        <f>Source!AB29</f>
        <v>557.71600000000001</v>
      </c>
      <c r="H40" s="25">
        <f>Source!O29</f>
        <v>9867.5499999999993</v>
      </c>
      <c r="T40">
        <f>Source!O29+Source!X29+Source!Y29</f>
        <v>23511.279999999999</v>
      </c>
      <c r="U40">
        <f>Source!P29</f>
        <v>2118.71</v>
      </c>
      <c r="V40">
        <f>Source!S29</f>
        <v>7647.11</v>
      </c>
      <c r="W40">
        <f>Source!Q29</f>
        <v>101.73</v>
      </c>
      <c r="X40">
        <f>Source!R29</f>
        <v>17.91</v>
      </c>
      <c r="Y40">
        <f>Source!U29</f>
        <v>145.57275000000001</v>
      </c>
      <c r="Z40">
        <f>Source!V29</f>
        <v>0.25462500000000005</v>
      </c>
      <c r="AA40">
        <f>Source!X29</f>
        <v>8431.52</v>
      </c>
      <c r="AB40">
        <f>Source!Y29</f>
        <v>5212.21</v>
      </c>
    </row>
    <row r="41" spans="1:28" ht="14.25" x14ac:dyDescent="0.2">
      <c r="C41" s="26" t="str">
        <f>"Объем: "&amp;Source!I29&amp;"=291/"&amp;"100"</f>
        <v>Объем: 2,91=291/100</v>
      </c>
      <c r="F41" s="14"/>
      <c r="G41" s="14"/>
      <c r="H41" s="14"/>
    </row>
    <row r="42" spans="1:28" x14ac:dyDescent="0.2">
      <c r="C42" s="26" t="s">
        <v>196</v>
      </c>
      <c r="D42" s="26">
        <f>Source!BA29</f>
        <v>6.08</v>
      </c>
    </row>
    <row r="43" spans="1:28" x14ac:dyDescent="0.2">
      <c r="C43" s="26" t="s">
        <v>197</v>
      </c>
      <c r="D43" s="26">
        <f>Source!BB29</f>
        <v>6.08</v>
      </c>
    </row>
    <row r="44" spans="1:28" x14ac:dyDescent="0.2">
      <c r="C44" s="26" t="s">
        <v>198</v>
      </c>
      <c r="D44" s="26">
        <f>Source!BC29</f>
        <v>6.08</v>
      </c>
    </row>
    <row r="45" spans="1:28" x14ac:dyDescent="0.2">
      <c r="C45" s="26" t="s">
        <v>199</v>
      </c>
      <c r="D45" s="26">
        <f>Source!BS29</f>
        <v>6.08</v>
      </c>
    </row>
    <row r="46" spans="1:28" x14ac:dyDescent="0.2">
      <c r="C46" s="26" t="s">
        <v>200</v>
      </c>
      <c r="D46" s="88" t="s">
        <v>239</v>
      </c>
      <c r="E46" s="88"/>
      <c r="F46" s="88"/>
      <c r="G46" s="88"/>
      <c r="H46" s="88"/>
    </row>
    <row r="47" spans="1:28" x14ac:dyDescent="0.2">
      <c r="C47" s="26" t="s">
        <v>201</v>
      </c>
      <c r="D47" s="88" t="s">
        <v>239</v>
      </c>
      <c r="E47" s="88"/>
      <c r="F47" s="88"/>
      <c r="G47" s="88"/>
      <c r="H47" s="88"/>
    </row>
    <row r="48" spans="1:28" x14ac:dyDescent="0.2">
      <c r="C48" s="26" t="s">
        <v>202</v>
      </c>
      <c r="D48" s="88" t="s">
        <v>240</v>
      </c>
      <c r="E48" s="88"/>
      <c r="F48" s="88"/>
      <c r="G48" s="88"/>
      <c r="H48" s="88"/>
    </row>
    <row r="49" spans="1:28" x14ac:dyDescent="0.2">
      <c r="C49" s="26" t="s">
        <v>203</v>
      </c>
      <c r="D49" s="88" t="s">
        <v>240</v>
      </c>
      <c r="E49" s="88"/>
      <c r="F49" s="88"/>
      <c r="G49" s="88"/>
      <c r="H49" s="88"/>
    </row>
    <row r="50" spans="1:28" x14ac:dyDescent="0.2">
      <c r="C50" s="26" t="s">
        <v>204</v>
      </c>
      <c r="D50" s="88" t="s">
        <v>239</v>
      </c>
      <c r="E50" s="88"/>
      <c r="F50" s="88"/>
      <c r="G50" s="88"/>
      <c r="H50" s="88"/>
    </row>
    <row r="51" spans="1:28" x14ac:dyDescent="0.2">
      <c r="C51" s="11" t="s">
        <v>205</v>
      </c>
      <c r="D51" s="37"/>
      <c r="E51" s="37"/>
      <c r="F51" s="37">
        <f>Source!BZ29</f>
        <v>122</v>
      </c>
      <c r="G51" s="61">
        <f>(Source!AF29+Source!AE29)*Source!FX29/100</f>
        <v>475.68489299999999</v>
      </c>
      <c r="H51" s="62">
        <f>Source!X29</f>
        <v>8431.52</v>
      </c>
    </row>
    <row r="52" spans="1:28" x14ac:dyDescent="0.2">
      <c r="C52" s="11" t="s">
        <v>206</v>
      </c>
      <c r="D52" s="37"/>
      <c r="E52" s="37"/>
      <c r="F52" s="37"/>
      <c r="G52" s="37" t="str">
        <f>CONCATENATE(Source!DL29,Source!FT29, "=", Source!FX29, "%")</f>
        <v>*0,9=109,8%</v>
      </c>
      <c r="H52" s="37" t="str">
        <f>CONCATENATE(Source!AT29)</f>
        <v>110</v>
      </c>
    </row>
    <row r="53" spans="1:28" x14ac:dyDescent="0.2">
      <c r="C53" s="11" t="s">
        <v>207</v>
      </c>
      <c r="D53" s="37"/>
      <c r="E53" s="37"/>
      <c r="F53" s="37">
        <f>Source!CA29</f>
        <v>80</v>
      </c>
      <c r="G53" s="61">
        <f>(Source!AF29+Source!AE29)*Source!FY29/100</f>
        <v>294.59537999999998</v>
      </c>
      <c r="H53" s="62">
        <f>Source!Y29</f>
        <v>5212.21</v>
      </c>
    </row>
    <row r="54" spans="1:28" x14ac:dyDescent="0.2">
      <c r="C54" s="11" t="s">
        <v>208</v>
      </c>
      <c r="D54" s="37"/>
      <c r="E54" s="37"/>
      <c r="F54" s="37"/>
      <c r="G54" s="37" t="str">
        <f>CONCATENATE(Source!DM29,Source!FU29, "=", Source!FY29, "%")</f>
        <v>*0,85=68%</v>
      </c>
      <c r="H54" s="37" t="str">
        <f>CONCATENATE(Source!AU29)</f>
        <v>68</v>
      </c>
    </row>
    <row r="55" spans="1:28" x14ac:dyDescent="0.2">
      <c r="C55" s="11" t="s">
        <v>209</v>
      </c>
      <c r="D55" s="37"/>
      <c r="E55" s="37"/>
      <c r="F55" s="37"/>
      <c r="G55" s="61">
        <f>((Source!AF29+Source!AE29)*Source!FX29/100)+((Source!AF29+Source!AE29)*Source!FY29/100)+Source!AB29</f>
        <v>1327.996273</v>
      </c>
      <c r="H55" s="62">
        <f>Source!O29+Source!X29+Source!Y29</f>
        <v>23511.279999999999</v>
      </c>
    </row>
    <row r="56" spans="1:28" ht="28.5" x14ac:dyDescent="0.2">
      <c r="A56" s="50">
        <v>2</v>
      </c>
      <c r="B56" s="50" t="str">
        <f>Source!E31</f>
        <v>2</v>
      </c>
      <c r="C56" s="50" t="str">
        <f>Source!G31</f>
        <v>Разборка покрытий полов из линолеума и релина</v>
      </c>
      <c r="D56" s="50" t="str">
        <f>Source!F31</f>
        <v>57-2-1</v>
      </c>
      <c r="E56" s="33" t="str">
        <f>Source!H31</f>
        <v>100 м2</v>
      </c>
      <c r="F56" s="14">
        <f>Source!I31</f>
        <v>0.20399999999999999</v>
      </c>
      <c r="G56" s="24">
        <f>Source!AB31</f>
        <v>92.9</v>
      </c>
      <c r="H56" s="25">
        <f>Source!O31</f>
        <v>115.23</v>
      </c>
      <c r="T56">
        <f>Source!O31+Source!X31+Source!Y31</f>
        <v>281.53999999999996</v>
      </c>
      <c r="U56">
        <f>Source!P31</f>
        <v>0</v>
      </c>
      <c r="V56">
        <f>Source!S31</f>
        <v>110.19</v>
      </c>
      <c r="W56">
        <f>Source!Q31</f>
        <v>5.04</v>
      </c>
      <c r="X56">
        <f>Source!R31</f>
        <v>2.1800000000000002</v>
      </c>
      <c r="Y56">
        <f>Source!U31</f>
        <v>2.3235600000000001</v>
      </c>
      <c r="Z56">
        <f>Source!V31</f>
        <v>2.6519999999999998E-2</v>
      </c>
      <c r="AA56">
        <f>Source!X31</f>
        <v>89.9</v>
      </c>
      <c r="AB56">
        <f>Source!Y31</f>
        <v>76.41</v>
      </c>
    </row>
    <row r="57" spans="1:28" ht="14.25" x14ac:dyDescent="0.2">
      <c r="C57" s="26" t="str">
        <f>"Объем: "&amp;Source!I31&amp;"=20,4/"&amp;"100"</f>
        <v>Объем: 0,204=20,4/100</v>
      </c>
      <c r="F57" s="14"/>
      <c r="G57" s="14"/>
      <c r="H57" s="14"/>
    </row>
    <row r="58" spans="1:28" x14ac:dyDescent="0.2">
      <c r="C58" s="26" t="s">
        <v>196</v>
      </c>
      <c r="D58" s="26">
        <f>Source!BA31</f>
        <v>6.08</v>
      </c>
    </row>
    <row r="59" spans="1:28" x14ac:dyDescent="0.2">
      <c r="C59" s="26" t="s">
        <v>197</v>
      </c>
      <c r="D59" s="26">
        <f>Source!BB31</f>
        <v>6.08</v>
      </c>
    </row>
    <row r="60" spans="1:28" x14ac:dyDescent="0.2">
      <c r="C60" s="26" t="s">
        <v>198</v>
      </c>
      <c r="D60" s="26">
        <f>Source!BC31</f>
        <v>6.08</v>
      </c>
    </row>
    <row r="61" spans="1:28" x14ac:dyDescent="0.2">
      <c r="C61" s="26" t="s">
        <v>199</v>
      </c>
      <c r="D61" s="26">
        <f>Source!BS31</f>
        <v>6.08</v>
      </c>
    </row>
    <row r="62" spans="1:28" x14ac:dyDescent="0.2">
      <c r="C62" s="11" t="s">
        <v>205</v>
      </c>
      <c r="D62" s="37"/>
      <c r="E62" s="37"/>
      <c r="F62" s="37">
        <f>Source!BZ31</f>
        <v>80</v>
      </c>
      <c r="G62" s="61">
        <f>(Source!AF31+Source!AE31)*Source!FX31/100</f>
        <v>72.48</v>
      </c>
      <c r="H62" s="62">
        <f>Source!X31</f>
        <v>89.9</v>
      </c>
    </row>
    <row r="63" spans="1:28" x14ac:dyDescent="0.2">
      <c r="C63" s="11" t="s">
        <v>207</v>
      </c>
      <c r="D63" s="37"/>
      <c r="E63" s="37"/>
      <c r="F63" s="37">
        <f>Source!CA31</f>
        <v>68</v>
      </c>
      <c r="G63" s="61">
        <f>(Source!AF31+Source!AE31)*Source!FY31/100</f>
        <v>61.608000000000004</v>
      </c>
      <c r="H63" s="62">
        <f>Source!Y31</f>
        <v>76.41</v>
      </c>
    </row>
    <row r="64" spans="1:28" x14ac:dyDescent="0.2">
      <c r="C64" s="11" t="s">
        <v>209</v>
      </c>
      <c r="D64" s="37"/>
      <c r="E64" s="37"/>
      <c r="F64" s="37"/>
      <c r="G64" s="61">
        <f>((Source!AF31+Source!AE31)*Source!FX31/100)+((Source!AF31+Source!AE31)*Source!FY31/100)+Source!AB31</f>
        <v>226.98800000000003</v>
      </c>
      <c r="H64" s="62">
        <f>Source!O31+Source!X31+Source!Y31</f>
        <v>281.53999999999996</v>
      </c>
    </row>
    <row r="65" spans="1:28" ht="28.5" x14ac:dyDescent="0.2">
      <c r="A65" s="50">
        <v>3</v>
      </c>
      <c r="B65" s="50" t="str">
        <f>Source!E33</f>
        <v>3</v>
      </c>
      <c r="C65" s="50" t="str">
        <f>Source!G33</f>
        <v>Разборка плинтусов деревянных и из пластмассовых материалов</v>
      </c>
      <c r="D65" s="50" t="str">
        <f>Source!F33</f>
        <v>57-3-1</v>
      </c>
      <c r="E65" s="33" t="str">
        <f>Source!H33</f>
        <v>100 м</v>
      </c>
      <c r="F65" s="14">
        <f>Source!I33</f>
        <v>0.2</v>
      </c>
      <c r="G65" s="24">
        <f>Source!AB33</f>
        <v>29.41</v>
      </c>
      <c r="H65" s="25">
        <f>Source!O33</f>
        <v>35.76</v>
      </c>
      <c r="T65">
        <f>Source!O33+Source!X33+Source!Y33</f>
        <v>88.69</v>
      </c>
      <c r="U65">
        <f>Source!P33</f>
        <v>0</v>
      </c>
      <c r="V65">
        <f>Source!S33</f>
        <v>35.76</v>
      </c>
      <c r="W65">
        <f>Source!Q33</f>
        <v>0</v>
      </c>
      <c r="X65">
        <f>Source!R33</f>
        <v>0</v>
      </c>
      <c r="Y65">
        <f>Source!U33</f>
        <v>0.754</v>
      </c>
      <c r="Z65">
        <f>Source!V33</f>
        <v>0</v>
      </c>
      <c r="AA65">
        <f>Source!X33</f>
        <v>28.61</v>
      </c>
      <c r="AB65">
        <f>Source!Y33</f>
        <v>24.32</v>
      </c>
    </row>
    <row r="66" spans="1:28" ht="14.25" x14ac:dyDescent="0.2">
      <c r="C66" s="26" t="str">
        <f>"Объем: "&amp;Source!I33&amp;"=20/"&amp;"100"</f>
        <v>Объем: 0,2=20/100</v>
      </c>
      <c r="F66" s="14"/>
      <c r="G66" s="14"/>
      <c r="H66" s="14"/>
    </row>
    <row r="67" spans="1:28" x14ac:dyDescent="0.2">
      <c r="C67" s="26" t="s">
        <v>196</v>
      </c>
      <c r="D67" s="26">
        <f>Source!BA33</f>
        <v>6.08</v>
      </c>
    </row>
    <row r="68" spans="1:28" x14ac:dyDescent="0.2">
      <c r="C68" s="26" t="s">
        <v>197</v>
      </c>
      <c r="D68" s="26">
        <f>Source!BB33</f>
        <v>6.08</v>
      </c>
    </row>
    <row r="69" spans="1:28" x14ac:dyDescent="0.2">
      <c r="C69" s="26" t="s">
        <v>198</v>
      </c>
      <c r="D69" s="26">
        <f>Source!BC33</f>
        <v>6.08</v>
      </c>
    </row>
    <row r="70" spans="1:28" x14ac:dyDescent="0.2">
      <c r="C70" s="26" t="s">
        <v>199</v>
      </c>
      <c r="D70" s="26">
        <f>Source!BS33</f>
        <v>6.08</v>
      </c>
    </row>
    <row r="71" spans="1:28" x14ac:dyDescent="0.2">
      <c r="C71" s="11" t="s">
        <v>205</v>
      </c>
      <c r="D71" s="37"/>
      <c r="E71" s="37"/>
      <c r="F71" s="37">
        <f>Source!BZ33</f>
        <v>80</v>
      </c>
      <c r="G71" s="61">
        <f>(Source!AF33+Source!AE33)*Source!FX33/100</f>
        <v>23.528000000000002</v>
      </c>
      <c r="H71" s="62">
        <f>Source!X33</f>
        <v>28.61</v>
      </c>
    </row>
    <row r="72" spans="1:28" x14ac:dyDescent="0.2">
      <c r="C72" s="11" t="s">
        <v>207</v>
      </c>
      <c r="D72" s="37"/>
      <c r="E72" s="37"/>
      <c r="F72" s="37">
        <f>Source!CA33</f>
        <v>68</v>
      </c>
      <c r="G72" s="61">
        <f>(Source!AF33+Source!AE33)*Source!FY33/100</f>
        <v>19.998800000000003</v>
      </c>
      <c r="H72" s="62">
        <f>Source!Y33</f>
        <v>24.32</v>
      </c>
    </row>
    <row r="73" spans="1:28" x14ac:dyDescent="0.2">
      <c r="C73" s="11" t="s">
        <v>209</v>
      </c>
      <c r="D73" s="37"/>
      <c r="E73" s="37"/>
      <c r="F73" s="37"/>
      <c r="G73" s="61">
        <f>((Source!AF33+Source!AE33)*Source!FX33/100)+((Source!AF33+Source!AE33)*Source!FY33/100)+Source!AB33</f>
        <v>72.936800000000005</v>
      </c>
      <c r="H73" s="62">
        <f>Source!O33+Source!X33+Source!Y33</f>
        <v>88.69</v>
      </c>
    </row>
    <row r="74" spans="1:28" ht="28.5" x14ac:dyDescent="0.2">
      <c r="A74" s="50">
        <v>4</v>
      </c>
      <c r="B74" s="50" t="str">
        <f>Source!E35</f>
        <v>4</v>
      </c>
      <c r="C74" s="50" t="str">
        <f>Source!G35</f>
        <v>Разборка покрытий кровель из  черепицы</v>
      </c>
      <c r="D74" s="50" t="str">
        <f>Source!F35</f>
        <v>46-04-008-03</v>
      </c>
      <c r="E74" s="33" t="str">
        <f>Source!H35</f>
        <v>100 м2</v>
      </c>
      <c r="F74" s="14">
        <f>Source!I35</f>
        <v>3.55</v>
      </c>
      <c r="G74" s="24">
        <f>Source!AB35</f>
        <v>517.64</v>
      </c>
      <c r="H74" s="25">
        <f>Source!O35</f>
        <v>11172.74</v>
      </c>
      <c r="T74">
        <f>Source!O35+Source!X35+Source!Y35</f>
        <v>26034.74</v>
      </c>
      <c r="U74">
        <f>Source!P35</f>
        <v>0</v>
      </c>
      <c r="V74">
        <f>Source!S35</f>
        <v>9347.17</v>
      </c>
      <c r="W74">
        <f>Source!Q35</f>
        <v>1825.57</v>
      </c>
      <c r="X74">
        <f>Source!R35</f>
        <v>0</v>
      </c>
      <c r="Y74">
        <f>Source!U35</f>
        <v>197.096</v>
      </c>
      <c r="Z74">
        <f>Source!V35</f>
        <v>0</v>
      </c>
      <c r="AA74">
        <f>Source!X35</f>
        <v>9253.7000000000007</v>
      </c>
      <c r="AB74">
        <f>Source!Y35</f>
        <v>5608.3</v>
      </c>
    </row>
    <row r="75" spans="1:28" ht="14.25" x14ac:dyDescent="0.2">
      <c r="C75" s="26" t="str">
        <f>"Объем: "&amp;Source!I35&amp;"=355/"&amp;"100"</f>
        <v>Объем: 3,55=355/100</v>
      </c>
      <c r="F75" s="14"/>
      <c r="G75" s="14"/>
      <c r="H75" s="14"/>
    </row>
    <row r="76" spans="1:28" x14ac:dyDescent="0.2">
      <c r="C76" s="26" t="s">
        <v>196</v>
      </c>
      <c r="D76" s="26">
        <f>Source!BA35</f>
        <v>6.08</v>
      </c>
    </row>
    <row r="77" spans="1:28" x14ac:dyDescent="0.2">
      <c r="C77" s="26" t="s">
        <v>197</v>
      </c>
      <c r="D77" s="26">
        <f>Source!BB35</f>
        <v>6.08</v>
      </c>
    </row>
    <row r="78" spans="1:28" x14ac:dyDescent="0.2">
      <c r="C78" s="26" t="s">
        <v>198</v>
      </c>
      <c r="D78" s="26">
        <f>Source!BC35</f>
        <v>6.08</v>
      </c>
    </row>
    <row r="79" spans="1:28" x14ac:dyDescent="0.2">
      <c r="C79" s="26" t="s">
        <v>199</v>
      </c>
      <c r="D79" s="26">
        <f>Source!BS35</f>
        <v>6.08</v>
      </c>
    </row>
    <row r="80" spans="1:28" x14ac:dyDescent="0.2">
      <c r="C80" s="11" t="s">
        <v>205</v>
      </c>
      <c r="D80" s="37"/>
      <c r="E80" s="37"/>
      <c r="F80" s="37">
        <f>Source!BZ35</f>
        <v>110</v>
      </c>
      <c r="G80" s="61">
        <f>(Source!AF35+Source!AE35)*Source!FX35/100</f>
        <v>428.7294</v>
      </c>
      <c r="H80" s="62">
        <f>Source!X35</f>
        <v>9253.7000000000007</v>
      </c>
    </row>
    <row r="81" spans="1:28" x14ac:dyDescent="0.2">
      <c r="C81" s="11" t="s">
        <v>206</v>
      </c>
      <c r="D81" s="37"/>
      <c r="E81" s="37"/>
      <c r="F81" s="37"/>
      <c r="G81" s="37" t="str">
        <f>CONCATENATE(Source!DL35,Source!FT35, "=", Source!FX35, "%")</f>
        <v>*0,9=99%</v>
      </c>
      <c r="H81" s="37" t="str">
        <f>CONCATENATE(Source!AT35)</f>
        <v>99</v>
      </c>
    </row>
    <row r="82" spans="1:28" x14ac:dyDescent="0.2">
      <c r="C82" s="11" t="s">
        <v>207</v>
      </c>
      <c r="D82" s="37"/>
      <c r="E82" s="37"/>
      <c r="F82" s="37">
        <f>Source!CA35</f>
        <v>70</v>
      </c>
      <c r="G82" s="61">
        <f>(Source!AF35+Source!AE35)*Source!FY35/100</f>
        <v>257.67070000000001</v>
      </c>
      <c r="H82" s="62">
        <f>Source!Y35</f>
        <v>5608.3</v>
      </c>
    </row>
    <row r="83" spans="1:28" x14ac:dyDescent="0.2">
      <c r="C83" s="11" t="s">
        <v>208</v>
      </c>
      <c r="D83" s="37"/>
      <c r="E83" s="37"/>
      <c r="F83" s="37"/>
      <c r="G83" s="37" t="str">
        <f>CONCATENATE(Source!DM35,Source!FU35, "=", Source!FY35, "%")</f>
        <v>*0,85=59,5%</v>
      </c>
      <c r="H83" s="37" t="str">
        <f>CONCATENATE(Source!AU35)</f>
        <v>60</v>
      </c>
    </row>
    <row r="84" spans="1:28" x14ac:dyDescent="0.2">
      <c r="C84" s="11" t="s">
        <v>209</v>
      </c>
      <c r="D84" s="37"/>
      <c r="E84" s="37"/>
      <c r="F84" s="37"/>
      <c r="G84" s="61">
        <f>((Source!AF35+Source!AE35)*Source!FX35/100)+((Source!AF35+Source!AE35)*Source!FY35/100)+Source!AB35</f>
        <v>1204.0401000000002</v>
      </c>
      <c r="H84" s="62">
        <f>Source!O35+Source!X35+Source!Y35</f>
        <v>26034.74</v>
      </c>
    </row>
    <row r="85" spans="1:28" ht="42.75" x14ac:dyDescent="0.2">
      <c r="A85" s="50">
        <v>5</v>
      </c>
      <c r="B85" s="50" t="str">
        <f>Source!E37</f>
        <v>5</v>
      </c>
      <c r="C85" s="50" t="str">
        <f>Source!G37</f>
        <v>Разборка мелких покрытий и обделок из листовой стали поясков, сандриков, желобов, отливов, свесов и т.п.</v>
      </c>
      <c r="D85" s="50" t="str">
        <f>Source!F37</f>
        <v>58-3-1</v>
      </c>
      <c r="E85" s="33" t="str">
        <f>Source!H37</f>
        <v>100 м</v>
      </c>
      <c r="F85" s="14">
        <f>Source!I37</f>
        <v>0.3</v>
      </c>
      <c r="G85" s="24">
        <f>Source!AB37</f>
        <v>71.180000000000007</v>
      </c>
      <c r="H85" s="25">
        <f>Source!O37</f>
        <v>129.83000000000001</v>
      </c>
      <c r="T85">
        <f>Source!O37+Source!X37+Source!Y37</f>
        <v>321.45000000000005</v>
      </c>
      <c r="U85">
        <f>Source!P37</f>
        <v>0</v>
      </c>
      <c r="V85">
        <f>Source!S37</f>
        <v>129.47</v>
      </c>
      <c r="W85">
        <f>Source!Q37</f>
        <v>0.36</v>
      </c>
      <c r="X85">
        <f>Source!R37</f>
        <v>0</v>
      </c>
      <c r="Y85">
        <f>Source!U37</f>
        <v>2.73</v>
      </c>
      <c r="Z85">
        <f>Source!V37</f>
        <v>0</v>
      </c>
      <c r="AA85">
        <f>Source!X37</f>
        <v>107.46</v>
      </c>
      <c r="AB85">
        <f>Source!Y37</f>
        <v>84.16</v>
      </c>
    </row>
    <row r="86" spans="1:28" ht="14.25" x14ac:dyDescent="0.2">
      <c r="C86" s="26" t="str">
        <f>"Объем: "&amp;Source!I37&amp;"=30/"&amp;"100"</f>
        <v>Объем: 0,3=30/100</v>
      </c>
      <c r="F86" s="14"/>
      <c r="G86" s="14"/>
      <c r="H86" s="14"/>
    </row>
    <row r="87" spans="1:28" x14ac:dyDescent="0.2">
      <c r="C87" s="26" t="s">
        <v>196</v>
      </c>
      <c r="D87" s="26">
        <f>Source!BA37</f>
        <v>6.08</v>
      </c>
    </row>
    <row r="88" spans="1:28" x14ac:dyDescent="0.2">
      <c r="C88" s="26" t="s">
        <v>197</v>
      </c>
      <c r="D88" s="26">
        <f>Source!BB37</f>
        <v>6.08</v>
      </c>
    </row>
    <row r="89" spans="1:28" x14ac:dyDescent="0.2">
      <c r="C89" s="26" t="s">
        <v>198</v>
      </c>
      <c r="D89" s="26">
        <f>Source!BC37</f>
        <v>6.08</v>
      </c>
    </row>
    <row r="90" spans="1:28" x14ac:dyDescent="0.2">
      <c r="C90" s="26" t="s">
        <v>199</v>
      </c>
      <c r="D90" s="26">
        <f>Source!BS37</f>
        <v>6.08</v>
      </c>
    </row>
    <row r="91" spans="1:28" x14ac:dyDescent="0.2">
      <c r="C91" s="11" t="s">
        <v>205</v>
      </c>
      <c r="D91" s="37"/>
      <c r="E91" s="37"/>
      <c r="F91" s="37">
        <f>Source!BZ37</f>
        <v>83</v>
      </c>
      <c r="G91" s="61">
        <f>(Source!AF37+Source!AE37)*Source!FX37/100</f>
        <v>58.913400000000003</v>
      </c>
      <c r="H91" s="62">
        <f>Source!X37</f>
        <v>107.46</v>
      </c>
    </row>
    <row r="92" spans="1:28" x14ac:dyDescent="0.2">
      <c r="C92" s="11" t="s">
        <v>207</v>
      </c>
      <c r="D92" s="37"/>
      <c r="E92" s="37"/>
      <c r="F92" s="37">
        <f>Source!CA37</f>
        <v>65</v>
      </c>
      <c r="G92" s="61">
        <f>(Source!AF37+Source!AE37)*Source!FY37/100</f>
        <v>46.137</v>
      </c>
      <c r="H92" s="62">
        <f>Source!Y37</f>
        <v>84.16</v>
      </c>
    </row>
    <row r="93" spans="1:28" x14ac:dyDescent="0.2">
      <c r="C93" s="11" t="s">
        <v>209</v>
      </c>
      <c r="D93" s="37"/>
      <c r="E93" s="37"/>
      <c r="F93" s="37"/>
      <c r="G93" s="61">
        <f>((Source!AF37+Source!AE37)*Source!FX37/100)+((Source!AF37+Source!AE37)*Source!FY37/100)+Source!AB37</f>
        <v>176.2304</v>
      </c>
      <c r="H93" s="62">
        <f>Source!O37+Source!X37+Source!Y37</f>
        <v>321.45000000000005</v>
      </c>
    </row>
    <row r="94" spans="1:28" ht="28.5" x14ac:dyDescent="0.2">
      <c r="A94" s="50">
        <v>6</v>
      </c>
      <c r="B94" s="50" t="str">
        <f>Source!E39</f>
        <v>6</v>
      </c>
      <c r="C94" s="50" t="str">
        <f>Source!G39</f>
        <v>Разборка деревянных заполнений проемов дверных</v>
      </c>
      <c r="D94" s="50" t="str">
        <f>Source!F39</f>
        <v>46-04-012-03</v>
      </c>
      <c r="E94" s="33" t="str">
        <f>Source!H39</f>
        <v>100 м2</v>
      </c>
      <c r="F94" s="14">
        <f>Source!I39</f>
        <v>7.6499999999999999E-2</v>
      </c>
      <c r="G94" s="24">
        <f>Source!AB39</f>
        <v>1082.58</v>
      </c>
      <c r="H94" s="25">
        <f>Source!O39</f>
        <v>503.53</v>
      </c>
      <c r="T94">
        <f>Source!O39+Source!X39+Source!Y39</f>
        <v>1202.47</v>
      </c>
      <c r="U94">
        <f>Source!P39</f>
        <v>0</v>
      </c>
      <c r="V94">
        <f>Source!S39</f>
        <v>390.99</v>
      </c>
      <c r="W94">
        <f>Source!Q39</f>
        <v>112.54</v>
      </c>
      <c r="X94">
        <f>Source!R39</f>
        <v>48.6</v>
      </c>
      <c r="Y94">
        <f>Source!U39</f>
        <v>7.9491149999999999</v>
      </c>
      <c r="Z94">
        <f>Source!V39</f>
        <v>0.59211000000000003</v>
      </c>
      <c r="AA94">
        <f>Source!X39</f>
        <v>435.19</v>
      </c>
      <c r="AB94">
        <f>Source!Y39</f>
        <v>263.75</v>
      </c>
    </row>
    <row r="95" spans="1:28" ht="14.25" x14ac:dyDescent="0.2">
      <c r="C95" s="26" t="str">
        <f>"Объем: "&amp;Source!I39&amp;"=7,65/"&amp;"100"</f>
        <v>Объем: 0,0765=7,65/100</v>
      </c>
      <c r="F95" s="14"/>
      <c r="G95" s="14"/>
      <c r="H95" s="14"/>
    </row>
    <row r="96" spans="1:28" x14ac:dyDescent="0.2">
      <c r="C96" s="26" t="s">
        <v>196</v>
      </c>
      <c r="D96" s="26">
        <f>Source!BA39</f>
        <v>6.08</v>
      </c>
    </row>
    <row r="97" spans="1:28" x14ac:dyDescent="0.2">
      <c r="C97" s="26" t="s">
        <v>197</v>
      </c>
      <c r="D97" s="26">
        <f>Source!BB39</f>
        <v>6.08</v>
      </c>
    </row>
    <row r="98" spans="1:28" x14ac:dyDescent="0.2">
      <c r="C98" s="26" t="s">
        <v>198</v>
      </c>
      <c r="D98" s="26">
        <f>Source!BC39</f>
        <v>6.08</v>
      </c>
    </row>
    <row r="99" spans="1:28" x14ac:dyDescent="0.2">
      <c r="C99" s="26" t="s">
        <v>199</v>
      </c>
      <c r="D99" s="26">
        <f>Source!BS39</f>
        <v>6.08</v>
      </c>
    </row>
    <row r="100" spans="1:28" x14ac:dyDescent="0.2">
      <c r="C100" s="11" t="s">
        <v>205</v>
      </c>
      <c r="D100" s="37"/>
      <c r="E100" s="37"/>
      <c r="F100" s="37">
        <f>Source!BZ39</f>
        <v>110</v>
      </c>
      <c r="G100" s="61">
        <f>(Source!AF39+Source!AE39)*Source!FX39/100</f>
        <v>935.66880000000003</v>
      </c>
      <c r="H100" s="62">
        <f>Source!X39</f>
        <v>435.19</v>
      </c>
    </row>
    <row r="101" spans="1:28" x14ac:dyDescent="0.2">
      <c r="C101" s="11" t="s">
        <v>206</v>
      </c>
      <c r="D101" s="37"/>
      <c r="E101" s="37"/>
      <c r="F101" s="37"/>
      <c r="G101" s="37" t="str">
        <f>CONCATENATE(Source!DL39,Source!FT39, "=", Source!FX39, "%")</f>
        <v>*0,9=99%</v>
      </c>
      <c r="H101" s="37" t="str">
        <f>CONCATENATE(Source!AT39)</f>
        <v>99</v>
      </c>
    </row>
    <row r="102" spans="1:28" x14ac:dyDescent="0.2">
      <c r="C102" s="11" t="s">
        <v>207</v>
      </c>
      <c r="D102" s="37"/>
      <c r="E102" s="37"/>
      <c r="F102" s="37">
        <f>Source!CA39</f>
        <v>70</v>
      </c>
      <c r="G102" s="61">
        <f>(Source!AF39+Source!AE39)*Source!FY39/100</f>
        <v>562.34640000000002</v>
      </c>
      <c r="H102" s="62">
        <f>Source!Y39</f>
        <v>263.75</v>
      </c>
    </row>
    <row r="103" spans="1:28" x14ac:dyDescent="0.2">
      <c r="C103" s="11" t="s">
        <v>208</v>
      </c>
      <c r="D103" s="37"/>
      <c r="E103" s="37"/>
      <c r="F103" s="37"/>
      <c r="G103" s="37" t="str">
        <f>CONCATENATE(Source!DM39,Source!FU39, "=", Source!FY39, "%")</f>
        <v>*0,85=59,5%</v>
      </c>
      <c r="H103" s="37" t="str">
        <f>CONCATENATE(Source!AU39)</f>
        <v>60</v>
      </c>
    </row>
    <row r="104" spans="1:28" x14ac:dyDescent="0.2">
      <c r="C104" s="11" t="s">
        <v>209</v>
      </c>
      <c r="D104" s="37"/>
      <c r="E104" s="37"/>
      <c r="F104" s="37"/>
      <c r="G104" s="61">
        <f>((Source!AF39+Source!AE39)*Source!FX39/100)+((Source!AF39+Source!AE39)*Source!FY39/100)+Source!AB39</f>
        <v>2580.5951999999997</v>
      </c>
      <c r="H104" s="62">
        <f>Source!O39+Source!X39+Source!Y39</f>
        <v>1202.47</v>
      </c>
    </row>
    <row r="105" spans="1:28" ht="28.5" x14ac:dyDescent="0.2">
      <c r="A105" s="50">
        <v>7</v>
      </c>
      <c r="B105" s="50" t="str">
        <f>Source!E41</f>
        <v>7</v>
      </c>
      <c r="C105" s="50" t="str">
        <f>Source!G41</f>
        <v>Демонтаж  металлических дверных блоков в готовые проемы</v>
      </c>
      <c r="D105" s="50" t="str">
        <f>Source!F41</f>
        <v>09-04-012-01</v>
      </c>
      <c r="E105" s="33" t="str">
        <f>Source!H41</f>
        <v>м2</v>
      </c>
      <c r="F105" s="14">
        <f>Source!I41</f>
        <v>2.66</v>
      </c>
      <c r="G105" s="24">
        <f>Source!AB41</f>
        <v>26.754000000000001</v>
      </c>
      <c r="H105" s="25">
        <f>Source!O41</f>
        <v>432.69</v>
      </c>
      <c r="T105">
        <f>Source!O41+Source!X41+Source!Y41</f>
        <v>879.22</v>
      </c>
      <c r="U105">
        <f>Source!P41</f>
        <v>0</v>
      </c>
      <c r="V105">
        <f>Source!S41</f>
        <v>269.55</v>
      </c>
      <c r="W105">
        <f>Source!Q41</f>
        <v>163.13999999999999</v>
      </c>
      <c r="X105">
        <f>Source!R41</f>
        <v>22.3</v>
      </c>
      <c r="Y105">
        <f>Source!U41</f>
        <v>4.4687999999999999</v>
      </c>
      <c r="Z105">
        <f>Source!V41</f>
        <v>0.31653999999999999</v>
      </c>
      <c r="AA105">
        <f>Source!X41</f>
        <v>236.4</v>
      </c>
      <c r="AB105">
        <f>Source!Y41</f>
        <v>210.13</v>
      </c>
    </row>
    <row r="106" spans="1:28" ht="14.25" x14ac:dyDescent="0.2">
      <c r="C106" s="26" t="s">
        <v>196</v>
      </c>
      <c r="D106" s="26">
        <f>Source!BA41</f>
        <v>6.08</v>
      </c>
      <c r="F106" s="14"/>
      <c r="G106" s="14"/>
      <c r="H106" s="14"/>
    </row>
    <row r="107" spans="1:28" x14ac:dyDescent="0.2">
      <c r="C107" s="26" t="s">
        <v>197</v>
      </c>
      <c r="D107" s="26">
        <f>Source!BB41</f>
        <v>6.08</v>
      </c>
    </row>
    <row r="108" spans="1:28" x14ac:dyDescent="0.2">
      <c r="C108" s="26" t="s">
        <v>198</v>
      </c>
      <c r="D108" s="26">
        <f>Source!BC41</f>
        <v>6.08</v>
      </c>
    </row>
    <row r="109" spans="1:28" x14ac:dyDescent="0.2">
      <c r="C109" s="26" t="s">
        <v>199</v>
      </c>
      <c r="D109" s="26">
        <f>Source!BS41</f>
        <v>6.08</v>
      </c>
    </row>
    <row r="110" spans="1:28" x14ac:dyDescent="0.2">
      <c r="C110" s="26" t="s">
        <v>210</v>
      </c>
      <c r="D110" s="88" t="s">
        <v>280</v>
      </c>
      <c r="E110" s="88"/>
      <c r="F110" s="88"/>
      <c r="G110" s="88"/>
      <c r="H110" s="88"/>
    </row>
    <row r="111" spans="1:28" x14ac:dyDescent="0.2">
      <c r="C111" s="26" t="s">
        <v>200</v>
      </c>
      <c r="D111" s="88" t="s">
        <v>281</v>
      </c>
      <c r="E111" s="88"/>
      <c r="F111" s="88"/>
      <c r="G111" s="88"/>
      <c r="H111" s="88"/>
    </row>
    <row r="112" spans="1:28" x14ac:dyDescent="0.2">
      <c r="C112" s="26" t="s">
        <v>201</v>
      </c>
      <c r="D112" s="88" t="s">
        <v>281</v>
      </c>
      <c r="E112" s="88"/>
      <c r="F112" s="88"/>
      <c r="G112" s="88"/>
      <c r="H112" s="88"/>
    </row>
    <row r="113" spans="1:28" x14ac:dyDescent="0.2">
      <c r="C113" s="26" t="s">
        <v>202</v>
      </c>
      <c r="D113" s="88" t="s">
        <v>281</v>
      </c>
      <c r="E113" s="88"/>
      <c r="F113" s="88"/>
      <c r="G113" s="88"/>
      <c r="H113" s="88"/>
    </row>
    <row r="114" spans="1:28" x14ac:dyDescent="0.2">
      <c r="C114" s="26" t="s">
        <v>203</v>
      </c>
      <c r="D114" s="88" t="s">
        <v>281</v>
      </c>
      <c r="E114" s="88"/>
      <c r="F114" s="88"/>
      <c r="G114" s="88"/>
      <c r="H114" s="88"/>
    </row>
    <row r="115" spans="1:28" x14ac:dyDescent="0.2">
      <c r="C115" s="26" t="s">
        <v>204</v>
      </c>
      <c r="D115" s="88" t="s">
        <v>281</v>
      </c>
      <c r="E115" s="88"/>
      <c r="F115" s="88"/>
      <c r="G115" s="88"/>
      <c r="H115" s="88"/>
    </row>
    <row r="116" spans="1:28" x14ac:dyDescent="0.2">
      <c r="C116" s="11" t="s">
        <v>205</v>
      </c>
      <c r="D116" s="37"/>
      <c r="E116" s="37"/>
      <c r="F116" s="37">
        <f>Source!BZ41</f>
        <v>90</v>
      </c>
      <c r="G116" s="61">
        <f>(Source!AF41+Source!AE41)*Source!FX41/100</f>
        <v>14.617260000000003</v>
      </c>
      <c r="H116" s="62">
        <f>Source!X41</f>
        <v>236.4</v>
      </c>
    </row>
    <row r="117" spans="1:28" x14ac:dyDescent="0.2">
      <c r="C117" s="11" t="s">
        <v>206</v>
      </c>
      <c r="D117" s="37"/>
      <c r="E117" s="37"/>
      <c r="F117" s="37"/>
      <c r="G117" s="37" t="str">
        <f>CONCATENATE(Source!DL41,Source!FT41, "=", Source!FX41, "%")</f>
        <v>*0,9=81%</v>
      </c>
      <c r="H117" s="37" t="str">
        <f>CONCATENATE(Source!AT41)</f>
        <v>81</v>
      </c>
    </row>
    <row r="118" spans="1:28" x14ac:dyDescent="0.2">
      <c r="C118" s="11" t="s">
        <v>207</v>
      </c>
      <c r="D118" s="37"/>
      <c r="E118" s="37"/>
      <c r="F118" s="37">
        <f>Source!CA41</f>
        <v>85</v>
      </c>
      <c r="G118" s="61">
        <f>(Source!AF41+Source!AE41)*Source!FY41/100</f>
        <v>13.038235000000002</v>
      </c>
      <c r="H118" s="62">
        <f>Source!Y41</f>
        <v>210.13</v>
      </c>
    </row>
    <row r="119" spans="1:28" x14ac:dyDescent="0.2">
      <c r="C119" s="11" t="s">
        <v>208</v>
      </c>
      <c r="D119" s="37"/>
      <c r="E119" s="37"/>
      <c r="F119" s="37"/>
      <c r="G119" s="37" t="str">
        <f>CONCATENATE(Source!DM41,Source!FU41, "=", Source!FY41, "%")</f>
        <v>*0,85=72,25%</v>
      </c>
      <c r="H119" s="37" t="str">
        <f>CONCATENATE(Source!AU41)</f>
        <v>72</v>
      </c>
    </row>
    <row r="120" spans="1:28" x14ac:dyDescent="0.2">
      <c r="C120" s="11" t="s">
        <v>209</v>
      </c>
      <c r="D120" s="37"/>
      <c r="E120" s="37"/>
      <c r="F120" s="37"/>
      <c r="G120" s="61">
        <f>((Source!AF41+Source!AE41)*Source!FX41/100)+((Source!AF41+Source!AE41)*Source!FY41/100)+Source!AB41</f>
        <v>54.409495000000007</v>
      </c>
      <c r="H120" s="62">
        <f>Source!O41+Source!X41+Source!Y41</f>
        <v>879.22</v>
      </c>
    </row>
    <row r="121" spans="1:28" ht="28.5" x14ac:dyDescent="0.2">
      <c r="A121" s="50">
        <v>8</v>
      </c>
      <c r="B121" s="50" t="str">
        <f>Source!E43</f>
        <v>8</v>
      </c>
      <c r="C121" s="50" t="str">
        <f>Source!G43</f>
        <v>Демонтаж каркасов ворот  зданий, ангаров и др.</v>
      </c>
      <c r="D121" s="50" t="str">
        <f>Source!F43</f>
        <v>09-04-011-01</v>
      </c>
      <c r="E121" s="33" t="str">
        <f>Source!H43</f>
        <v>т</v>
      </c>
      <c r="F121" s="14">
        <f>Source!I43</f>
        <v>0.15</v>
      </c>
      <c r="G121" s="24">
        <f>Source!AB43</f>
        <v>2031.442</v>
      </c>
      <c r="H121" s="25">
        <f>Source!O43</f>
        <v>1852.67</v>
      </c>
      <c r="T121">
        <f>Source!O43+Source!X43+Source!Y43</f>
        <v>2429.2800000000002</v>
      </c>
      <c r="U121">
        <f>Source!P43</f>
        <v>0</v>
      </c>
      <c r="V121">
        <f>Source!S43</f>
        <v>297.8</v>
      </c>
      <c r="W121">
        <f>Source!Q43</f>
        <v>1554.87</v>
      </c>
      <c r="X121">
        <f>Source!R43</f>
        <v>79.069999999999993</v>
      </c>
      <c r="Y121">
        <f>Source!U43</f>
        <v>4.8688499999999992</v>
      </c>
      <c r="Z121">
        <f>Source!V43</f>
        <v>0.93134999999999979</v>
      </c>
      <c r="AA121">
        <f>Source!X43</f>
        <v>305.26</v>
      </c>
      <c r="AB121">
        <f>Source!Y43</f>
        <v>271.35000000000002</v>
      </c>
    </row>
    <row r="122" spans="1:28" ht="14.25" x14ac:dyDescent="0.2">
      <c r="C122" s="26" t="s">
        <v>196</v>
      </c>
      <c r="D122" s="26">
        <f>Source!BA43</f>
        <v>6.08</v>
      </c>
      <c r="F122" s="14"/>
      <c r="G122" s="14"/>
      <c r="H122" s="14"/>
    </row>
    <row r="123" spans="1:28" x14ac:dyDescent="0.2">
      <c r="C123" s="26" t="s">
        <v>197</v>
      </c>
      <c r="D123" s="26">
        <f>Source!BB43</f>
        <v>6.08</v>
      </c>
    </row>
    <row r="124" spans="1:28" x14ac:dyDescent="0.2">
      <c r="C124" s="26" t="s">
        <v>198</v>
      </c>
      <c r="D124" s="26">
        <f>Source!BC43</f>
        <v>6.08</v>
      </c>
    </row>
    <row r="125" spans="1:28" x14ac:dyDescent="0.2">
      <c r="C125" s="26" t="s">
        <v>199</v>
      </c>
      <c r="D125" s="26">
        <f>Source!BS43</f>
        <v>6.08</v>
      </c>
    </row>
    <row r="126" spans="1:28" x14ac:dyDescent="0.2">
      <c r="C126" s="26" t="s">
        <v>210</v>
      </c>
      <c r="D126" s="88" t="s">
        <v>280</v>
      </c>
      <c r="E126" s="88"/>
      <c r="F126" s="88"/>
      <c r="G126" s="88"/>
      <c r="H126" s="88"/>
    </row>
    <row r="127" spans="1:28" x14ac:dyDescent="0.2">
      <c r="C127" s="26" t="s">
        <v>200</v>
      </c>
      <c r="D127" s="88" t="s">
        <v>281</v>
      </c>
      <c r="E127" s="88"/>
      <c r="F127" s="88"/>
      <c r="G127" s="88"/>
      <c r="H127" s="88"/>
    </row>
    <row r="128" spans="1:28" x14ac:dyDescent="0.2">
      <c r="C128" s="26" t="s">
        <v>201</v>
      </c>
      <c r="D128" s="88" t="s">
        <v>281</v>
      </c>
      <c r="E128" s="88"/>
      <c r="F128" s="88"/>
      <c r="G128" s="88"/>
      <c r="H128" s="88"/>
    </row>
    <row r="129" spans="1:28" x14ac:dyDescent="0.2">
      <c r="C129" s="26" t="s">
        <v>202</v>
      </c>
      <c r="D129" s="88" t="s">
        <v>281</v>
      </c>
      <c r="E129" s="88"/>
      <c r="F129" s="88"/>
      <c r="G129" s="88"/>
      <c r="H129" s="88"/>
    </row>
    <row r="130" spans="1:28" x14ac:dyDescent="0.2">
      <c r="C130" s="26" t="s">
        <v>203</v>
      </c>
      <c r="D130" s="88" t="s">
        <v>281</v>
      </c>
      <c r="E130" s="88"/>
      <c r="F130" s="88"/>
      <c r="G130" s="88"/>
      <c r="H130" s="88"/>
    </row>
    <row r="131" spans="1:28" x14ac:dyDescent="0.2">
      <c r="C131" s="26" t="s">
        <v>204</v>
      </c>
      <c r="D131" s="88" t="s">
        <v>281</v>
      </c>
      <c r="E131" s="88"/>
      <c r="F131" s="88"/>
      <c r="G131" s="88"/>
      <c r="H131" s="88"/>
    </row>
    <row r="132" spans="1:28" x14ac:dyDescent="0.2">
      <c r="C132" s="11" t="s">
        <v>205</v>
      </c>
      <c r="D132" s="37"/>
      <c r="E132" s="37"/>
      <c r="F132" s="37">
        <f>Source!BZ43</f>
        <v>90</v>
      </c>
      <c r="G132" s="61">
        <f>(Source!AF43+Source!AE43)*Source!FX43/100</f>
        <v>334.71711000000005</v>
      </c>
      <c r="H132" s="62">
        <f>Source!X43</f>
        <v>305.26</v>
      </c>
    </row>
    <row r="133" spans="1:28" x14ac:dyDescent="0.2">
      <c r="C133" s="11" t="s">
        <v>206</v>
      </c>
      <c r="D133" s="37"/>
      <c r="E133" s="37"/>
      <c r="F133" s="37"/>
      <c r="G133" s="37" t="str">
        <f>CONCATENATE(Source!DL43,Source!FT43, "=", Source!FX43, "%")</f>
        <v>*0,9=81%</v>
      </c>
      <c r="H133" s="37" t="str">
        <f>CONCATENATE(Source!AT43)</f>
        <v>81</v>
      </c>
    </row>
    <row r="134" spans="1:28" x14ac:dyDescent="0.2">
      <c r="C134" s="11" t="s">
        <v>207</v>
      </c>
      <c r="D134" s="37"/>
      <c r="E134" s="37"/>
      <c r="F134" s="37">
        <f>Source!CA43</f>
        <v>85</v>
      </c>
      <c r="G134" s="61">
        <f>(Source!AF43+Source!AE43)*Source!FY43/100</f>
        <v>298.55939749999999</v>
      </c>
      <c r="H134" s="62">
        <f>Source!Y43</f>
        <v>271.35000000000002</v>
      </c>
    </row>
    <row r="135" spans="1:28" x14ac:dyDescent="0.2">
      <c r="C135" s="11" t="s">
        <v>208</v>
      </c>
      <c r="D135" s="37"/>
      <c r="E135" s="37"/>
      <c r="F135" s="37"/>
      <c r="G135" s="37" t="str">
        <f>CONCATENATE(Source!DM43,Source!FU43, "=", Source!FY43, "%")</f>
        <v>*0,85=72,25%</v>
      </c>
      <c r="H135" s="37" t="str">
        <f>CONCATENATE(Source!AU43)</f>
        <v>72</v>
      </c>
    </row>
    <row r="136" spans="1:28" x14ac:dyDescent="0.2">
      <c r="C136" s="11" t="s">
        <v>209</v>
      </c>
      <c r="D136" s="37"/>
      <c r="E136" s="37"/>
      <c r="F136" s="37"/>
      <c r="G136" s="61">
        <f>((Source!AF43+Source!AE43)*Source!FX43/100)+((Source!AF43+Source!AE43)*Source!FY43/100)+Source!AB43</f>
        <v>2664.7185074999998</v>
      </c>
      <c r="H136" s="62">
        <f>Source!O43+Source!X43+Source!Y43</f>
        <v>2429.2800000000002</v>
      </c>
    </row>
    <row r="137" spans="1:28" ht="28.5" x14ac:dyDescent="0.2">
      <c r="A137" s="50">
        <v>9</v>
      </c>
      <c r="B137" s="50" t="str">
        <f>Source!E45</f>
        <v>9</v>
      </c>
      <c r="C137" s="50" t="str">
        <f>Source!G45</f>
        <v>Отбивка штукатурки с поверхностей стен и потолков кирпичных</v>
      </c>
      <c r="D137" s="50" t="str">
        <f>Source!F45</f>
        <v>46-02-009-02</v>
      </c>
      <c r="E137" s="33" t="str">
        <f>Source!H45</f>
        <v>100 м2</v>
      </c>
      <c r="F137" s="14">
        <f>Source!I45</f>
        <v>5.8140000000000001</v>
      </c>
      <c r="G137" s="24">
        <f>Source!AB45</f>
        <v>178</v>
      </c>
      <c r="H137" s="25">
        <f>Source!O45</f>
        <v>6292.14</v>
      </c>
      <c r="T137">
        <f>Source!O45+Source!X45+Source!Y45</f>
        <v>16296.640000000001</v>
      </c>
      <c r="U137">
        <f>Source!P45</f>
        <v>0</v>
      </c>
      <c r="V137">
        <f>Source!S45</f>
        <v>6292.14</v>
      </c>
      <c r="W137">
        <f>Source!Q45</f>
        <v>0</v>
      </c>
      <c r="X137">
        <f>Source!R45</f>
        <v>0</v>
      </c>
      <c r="Y137">
        <f>Source!U45</f>
        <v>132.67547999999999</v>
      </c>
      <c r="Z137">
        <f>Source!V45</f>
        <v>0</v>
      </c>
      <c r="AA137">
        <f>Source!X45</f>
        <v>6229.22</v>
      </c>
      <c r="AB137">
        <f>Source!Y45</f>
        <v>3775.28</v>
      </c>
    </row>
    <row r="138" spans="1:28" ht="14.25" x14ac:dyDescent="0.2">
      <c r="C138" s="26" t="str">
        <f>"Объем: "&amp;Source!I45&amp;"=581,4/"&amp;"100"</f>
        <v>Объем: 5,814=581,4/100</v>
      </c>
      <c r="F138" s="14"/>
      <c r="G138" s="14"/>
      <c r="H138" s="14"/>
    </row>
    <row r="139" spans="1:28" x14ac:dyDescent="0.2">
      <c r="C139" s="26" t="s">
        <v>196</v>
      </c>
      <c r="D139" s="26">
        <f>Source!BA45</f>
        <v>6.08</v>
      </c>
    </row>
    <row r="140" spans="1:28" x14ac:dyDescent="0.2">
      <c r="C140" s="26" t="s">
        <v>197</v>
      </c>
      <c r="D140" s="26">
        <f>Source!BB45</f>
        <v>6.08</v>
      </c>
    </row>
    <row r="141" spans="1:28" x14ac:dyDescent="0.2">
      <c r="C141" s="26" t="s">
        <v>198</v>
      </c>
      <c r="D141" s="26">
        <f>Source!BC45</f>
        <v>6.08</v>
      </c>
    </row>
    <row r="142" spans="1:28" x14ac:dyDescent="0.2">
      <c r="C142" s="26" t="s">
        <v>199</v>
      </c>
      <c r="D142" s="26">
        <f>Source!BS45</f>
        <v>6.08</v>
      </c>
    </row>
    <row r="143" spans="1:28" x14ac:dyDescent="0.2">
      <c r="C143" s="11" t="s">
        <v>205</v>
      </c>
      <c r="D143" s="37"/>
      <c r="E143" s="37"/>
      <c r="F143" s="37">
        <f>Source!BZ45</f>
        <v>110</v>
      </c>
      <c r="G143" s="61">
        <f>(Source!AF45+Source!AE45)*Source!FX45/100</f>
        <v>176.22</v>
      </c>
      <c r="H143" s="62">
        <f>Source!X45</f>
        <v>6229.22</v>
      </c>
    </row>
    <row r="144" spans="1:28" x14ac:dyDescent="0.2">
      <c r="C144" s="11" t="s">
        <v>206</v>
      </c>
      <c r="D144" s="37"/>
      <c r="E144" s="37"/>
      <c r="F144" s="37"/>
      <c r="G144" s="37" t="str">
        <f>CONCATENATE(Source!DL45,Source!FT45, "=", Source!FX45, "%")</f>
        <v>*0,9=99%</v>
      </c>
      <c r="H144" s="37" t="str">
        <f>CONCATENATE(Source!AT45)</f>
        <v>99</v>
      </c>
    </row>
    <row r="145" spans="1:28" x14ac:dyDescent="0.2">
      <c r="C145" s="11" t="s">
        <v>207</v>
      </c>
      <c r="D145" s="37"/>
      <c r="E145" s="37"/>
      <c r="F145" s="37">
        <f>Source!CA45</f>
        <v>70</v>
      </c>
      <c r="G145" s="61">
        <f>(Source!AF45+Source!AE45)*Source!FY45/100</f>
        <v>105.91</v>
      </c>
      <c r="H145" s="62">
        <f>Source!Y45</f>
        <v>3775.28</v>
      </c>
    </row>
    <row r="146" spans="1:28" x14ac:dyDescent="0.2">
      <c r="C146" s="11" t="s">
        <v>208</v>
      </c>
      <c r="D146" s="37"/>
      <c r="E146" s="37"/>
      <c r="F146" s="37"/>
      <c r="G146" s="37" t="str">
        <f>CONCATENATE(Source!DM45,Source!FU45, "=", Source!FY45, "%")</f>
        <v>*0,85=59,5%</v>
      </c>
      <c r="H146" s="37" t="str">
        <f>CONCATENATE(Source!AU45)</f>
        <v>60</v>
      </c>
    </row>
    <row r="147" spans="1:28" x14ac:dyDescent="0.2">
      <c r="C147" s="11" t="s">
        <v>209</v>
      </c>
      <c r="D147" s="37"/>
      <c r="E147" s="37"/>
      <c r="F147" s="37"/>
      <c r="G147" s="61">
        <f>((Source!AF45+Source!AE45)*Source!FX45/100)+((Source!AF45+Source!AE45)*Source!FY45/100)+Source!AB45</f>
        <v>460.13</v>
      </c>
      <c r="H147" s="62">
        <f>Source!O45+Source!X45+Source!Y45</f>
        <v>16296.640000000001</v>
      </c>
    </row>
    <row r="148" spans="1:28" ht="42.75" x14ac:dyDescent="0.2">
      <c r="A148" s="50">
        <v>10</v>
      </c>
      <c r="B148" s="50" t="str">
        <f>Source!E47</f>
        <v>10</v>
      </c>
      <c r="C148" s="50" t="str">
        <f>Source!G47</f>
        <v>Покрытие поверхностей грунтовкой глубокого проникновения за 2 раза потолков</v>
      </c>
      <c r="D148" s="50" t="str">
        <f>Source!F47</f>
        <v>15-04-006-02</v>
      </c>
      <c r="E148" s="33" t="str">
        <f>Source!H47</f>
        <v>100 м2</v>
      </c>
      <c r="F148" s="14">
        <f>Source!I47</f>
        <v>3.1139999999999999</v>
      </c>
      <c r="G148" s="24">
        <f>Source!AB47</f>
        <v>224.6885</v>
      </c>
      <c r="H148" s="25">
        <f>Source!O47</f>
        <v>4254.0600000000004</v>
      </c>
      <c r="T148">
        <f>Source!O47+Source!X47+Source!Y47</f>
        <v>10224.990000000002</v>
      </c>
      <c r="U148">
        <f>Source!P47</f>
        <v>6.82</v>
      </c>
      <c r="V148">
        <f>Source!S47</f>
        <v>4193.28</v>
      </c>
      <c r="W148">
        <f>Source!Q47</f>
        <v>53.96</v>
      </c>
      <c r="X148">
        <f>Source!R47</f>
        <v>11.6</v>
      </c>
      <c r="Y148">
        <f>Source!U47</f>
        <v>71.693621999999991</v>
      </c>
      <c r="Z148">
        <f>Source!V47</f>
        <v>0.15570000000000001</v>
      </c>
      <c r="AA148">
        <f>Source!X47</f>
        <v>3994.64</v>
      </c>
      <c r="AB148">
        <f>Source!Y47</f>
        <v>1976.29</v>
      </c>
    </row>
    <row r="149" spans="1:28" ht="14.25" x14ac:dyDescent="0.2">
      <c r="C149" s="26" t="str">
        <f>"Объем: "&amp;Source!I47&amp;"=311,4/"&amp;"100"</f>
        <v>Объем: 3,114=311,4/100</v>
      </c>
      <c r="F149" s="14"/>
      <c r="G149" s="14"/>
      <c r="H149" s="14"/>
    </row>
    <row r="150" spans="1:28" x14ac:dyDescent="0.2">
      <c r="C150" s="26" t="s">
        <v>196</v>
      </c>
      <c r="D150" s="26">
        <f>Source!BA47</f>
        <v>6.08</v>
      </c>
    </row>
    <row r="151" spans="1:28" x14ac:dyDescent="0.2">
      <c r="C151" s="26" t="s">
        <v>197</v>
      </c>
      <c r="D151" s="26">
        <f>Source!BB47</f>
        <v>6.08</v>
      </c>
    </row>
    <row r="152" spans="1:28" x14ac:dyDescent="0.2">
      <c r="C152" s="26" t="s">
        <v>198</v>
      </c>
      <c r="D152" s="26">
        <f>Source!BC47</f>
        <v>6.08</v>
      </c>
    </row>
    <row r="153" spans="1:28" x14ac:dyDescent="0.2">
      <c r="C153" s="26" t="s">
        <v>199</v>
      </c>
      <c r="D153" s="26">
        <f>Source!BS47</f>
        <v>6.08</v>
      </c>
    </row>
    <row r="154" spans="1:28" x14ac:dyDescent="0.2">
      <c r="C154" s="26" t="s">
        <v>200</v>
      </c>
      <c r="D154" s="88" t="s">
        <v>239</v>
      </c>
      <c r="E154" s="88"/>
      <c r="F154" s="88"/>
      <c r="G154" s="88"/>
      <c r="H154" s="88"/>
    </row>
    <row r="155" spans="1:28" x14ac:dyDescent="0.2">
      <c r="C155" s="26" t="s">
        <v>201</v>
      </c>
      <c r="D155" s="88" t="s">
        <v>239</v>
      </c>
      <c r="E155" s="88"/>
      <c r="F155" s="88"/>
      <c r="G155" s="88"/>
      <c r="H155" s="88"/>
    </row>
    <row r="156" spans="1:28" x14ac:dyDescent="0.2">
      <c r="C156" s="26" t="s">
        <v>202</v>
      </c>
      <c r="D156" s="88" t="s">
        <v>240</v>
      </c>
      <c r="E156" s="88"/>
      <c r="F156" s="88"/>
      <c r="G156" s="88"/>
      <c r="H156" s="88"/>
    </row>
    <row r="157" spans="1:28" x14ac:dyDescent="0.2">
      <c r="C157" s="26" t="s">
        <v>203</v>
      </c>
      <c r="D157" s="88" t="s">
        <v>240</v>
      </c>
      <c r="E157" s="88"/>
      <c r="F157" s="88"/>
      <c r="G157" s="88"/>
      <c r="H157" s="88"/>
    </row>
    <row r="158" spans="1:28" x14ac:dyDescent="0.2">
      <c r="C158" s="26" t="s">
        <v>204</v>
      </c>
      <c r="D158" s="88" t="s">
        <v>239</v>
      </c>
      <c r="E158" s="88"/>
      <c r="F158" s="88"/>
      <c r="G158" s="88"/>
      <c r="H158" s="88"/>
    </row>
    <row r="159" spans="1:28" x14ac:dyDescent="0.2">
      <c r="C159" s="11" t="s">
        <v>205</v>
      </c>
      <c r="D159" s="37"/>
      <c r="E159" s="37"/>
      <c r="F159" s="37">
        <f>Source!BZ47</f>
        <v>105</v>
      </c>
      <c r="G159" s="61">
        <f>(Source!AF47+Source!AE47)*Source!FX47/100</f>
        <v>209.87599499999999</v>
      </c>
      <c r="H159" s="62">
        <f>Source!X47</f>
        <v>3994.64</v>
      </c>
    </row>
    <row r="160" spans="1:28" x14ac:dyDescent="0.2">
      <c r="C160" s="11" t="s">
        <v>206</v>
      </c>
      <c r="D160" s="37"/>
      <c r="E160" s="37"/>
      <c r="F160" s="37"/>
      <c r="G160" s="37" t="str">
        <f>CONCATENATE(Source!DL47,Source!FT47, "=", Source!FX47, "%")</f>
        <v>*0,9=94,5%</v>
      </c>
      <c r="H160" s="37" t="str">
        <f>CONCATENATE(Source!AT47)</f>
        <v>95</v>
      </c>
    </row>
    <row r="161" spans="1:28" x14ac:dyDescent="0.2">
      <c r="C161" s="11" t="s">
        <v>207</v>
      </c>
      <c r="D161" s="37"/>
      <c r="E161" s="37"/>
      <c r="F161" s="37">
        <f>Source!CA47</f>
        <v>55</v>
      </c>
      <c r="G161" s="61">
        <f>(Source!AF47+Source!AE47)*Source!FY47/100</f>
        <v>103.82754249999999</v>
      </c>
      <c r="H161" s="62">
        <f>Source!Y47</f>
        <v>1976.29</v>
      </c>
    </row>
    <row r="162" spans="1:28" x14ac:dyDescent="0.2">
      <c r="C162" s="11" t="s">
        <v>208</v>
      </c>
      <c r="D162" s="37"/>
      <c r="E162" s="37"/>
      <c r="F162" s="37"/>
      <c r="G162" s="37" t="str">
        <f>CONCATENATE(Source!DM47,Source!FU47, "=", Source!FY47, "%")</f>
        <v>*0,85=46,75%</v>
      </c>
      <c r="H162" s="37" t="str">
        <f>CONCATENATE(Source!AU47)</f>
        <v>47</v>
      </c>
    </row>
    <row r="163" spans="1:28" x14ac:dyDescent="0.2">
      <c r="C163" s="11" t="s">
        <v>209</v>
      </c>
      <c r="D163" s="37"/>
      <c r="E163" s="37"/>
      <c r="F163" s="37"/>
      <c r="G163" s="61">
        <f>((Source!AF47+Source!AE47)*Source!FX47/100)+((Source!AF47+Source!AE47)*Source!FY47/100)+Source!AB47</f>
        <v>538.39203750000001</v>
      </c>
      <c r="H163" s="62">
        <f>Source!O47+Source!X47+Source!Y47</f>
        <v>10224.990000000002</v>
      </c>
    </row>
    <row r="164" spans="1:28" ht="28.5" x14ac:dyDescent="0.2">
      <c r="A164" s="50">
        <v>11</v>
      </c>
      <c r="B164" s="50" t="str">
        <f>Source!E49</f>
        <v>10,1</v>
      </c>
      <c r="C164" s="50" t="str">
        <f>Source!G49</f>
        <v>Грунтовка акриловая CERESIT</v>
      </c>
      <c r="D164" s="50" t="str">
        <f>Source!F49</f>
        <v>14.4.01.02-0113</v>
      </c>
      <c r="E164" s="33" t="str">
        <f>Source!H49</f>
        <v>кг</v>
      </c>
      <c r="F164" s="14">
        <f>Source!I49</f>
        <v>62.28</v>
      </c>
      <c r="G164" s="24">
        <f>Source!AB49</f>
        <v>15.25</v>
      </c>
      <c r="H164" s="25">
        <f>Source!O49</f>
        <v>5774.6</v>
      </c>
      <c r="T164">
        <f>Source!O49+Source!X49+Source!Y49</f>
        <v>5774.6</v>
      </c>
      <c r="U164">
        <f>Source!P49</f>
        <v>5774.6</v>
      </c>
      <c r="V164">
        <f>Source!S49</f>
        <v>0</v>
      </c>
      <c r="W164">
        <f>Source!Q49</f>
        <v>0</v>
      </c>
      <c r="X164">
        <f>Source!R49</f>
        <v>0</v>
      </c>
      <c r="Y164">
        <f>Source!U49</f>
        <v>0</v>
      </c>
      <c r="Z164">
        <f>Source!V49</f>
        <v>0</v>
      </c>
      <c r="AA164">
        <f>Source!X49</f>
        <v>0</v>
      </c>
      <c r="AB164">
        <f>Source!Y49</f>
        <v>0</v>
      </c>
    </row>
    <row r="165" spans="1:28" ht="14.25" x14ac:dyDescent="0.2">
      <c r="C165" s="26" t="s">
        <v>198</v>
      </c>
      <c r="D165" s="26">
        <f>Source!BC49</f>
        <v>6.08</v>
      </c>
      <c r="F165" s="14"/>
      <c r="G165" s="14"/>
      <c r="H165" s="14"/>
    </row>
    <row r="166" spans="1:28" ht="42.75" x14ac:dyDescent="0.2">
      <c r="A166" s="50">
        <v>12</v>
      </c>
      <c r="B166" s="50" t="str">
        <f>Source!E51</f>
        <v>11</v>
      </c>
      <c r="C166" s="50" t="str">
        <f>Source!G51</f>
        <v>Окраска поливинилацетатными водоэмульсионными составами улучшенная по штукатурке потолков</v>
      </c>
      <c r="D166" s="50" t="str">
        <f>Source!F51</f>
        <v>15-04-005-04</v>
      </c>
      <c r="E166" s="33" t="str">
        <f>Source!H51</f>
        <v>100 м2</v>
      </c>
      <c r="F166" s="14">
        <f>Source!I51</f>
        <v>3.1139999999999999</v>
      </c>
      <c r="G166" s="24">
        <f>Source!AB51</f>
        <v>867.40700000000004</v>
      </c>
      <c r="H166" s="25">
        <f>Source!O51</f>
        <v>16422.71</v>
      </c>
      <c r="T166">
        <f>Source!O51+Source!X51+Source!Y51</f>
        <v>31442.420000000002</v>
      </c>
      <c r="U166">
        <f>Source!P51</f>
        <v>5632.22</v>
      </c>
      <c r="V166">
        <f>Source!S51</f>
        <v>10526.85</v>
      </c>
      <c r="W166">
        <f>Source!Q51</f>
        <v>263.64</v>
      </c>
      <c r="X166">
        <f>Source!R51</f>
        <v>50.41</v>
      </c>
      <c r="Y166">
        <f>Source!U51</f>
        <v>193.02128999999996</v>
      </c>
      <c r="Z166">
        <f>Source!V51</f>
        <v>0.70064999999999988</v>
      </c>
      <c r="AA166">
        <f>Source!X51</f>
        <v>10048.4</v>
      </c>
      <c r="AB166">
        <f>Source!Y51</f>
        <v>4971.3100000000004</v>
      </c>
    </row>
    <row r="167" spans="1:28" ht="14.25" x14ac:dyDescent="0.2">
      <c r="C167" s="26" t="str">
        <f>"Объем: "&amp;Source!I51&amp;"=311,4/"&amp;"100"</f>
        <v>Объем: 3,114=311,4/100</v>
      </c>
      <c r="F167" s="14"/>
      <c r="G167" s="14"/>
      <c r="H167" s="14"/>
    </row>
    <row r="168" spans="1:28" x14ac:dyDescent="0.2">
      <c r="C168" s="26" t="s">
        <v>196</v>
      </c>
      <c r="D168" s="26">
        <f>Source!BA51</f>
        <v>6.08</v>
      </c>
    </row>
    <row r="169" spans="1:28" x14ac:dyDescent="0.2">
      <c r="C169" s="26" t="s">
        <v>197</v>
      </c>
      <c r="D169" s="26">
        <f>Source!BB51</f>
        <v>6.08</v>
      </c>
    </row>
    <row r="170" spans="1:28" x14ac:dyDescent="0.2">
      <c r="C170" s="26" t="s">
        <v>198</v>
      </c>
      <c r="D170" s="26">
        <f>Source!BC51</f>
        <v>6.08</v>
      </c>
    </row>
    <row r="171" spans="1:28" x14ac:dyDescent="0.2">
      <c r="C171" s="26" t="s">
        <v>199</v>
      </c>
      <c r="D171" s="26">
        <f>Source!BS51</f>
        <v>6.08</v>
      </c>
    </row>
    <row r="172" spans="1:28" x14ac:dyDescent="0.2">
      <c r="C172" s="26" t="s">
        <v>200</v>
      </c>
      <c r="D172" s="88" t="s">
        <v>239</v>
      </c>
      <c r="E172" s="88"/>
      <c r="F172" s="88"/>
      <c r="G172" s="88"/>
      <c r="H172" s="88"/>
    </row>
    <row r="173" spans="1:28" x14ac:dyDescent="0.2">
      <c r="C173" s="26" t="s">
        <v>201</v>
      </c>
      <c r="D173" s="88" t="s">
        <v>239</v>
      </c>
      <c r="E173" s="88"/>
      <c r="F173" s="88"/>
      <c r="G173" s="88"/>
      <c r="H173" s="88"/>
    </row>
    <row r="174" spans="1:28" x14ac:dyDescent="0.2">
      <c r="C174" s="26" t="s">
        <v>202</v>
      </c>
      <c r="D174" s="88" t="s">
        <v>240</v>
      </c>
      <c r="E174" s="88"/>
      <c r="F174" s="88"/>
      <c r="G174" s="88"/>
      <c r="H174" s="88"/>
    </row>
    <row r="175" spans="1:28" x14ac:dyDescent="0.2">
      <c r="C175" s="26" t="s">
        <v>203</v>
      </c>
      <c r="D175" s="88" t="s">
        <v>240</v>
      </c>
      <c r="E175" s="88"/>
      <c r="F175" s="88"/>
      <c r="G175" s="88"/>
      <c r="H175" s="88"/>
    </row>
    <row r="176" spans="1:28" x14ac:dyDescent="0.2">
      <c r="C176" s="26" t="s">
        <v>204</v>
      </c>
      <c r="D176" s="88" t="s">
        <v>239</v>
      </c>
      <c r="E176" s="88"/>
      <c r="F176" s="88"/>
      <c r="G176" s="88"/>
      <c r="H176" s="88"/>
    </row>
    <row r="177" spans="1:28" x14ac:dyDescent="0.2">
      <c r="C177" s="11" t="s">
        <v>205</v>
      </c>
      <c r="D177" s="37"/>
      <c r="E177" s="37"/>
      <c r="F177" s="37">
        <f>Source!BZ51</f>
        <v>105</v>
      </c>
      <c r="G177" s="61">
        <f>(Source!AF51+Source!AE51)*Source!FX51/100</f>
        <v>527.93795249999994</v>
      </c>
      <c r="H177" s="62">
        <f>Source!X51</f>
        <v>10048.4</v>
      </c>
    </row>
    <row r="178" spans="1:28" x14ac:dyDescent="0.2">
      <c r="C178" s="11" t="s">
        <v>206</v>
      </c>
      <c r="D178" s="37"/>
      <c r="E178" s="37"/>
      <c r="F178" s="37"/>
      <c r="G178" s="37" t="str">
        <f>CONCATENATE(Source!DL51,Source!FT51, "=", Source!FX51, "%")</f>
        <v>*0,9=94,5%</v>
      </c>
      <c r="H178" s="37" t="str">
        <f>CONCATENATE(Source!AT51)</f>
        <v>95</v>
      </c>
    </row>
    <row r="179" spans="1:28" x14ac:dyDescent="0.2">
      <c r="C179" s="11" t="s">
        <v>207</v>
      </c>
      <c r="D179" s="37"/>
      <c r="E179" s="37"/>
      <c r="F179" s="37">
        <f>Source!CA51</f>
        <v>55</v>
      </c>
      <c r="G179" s="61">
        <f>(Source!AF51+Source!AE51)*Source!FY51/100</f>
        <v>261.17565374999998</v>
      </c>
      <c r="H179" s="62">
        <f>Source!Y51</f>
        <v>4971.3100000000004</v>
      </c>
    </row>
    <row r="180" spans="1:28" x14ac:dyDescent="0.2">
      <c r="C180" s="11" t="s">
        <v>208</v>
      </c>
      <c r="D180" s="37"/>
      <c r="E180" s="37"/>
      <c r="F180" s="37"/>
      <c r="G180" s="37" t="str">
        <f>CONCATENATE(Source!DM51,Source!FU51, "=", Source!FY51, "%")</f>
        <v>*0,85=46,75%</v>
      </c>
      <c r="H180" s="37" t="str">
        <f>CONCATENATE(Source!AU51)</f>
        <v>47</v>
      </c>
    </row>
    <row r="181" spans="1:28" x14ac:dyDescent="0.2">
      <c r="C181" s="11" t="s">
        <v>209</v>
      </c>
      <c r="D181" s="37"/>
      <c r="E181" s="37"/>
      <c r="F181" s="37"/>
      <c r="G181" s="61">
        <f>((Source!AF51+Source!AE51)*Source!FX51/100)+((Source!AF51+Source!AE51)*Source!FY51/100)+Source!AB51</f>
        <v>1656.5206062500001</v>
      </c>
      <c r="H181" s="62">
        <f>Source!O51+Source!X51+Source!Y51</f>
        <v>31442.420000000002</v>
      </c>
    </row>
    <row r="182" spans="1:28" ht="28.5" x14ac:dyDescent="0.2">
      <c r="A182" s="50">
        <v>13</v>
      </c>
      <c r="B182" s="50" t="str">
        <f>Source!E53</f>
        <v>11,1</v>
      </c>
      <c r="C182" s="50" t="str">
        <f>Source!G53</f>
        <v>Краска водоэмульсионная для внутренних работ ВАК-15</v>
      </c>
      <c r="D182" s="50" t="str">
        <f>Source!F53</f>
        <v>14.3.02.01-0223</v>
      </c>
      <c r="E182" s="33" t="str">
        <f>Source!H53</f>
        <v>т</v>
      </c>
      <c r="F182" s="14">
        <f>Source!I53</f>
        <v>0.214866</v>
      </c>
      <c r="G182" s="24">
        <f>Source!AB53</f>
        <v>19973.669999999998</v>
      </c>
      <c r="H182" s="25">
        <f>Source!O53</f>
        <v>26093.31</v>
      </c>
      <c r="T182">
        <f>Source!O53+Source!X53+Source!Y53</f>
        <v>26093.31</v>
      </c>
      <c r="U182">
        <f>Source!P53</f>
        <v>26093.31</v>
      </c>
      <c r="V182">
        <f>Source!S53</f>
        <v>0</v>
      </c>
      <c r="W182">
        <f>Source!Q53</f>
        <v>0</v>
      </c>
      <c r="X182">
        <f>Source!R53</f>
        <v>0</v>
      </c>
      <c r="Y182">
        <f>Source!U53</f>
        <v>0</v>
      </c>
      <c r="Z182">
        <f>Source!V53</f>
        <v>0</v>
      </c>
      <c r="AA182">
        <f>Source!X53</f>
        <v>0</v>
      </c>
      <c r="AB182">
        <f>Source!Y53</f>
        <v>0</v>
      </c>
    </row>
    <row r="183" spans="1:28" ht="14.25" x14ac:dyDescent="0.2">
      <c r="C183" s="26" t="s">
        <v>198</v>
      </c>
      <c r="D183" s="26">
        <f>Source!BC53</f>
        <v>6.08</v>
      </c>
      <c r="F183" s="14"/>
      <c r="G183" s="14"/>
      <c r="H183" s="14"/>
    </row>
    <row r="184" spans="1:28" ht="42.75" x14ac:dyDescent="0.2">
      <c r="A184" s="50">
        <v>14</v>
      </c>
      <c r="B184" s="50" t="str">
        <f>Source!E55</f>
        <v>12</v>
      </c>
      <c r="C184" s="50" t="str">
        <f>Source!G55</f>
        <v>Штукатурка поверхностей внутри здания известковым раствором улучшенная по камню и бетону стен</v>
      </c>
      <c r="D184" s="50" t="str">
        <f>Source!F55</f>
        <v>15-02-015-05</v>
      </c>
      <c r="E184" s="33" t="str">
        <f>Source!H55</f>
        <v>100 м2</v>
      </c>
      <c r="F184" s="14">
        <f>Source!I55</f>
        <v>3.2</v>
      </c>
      <c r="G184" s="24">
        <f>Source!AB55</f>
        <v>1833.53</v>
      </c>
      <c r="H184" s="25">
        <f>Source!O55</f>
        <v>35673.160000000003</v>
      </c>
      <c r="T184">
        <f>Source!O55+Source!X55+Source!Y55</f>
        <v>56221.950000000004</v>
      </c>
      <c r="U184">
        <f>Source!P55</f>
        <v>20627.060000000001</v>
      </c>
      <c r="V184">
        <f>Source!S55</f>
        <v>13577.56</v>
      </c>
      <c r="W184">
        <f>Source!Q55</f>
        <v>1468.54</v>
      </c>
      <c r="X184">
        <f>Source!R55</f>
        <v>893.42</v>
      </c>
      <c r="Y184">
        <f>Source!U55</f>
        <v>237.56799999999998</v>
      </c>
      <c r="Z184">
        <f>Source!V55</f>
        <v>16.064</v>
      </c>
      <c r="AA184">
        <f>Source!X55</f>
        <v>13747.43</v>
      </c>
      <c r="AB184">
        <f>Source!Y55</f>
        <v>6801.36</v>
      </c>
    </row>
    <row r="185" spans="1:28" ht="14.25" x14ac:dyDescent="0.2">
      <c r="C185" s="26" t="str">
        <f>"Объем: "&amp;Source!I55&amp;"=320/"&amp;"100"</f>
        <v>Объем: 3,2=320/100</v>
      </c>
      <c r="F185" s="14"/>
      <c r="G185" s="14"/>
      <c r="H185" s="14"/>
    </row>
    <row r="186" spans="1:28" x14ac:dyDescent="0.2">
      <c r="C186" s="26" t="s">
        <v>196</v>
      </c>
      <c r="D186" s="26">
        <f>Source!BA55</f>
        <v>6.08</v>
      </c>
    </row>
    <row r="187" spans="1:28" x14ac:dyDescent="0.2">
      <c r="C187" s="26" t="s">
        <v>197</v>
      </c>
      <c r="D187" s="26">
        <f>Source!BB55</f>
        <v>6.08</v>
      </c>
    </row>
    <row r="188" spans="1:28" x14ac:dyDescent="0.2">
      <c r="C188" s="26" t="s">
        <v>198</v>
      </c>
      <c r="D188" s="26">
        <f>Source!BC55</f>
        <v>6.08</v>
      </c>
    </row>
    <row r="189" spans="1:28" x14ac:dyDescent="0.2">
      <c r="C189" s="26" t="s">
        <v>199</v>
      </c>
      <c r="D189" s="26">
        <f>Source!BS55</f>
        <v>6.08</v>
      </c>
    </row>
    <row r="190" spans="1:28" x14ac:dyDescent="0.2">
      <c r="C190" s="11" t="s">
        <v>205</v>
      </c>
      <c r="D190" s="37"/>
      <c r="E190" s="37"/>
      <c r="F190" s="37">
        <f>Source!BZ55</f>
        <v>105</v>
      </c>
      <c r="G190" s="61">
        <f>(Source!AF55+Source!AE55)*Source!FX55/100</f>
        <v>702.87209999999993</v>
      </c>
      <c r="H190" s="62">
        <f>Source!X55</f>
        <v>13747.43</v>
      </c>
    </row>
    <row r="191" spans="1:28" x14ac:dyDescent="0.2">
      <c r="C191" s="11" t="s">
        <v>206</v>
      </c>
      <c r="D191" s="37"/>
      <c r="E191" s="37"/>
      <c r="F191" s="37"/>
      <c r="G191" s="37" t="str">
        <f>CONCATENATE(Source!DL55,Source!FT55, "=", Source!FX55, "%")</f>
        <v>*0,9=94,5%</v>
      </c>
      <c r="H191" s="37" t="str">
        <f>CONCATENATE(Source!AT55)</f>
        <v>95</v>
      </c>
    </row>
    <row r="192" spans="1:28" x14ac:dyDescent="0.2">
      <c r="C192" s="11" t="s">
        <v>207</v>
      </c>
      <c r="D192" s="37"/>
      <c r="E192" s="37"/>
      <c r="F192" s="37">
        <f>Source!CA55</f>
        <v>55</v>
      </c>
      <c r="G192" s="61">
        <f>(Source!AF55+Source!AE55)*Source!FY55/100</f>
        <v>347.71714999999995</v>
      </c>
      <c r="H192" s="62">
        <f>Source!Y55</f>
        <v>6801.36</v>
      </c>
    </row>
    <row r="193" spans="1:28" x14ac:dyDescent="0.2">
      <c r="C193" s="11" t="s">
        <v>208</v>
      </c>
      <c r="D193" s="37"/>
      <c r="E193" s="37"/>
      <c r="F193" s="37"/>
      <c r="G193" s="37" t="str">
        <f>CONCATENATE(Source!DM55,Source!FU55, "=", Source!FY55, "%")</f>
        <v>*0,85=46,75%</v>
      </c>
      <c r="H193" s="37" t="str">
        <f>CONCATENATE(Source!AU55)</f>
        <v>47</v>
      </c>
    </row>
    <row r="194" spans="1:28" x14ac:dyDescent="0.2">
      <c r="C194" s="11" t="s">
        <v>209</v>
      </c>
      <c r="D194" s="37"/>
      <c r="E194" s="37"/>
      <c r="F194" s="37"/>
      <c r="G194" s="61">
        <f>((Source!AF55+Source!AE55)*Source!FX55/100)+((Source!AF55+Source!AE55)*Source!FY55/100)+Source!AB55</f>
        <v>2884.1192499999997</v>
      </c>
      <c r="H194" s="62">
        <f>Source!O55+Source!X55+Source!Y55</f>
        <v>56221.950000000004</v>
      </c>
    </row>
    <row r="195" spans="1:28" ht="42.75" x14ac:dyDescent="0.2">
      <c r="A195" s="50">
        <v>15</v>
      </c>
      <c r="B195" s="50" t="str">
        <f>Source!E57</f>
        <v>13</v>
      </c>
      <c r="C195" s="50" t="str">
        <f>Source!G57</f>
        <v>Окраска водно-дисперсионными акриловыми составами улучшенная по штукатурке стен</v>
      </c>
      <c r="D195" s="50" t="str">
        <f>Source!F57</f>
        <v>15-04-007-01</v>
      </c>
      <c r="E195" s="33" t="str">
        <f>Source!H57</f>
        <v>100 м2</v>
      </c>
      <c r="F195" s="14">
        <f>Source!I57</f>
        <v>5.0999999999999996</v>
      </c>
      <c r="G195" s="24">
        <f>Source!AB57</f>
        <v>1093.3889999999999</v>
      </c>
      <c r="H195" s="25">
        <f>Source!O57</f>
        <v>33903.800000000003</v>
      </c>
      <c r="T195">
        <f>Source!O57+Source!X57+Source!Y57</f>
        <v>53289.880000000005</v>
      </c>
      <c r="U195">
        <f>Source!P57</f>
        <v>19924.5</v>
      </c>
      <c r="V195">
        <f>Source!S57</f>
        <v>13575.81</v>
      </c>
      <c r="W195">
        <f>Source!Q57</f>
        <v>403.49</v>
      </c>
      <c r="X195">
        <f>Source!R57</f>
        <v>76.36</v>
      </c>
      <c r="Y195">
        <f>Source!U57</f>
        <v>255.4794</v>
      </c>
      <c r="Z195">
        <f>Source!V57</f>
        <v>1.08375</v>
      </c>
      <c r="AA195">
        <f>Source!X57</f>
        <v>12969.56</v>
      </c>
      <c r="AB195">
        <f>Source!Y57</f>
        <v>6416.52</v>
      </c>
    </row>
    <row r="196" spans="1:28" ht="14.25" x14ac:dyDescent="0.2">
      <c r="C196" s="26" t="str">
        <f>"Объем: "&amp;Source!I57&amp;"=510/"&amp;"100"</f>
        <v>Объем: 5,1=510/100</v>
      </c>
      <c r="F196" s="14"/>
      <c r="G196" s="14"/>
      <c r="H196" s="14"/>
    </row>
    <row r="197" spans="1:28" x14ac:dyDescent="0.2">
      <c r="C197" s="26" t="s">
        <v>196</v>
      </c>
      <c r="D197" s="26">
        <f>Source!BA57</f>
        <v>6.08</v>
      </c>
    </row>
    <row r="198" spans="1:28" x14ac:dyDescent="0.2">
      <c r="C198" s="26" t="s">
        <v>197</v>
      </c>
      <c r="D198" s="26">
        <f>Source!BB57</f>
        <v>6.08</v>
      </c>
    </row>
    <row r="199" spans="1:28" x14ac:dyDescent="0.2">
      <c r="C199" s="26" t="s">
        <v>198</v>
      </c>
      <c r="D199" s="26">
        <f>Source!BC57</f>
        <v>6.08</v>
      </c>
    </row>
    <row r="200" spans="1:28" x14ac:dyDescent="0.2">
      <c r="C200" s="26" t="s">
        <v>199</v>
      </c>
      <c r="D200" s="26">
        <f>Source!BS57</f>
        <v>6.08</v>
      </c>
    </row>
    <row r="201" spans="1:28" x14ac:dyDescent="0.2">
      <c r="C201" s="26" t="s">
        <v>200</v>
      </c>
      <c r="D201" s="88" t="s">
        <v>239</v>
      </c>
      <c r="E201" s="88"/>
      <c r="F201" s="88"/>
      <c r="G201" s="88"/>
      <c r="H201" s="88"/>
    </row>
    <row r="202" spans="1:28" x14ac:dyDescent="0.2">
      <c r="C202" s="26" t="s">
        <v>201</v>
      </c>
      <c r="D202" s="88" t="s">
        <v>239</v>
      </c>
      <c r="E202" s="88"/>
      <c r="F202" s="88"/>
      <c r="G202" s="88"/>
      <c r="H202" s="88"/>
    </row>
    <row r="203" spans="1:28" x14ac:dyDescent="0.2">
      <c r="C203" s="26" t="s">
        <v>202</v>
      </c>
      <c r="D203" s="88" t="s">
        <v>240</v>
      </c>
      <c r="E203" s="88"/>
      <c r="F203" s="88"/>
      <c r="G203" s="88"/>
      <c r="H203" s="88"/>
    </row>
    <row r="204" spans="1:28" x14ac:dyDescent="0.2">
      <c r="C204" s="26" t="s">
        <v>203</v>
      </c>
      <c r="D204" s="88" t="s">
        <v>240</v>
      </c>
      <c r="E204" s="88"/>
      <c r="F204" s="88"/>
      <c r="G204" s="88"/>
      <c r="H204" s="88"/>
    </row>
    <row r="205" spans="1:28" x14ac:dyDescent="0.2">
      <c r="C205" s="26" t="s">
        <v>204</v>
      </c>
      <c r="D205" s="88" t="s">
        <v>239</v>
      </c>
      <c r="E205" s="88"/>
      <c r="F205" s="88"/>
      <c r="G205" s="88"/>
      <c r="H205" s="88"/>
    </row>
    <row r="206" spans="1:28" x14ac:dyDescent="0.2">
      <c r="C206" s="11" t="s">
        <v>205</v>
      </c>
      <c r="D206" s="37"/>
      <c r="E206" s="37"/>
      <c r="F206" s="37">
        <f>Source!BZ57</f>
        <v>105</v>
      </c>
      <c r="G206" s="61">
        <f>(Source!AF57+Source!AE57)*Source!FX57/100</f>
        <v>416.06365499999998</v>
      </c>
      <c r="H206" s="62">
        <f>Source!X57</f>
        <v>12969.56</v>
      </c>
    </row>
    <row r="207" spans="1:28" x14ac:dyDescent="0.2">
      <c r="C207" s="11" t="s">
        <v>206</v>
      </c>
      <c r="D207" s="37"/>
      <c r="E207" s="37"/>
      <c r="F207" s="37"/>
      <c r="G207" s="37" t="str">
        <f>CONCATENATE(Source!DL57,Source!FT57, "=", Source!FX57, "%")</f>
        <v>*0,9=94,5%</v>
      </c>
      <c r="H207" s="37" t="str">
        <f>CONCATENATE(Source!AT57)</f>
        <v>95</v>
      </c>
    </row>
    <row r="208" spans="1:28" x14ac:dyDescent="0.2">
      <c r="C208" s="11" t="s">
        <v>207</v>
      </c>
      <c r="D208" s="37"/>
      <c r="E208" s="37"/>
      <c r="F208" s="37">
        <f>Source!CA57</f>
        <v>55</v>
      </c>
      <c r="G208" s="61">
        <f>(Source!AF57+Source!AE57)*Source!FY57/100</f>
        <v>205.8304325</v>
      </c>
      <c r="H208" s="62">
        <f>Source!Y57</f>
        <v>6416.52</v>
      </c>
    </row>
    <row r="209" spans="1:28" x14ac:dyDescent="0.2">
      <c r="C209" s="11" t="s">
        <v>208</v>
      </c>
      <c r="D209" s="37"/>
      <c r="E209" s="37"/>
      <c r="F209" s="37"/>
      <c r="G209" s="37" t="str">
        <f>CONCATENATE(Source!DM57,Source!FU57, "=", Source!FY57, "%")</f>
        <v>*0,85=46,75%</v>
      </c>
      <c r="H209" s="37" t="str">
        <f>CONCATENATE(Source!AU57)</f>
        <v>47</v>
      </c>
    </row>
    <row r="210" spans="1:28" x14ac:dyDescent="0.2">
      <c r="C210" s="11" t="s">
        <v>209</v>
      </c>
      <c r="D210" s="37"/>
      <c r="E210" s="37"/>
      <c r="F210" s="37"/>
      <c r="G210" s="61">
        <f>((Source!AF57+Source!AE57)*Source!FX57/100)+((Source!AF57+Source!AE57)*Source!FY57/100)+Source!AB57</f>
        <v>1715.2830875</v>
      </c>
      <c r="H210" s="62">
        <f>Source!O57+Source!X57+Source!Y57</f>
        <v>53289.880000000005</v>
      </c>
    </row>
    <row r="211" spans="1:28" ht="28.5" x14ac:dyDescent="0.2">
      <c r="A211" s="50">
        <v>16</v>
      </c>
      <c r="B211" s="50" t="str">
        <f>Source!E59</f>
        <v>13,1</v>
      </c>
      <c r="C211" s="50" t="str">
        <f>Source!G59</f>
        <v>Грунтовка акриловая НОРТЕКС-ГРУНТ</v>
      </c>
      <c r="D211" s="50" t="str">
        <f>Source!F59</f>
        <v>14.4.01.02-0113</v>
      </c>
      <c r="E211" s="33" t="str">
        <f>Source!H59</f>
        <v>кг</v>
      </c>
      <c r="F211" s="14">
        <f>Source!I59</f>
        <v>102</v>
      </c>
      <c r="G211" s="24">
        <f>Source!AB59</f>
        <v>15.25</v>
      </c>
      <c r="H211" s="25">
        <f>Source!O59</f>
        <v>9457.44</v>
      </c>
      <c r="T211">
        <f>Source!O59+Source!X59+Source!Y59</f>
        <v>9457.44</v>
      </c>
      <c r="U211">
        <f>Source!P59</f>
        <v>9457.44</v>
      </c>
      <c r="V211">
        <f>Source!S59</f>
        <v>0</v>
      </c>
      <c r="W211">
        <f>Source!Q59</f>
        <v>0</v>
      </c>
      <c r="X211">
        <f>Source!R59</f>
        <v>0</v>
      </c>
      <c r="Y211">
        <f>Source!U59</f>
        <v>0</v>
      </c>
      <c r="Z211">
        <f>Source!V59</f>
        <v>0</v>
      </c>
      <c r="AA211">
        <f>Source!X59</f>
        <v>0</v>
      </c>
      <c r="AB211">
        <f>Source!Y59</f>
        <v>0</v>
      </c>
    </row>
    <row r="212" spans="1:28" ht="14.25" x14ac:dyDescent="0.2">
      <c r="C212" s="26" t="s">
        <v>198</v>
      </c>
      <c r="D212" s="26">
        <f>Source!BC59</f>
        <v>6.08</v>
      </c>
      <c r="F212" s="14"/>
      <c r="G212" s="14"/>
      <c r="H212" s="14"/>
    </row>
    <row r="213" spans="1:28" ht="28.5" x14ac:dyDescent="0.2">
      <c r="A213" s="50">
        <v>17</v>
      </c>
      <c r="B213" s="50" t="str">
        <f>Source!E61</f>
        <v>13,2</v>
      </c>
      <c r="C213" s="50" t="str">
        <f>Source!G61</f>
        <v>Краска акриловая ОКТАВА-ЛЮКС для стен и потолков</v>
      </c>
      <c r="D213" s="50" t="str">
        <f>Source!F61</f>
        <v>14.3.02.01-0122</v>
      </c>
      <c r="E213" s="33" t="str">
        <f>Source!H61</f>
        <v>т</v>
      </c>
      <c r="F213" s="14">
        <f>Source!I61</f>
        <v>0.153</v>
      </c>
      <c r="G213" s="24">
        <f>Source!AB61</f>
        <v>6192.9</v>
      </c>
      <c r="H213" s="25">
        <f>Source!O61</f>
        <v>5760.88</v>
      </c>
      <c r="T213">
        <f>Source!O61+Source!X61+Source!Y61</f>
        <v>5760.88</v>
      </c>
      <c r="U213">
        <f>Source!P61</f>
        <v>5760.88</v>
      </c>
      <c r="V213">
        <f>Source!S61</f>
        <v>0</v>
      </c>
      <c r="W213">
        <f>Source!Q61</f>
        <v>0</v>
      </c>
      <c r="X213">
        <f>Source!R61</f>
        <v>0</v>
      </c>
      <c r="Y213">
        <f>Source!U61</f>
        <v>0</v>
      </c>
      <c r="Z213">
        <f>Source!V61</f>
        <v>0</v>
      </c>
      <c r="AA213">
        <f>Source!X61</f>
        <v>0</v>
      </c>
      <c r="AB213">
        <f>Source!Y61</f>
        <v>0</v>
      </c>
    </row>
    <row r="214" spans="1:28" ht="14.25" x14ac:dyDescent="0.2">
      <c r="C214" s="26" t="s">
        <v>198</v>
      </c>
      <c r="D214" s="26">
        <f>Source!BC61</f>
        <v>6.08</v>
      </c>
      <c r="F214" s="14"/>
      <c r="G214" s="14"/>
      <c r="H214" s="14"/>
    </row>
    <row r="215" spans="1:28" ht="28.5" x14ac:dyDescent="0.2">
      <c r="A215" s="50">
        <v>18</v>
      </c>
      <c r="B215" s="50" t="str">
        <f>Source!E63</f>
        <v>14</v>
      </c>
      <c r="C215" s="50" t="str">
        <f>Source!G63</f>
        <v>Устройство пола наливного выравнивающего толщиной 20 мм</v>
      </c>
      <c r="D215" s="50" t="str">
        <f>Source!F63</f>
        <v>11-01-022-01</v>
      </c>
      <c r="E215" s="33" t="str">
        <f>Source!H63</f>
        <v>100 м2</v>
      </c>
      <c r="F215" s="14">
        <f>Source!I63</f>
        <v>0.20399999999999999</v>
      </c>
      <c r="G215" s="24">
        <f>Source!AB63</f>
        <v>7732.47</v>
      </c>
      <c r="H215" s="25">
        <f>Source!O63</f>
        <v>9590.74</v>
      </c>
      <c r="T215">
        <f>Source!O63+Source!X63+Source!Y63</f>
        <v>12125.59</v>
      </c>
      <c r="U215">
        <f>Source!P63</f>
        <v>7897.38</v>
      </c>
      <c r="V215">
        <f>Source!S63</f>
        <v>1399.53</v>
      </c>
      <c r="W215">
        <f>Source!Q63</f>
        <v>293.83</v>
      </c>
      <c r="X215">
        <f>Source!R63</f>
        <v>48.96</v>
      </c>
      <c r="Y215">
        <f>Source!U63</f>
        <v>24.204599999999999</v>
      </c>
      <c r="Z215">
        <f>Source!V63</f>
        <v>0.73848000000000003</v>
      </c>
      <c r="AA215">
        <f>Source!X63</f>
        <v>1607.82</v>
      </c>
      <c r="AB215">
        <f>Source!Y63</f>
        <v>927.03</v>
      </c>
    </row>
    <row r="216" spans="1:28" ht="14.25" x14ac:dyDescent="0.2">
      <c r="C216" s="26" t="str">
        <f>"Объем: "&amp;Source!I63&amp;"=20,4/"&amp;"100"</f>
        <v>Объем: 0,204=20,4/100</v>
      </c>
      <c r="F216" s="14"/>
      <c r="G216" s="14"/>
      <c r="H216" s="14"/>
    </row>
    <row r="217" spans="1:28" x14ac:dyDescent="0.2">
      <c r="C217" s="26" t="s">
        <v>196</v>
      </c>
      <c r="D217" s="26">
        <f>Source!BA63</f>
        <v>6.08</v>
      </c>
    </row>
    <row r="218" spans="1:28" x14ac:dyDescent="0.2">
      <c r="C218" s="26" t="s">
        <v>197</v>
      </c>
      <c r="D218" s="26">
        <f>Source!BB63</f>
        <v>6.08</v>
      </c>
    </row>
    <row r="219" spans="1:28" x14ac:dyDescent="0.2">
      <c r="C219" s="26" t="s">
        <v>198</v>
      </c>
      <c r="D219" s="26">
        <f>Source!BC63</f>
        <v>6.08</v>
      </c>
    </row>
    <row r="220" spans="1:28" x14ac:dyDescent="0.2">
      <c r="C220" s="26" t="s">
        <v>199</v>
      </c>
      <c r="D220" s="26">
        <f>Source!BS63</f>
        <v>6.08</v>
      </c>
    </row>
    <row r="221" spans="1:28" x14ac:dyDescent="0.2">
      <c r="C221" s="11" t="s">
        <v>205</v>
      </c>
      <c r="D221" s="37"/>
      <c r="E221" s="37"/>
      <c r="F221" s="37">
        <f>Source!BZ63</f>
        <v>123</v>
      </c>
      <c r="G221" s="61">
        <f>(Source!AF63+Source!AE63)*Source!FX63/100</f>
        <v>1292.7878099999998</v>
      </c>
      <c r="H221" s="62">
        <f>Source!X63</f>
        <v>1607.82</v>
      </c>
    </row>
    <row r="222" spans="1:28" x14ac:dyDescent="0.2">
      <c r="C222" s="11" t="s">
        <v>206</v>
      </c>
      <c r="D222" s="37"/>
      <c r="E222" s="37"/>
      <c r="F222" s="37"/>
      <c r="G222" s="37" t="str">
        <f>CONCATENATE(Source!DL63,Source!FT63, "=", Source!FX63, "%")</f>
        <v>*0,9=110,7%</v>
      </c>
      <c r="H222" s="37" t="str">
        <f>CONCATENATE(Source!AT63)</f>
        <v>111</v>
      </c>
    </row>
    <row r="223" spans="1:28" x14ac:dyDescent="0.2">
      <c r="C223" s="11" t="s">
        <v>207</v>
      </c>
      <c r="D223" s="37"/>
      <c r="E223" s="37"/>
      <c r="F223" s="37">
        <f>Source!CA63</f>
        <v>75</v>
      </c>
      <c r="G223" s="61">
        <f>(Source!AF63+Source!AE63)*Source!FY63/100</f>
        <v>744.49162499999989</v>
      </c>
      <c r="H223" s="62">
        <f>Source!Y63</f>
        <v>927.03</v>
      </c>
    </row>
    <row r="224" spans="1:28" x14ac:dyDescent="0.2">
      <c r="C224" s="11" t="s">
        <v>208</v>
      </c>
      <c r="D224" s="37"/>
      <c r="E224" s="37"/>
      <c r="F224" s="37"/>
      <c r="G224" s="37" t="str">
        <f>CONCATENATE(Source!DM63,Source!FU63, "=", Source!FY63, "%")</f>
        <v>*0,85=63,75%</v>
      </c>
      <c r="H224" s="37" t="str">
        <f>CONCATENATE(Source!AU63)</f>
        <v>64</v>
      </c>
    </row>
    <row r="225" spans="1:28" x14ac:dyDescent="0.2">
      <c r="C225" s="11" t="s">
        <v>209</v>
      </c>
      <c r="D225" s="37"/>
      <c r="E225" s="37"/>
      <c r="F225" s="37"/>
      <c r="G225" s="61">
        <f>((Source!AF63+Source!AE63)*Source!FX63/100)+((Source!AF63+Source!AE63)*Source!FY63/100)+Source!AB63</f>
        <v>9769.7494349999997</v>
      </c>
      <c r="H225" s="62">
        <f>Source!O63+Source!X63+Source!Y63</f>
        <v>12125.59</v>
      </c>
    </row>
    <row r="226" spans="1:28" ht="42.75" x14ac:dyDescent="0.2">
      <c r="A226" s="50">
        <v>19</v>
      </c>
      <c r="B226" s="50" t="str">
        <f>Source!E65</f>
        <v>15</v>
      </c>
      <c r="C226" s="50" t="str">
        <f>Source!G65</f>
        <v>Устройство покрытий из линолеума насухо со свариванием полотнищ в стыках</v>
      </c>
      <c r="D226" s="50" t="str">
        <f>Source!F65</f>
        <v>11-01-036-04</v>
      </c>
      <c r="E226" s="33" t="str">
        <f>Source!H65</f>
        <v>100 м2</v>
      </c>
      <c r="F226" s="14">
        <f>Source!I65</f>
        <v>0.20399999999999999</v>
      </c>
      <c r="G226" s="24">
        <f>Source!AB65</f>
        <v>375.41050000000001</v>
      </c>
      <c r="H226" s="25">
        <f>Source!O65</f>
        <v>465.63</v>
      </c>
      <c r="T226">
        <f>Source!O65+Source!X65+Source!Y65</f>
        <v>1144.74</v>
      </c>
      <c r="U226">
        <f>Source!P65</f>
        <v>0</v>
      </c>
      <c r="V226">
        <f>Source!S65</f>
        <v>372.31</v>
      </c>
      <c r="W226">
        <f>Source!Q65</f>
        <v>93.32</v>
      </c>
      <c r="X226">
        <f>Source!R65</f>
        <v>15.75</v>
      </c>
      <c r="Y226">
        <f>Source!U65</f>
        <v>7.3687859999999992</v>
      </c>
      <c r="Z226">
        <f>Source!V65</f>
        <v>0.20909999999999998</v>
      </c>
      <c r="AA226">
        <f>Source!X65</f>
        <v>430.75</v>
      </c>
      <c r="AB226">
        <f>Source!Y65</f>
        <v>248.36</v>
      </c>
    </row>
    <row r="227" spans="1:28" ht="14.25" x14ac:dyDescent="0.2">
      <c r="C227" s="26" t="str">
        <f>"Объем: "&amp;Source!I65&amp;"=20,4/"&amp;"100"</f>
        <v>Объем: 0,204=20,4/100</v>
      </c>
      <c r="F227" s="14"/>
      <c r="G227" s="14"/>
      <c r="H227" s="14"/>
    </row>
    <row r="228" spans="1:28" x14ac:dyDescent="0.2">
      <c r="C228" s="26" t="s">
        <v>196</v>
      </c>
      <c r="D228" s="26">
        <f>Source!BA65</f>
        <v>6.08</v>
      </c>
    </row>
    <row r="229" spans="1:28" x14ac:dyDescent="0.2">
      <c r="C229" s="26" t="s">
        <v>197</v>
      </c>
      <c r="D229" s="26">
        <f>Source!BB65</f>
        <v>6.08</v>
      </c>
    </row>
    <row r="230" spans="1:28" x14ac:dyDescent="0.2">
      <c r="C230" s="26" t="s">
        <v>198</v>
      </c>
      <c r="D230" s="26">
        <f>Source!BC65</f>
        <v>6.08</v>
      </c>
    </row>
    <row r="231" spans="1:28" x14ac:dyDescent="0.2">
      <c r="C231" s="26" t="s">
        <v>199</v>
      </c>
      <c r="D231" s="26">
        <f>Source!BS65</f>
        <v>6.08</v>
      </c>
    </row>
    <row r="232" spans="1:28" x14ac:dyDescent="0.2">
      <c r="C232" s="26" t="s">
        <v>200</v>
      </c>
      <c r="D232" s="88" t="s">
        <v>239</v>
      </c>
      <c r="E232" s="88"/>
      <c r="F232" s="88"/>
      <c r="G232" s="88"/>
      <c r="H232" s="88"/>
    </row>
    <row r="233" spans="1:28" x14ac:dyDescent="0.2">
      <c r="C233" s="26" t="s">
        <v>201</v>
      </c>
      <c r="D233" s="88" t="s">
        <v>239</v>
      </c>
      <c r="E233" s="88"/>
      <c r="F233" s="88"/>
      <c r="G233" s="88"/>
      <c r="H233" s="88"/>
    </row>
    <row r="234" spans="1:28" x14ac:dyDescent="0.2">
      <c r="C234" s="26" t="s">
        <v>202</v>
      </c>
      <c r="D234" s="88" t="s">
        <v>240</v>
      </c>
      <c r="E234" s="88"/>
      <c r="F234" s="88"/>
      <c r="G234" s="88"/>
      <c r="H234" s="88"/>
    </row>
    <row r="235" spans="1:28" x14ac:dyDescent="0.2">
      <c r="C235" s="26" t="s">
        <v>203</v>
      </c>
      <c r="D235" s="88" t="s">
        <v>240</v>
      </c>
      <c r="E235" s="88"/>
      <c r="F235" s="88"/>
      <c r="G235" s="88"/>
      <c r="H235" s="88"/>
    </row>
    <row r="236" spans="1:28" x14ac:dyDescent="0.2">
      <c r="C236" s="26" t="s">
        <v>204</v>
      </c>
      <c r="D236" s="88" t="s">
        <v>239</v>
      </c>
      <c r="E236" s="88"/>
      <c r="F236" s="88"/>
      <c r="G236" s="88"/>
      <c r="H236" s="88"/>
    </row>
    <row r="237" spans="1:28" x14ac:dyDescent="0.2">
      <c r="C237" s="11" t="s">
        <v>205</v>
      </c>
      <c r="D237" s="37"/>
      <c r="E237" s="37"/>
      <c r="F237" s="37">
        <f>Source!BZ65</f>
        <v>123</v>
      </c>
      <c r="G237" s="61">
        <f>(Source!AF65+Source!AE65)*Source!FX65/100</f>
        <v>346.35041100000001</v>
      </c>
      <c r="H237" s="62">
        <f>Source!X65</f>
        <v>430.75</v>
      </c>
    </row>
    <row r="238" spans="1:28" x14ac:dyDescent="0.2">
      <c r="C238" s="11" t="s">
        <v>206</v>
      </c>
      <c r="D238" s="37"/>
      <c r="E238" s="37"/>
      <c r="F238" s="37"/>
      <c r="G238" s="37" t="str">
        <f>CONCATENATE(Source!DL65,Source!FT65, "=", Source!FX65, "%")</f>
        <v>*0,9=110,7%</v>
      </c>
      <c r="H238" s="37" t="str">
        <f>CONCATENATE(Source!AT65)</f>
        <v>111</v>
      </c>
    </row>
    <row r="239" spans="1:28" x14ac:dyDescent="0.2">
      <c r="C239" s="11" t="s">
        <v>207</v>
      </c>
      <c r="D239" s="37"/>
      <c r="E239" s="37"/>
      <c r="F239" s="37">
        <f>Source!CA65</f>
        <v>75</v>
      </c>
      <c r="G239" s="61">
        <f>(Source!AF65+Source!AE65)*Source!FY65/100</f>
        <v>199.45653749999997</v>
      </c>
      <c r="H239" s="62">
        <f>Source!Y65</f>
        <v>248.36</v>
      </c>
    </row>
    <row r="240" spans="1:28" x14ac:dyDescent="0.2">
      <c r="C240" s="11" t="s">
        <v>208</v>
      </c>
      <c r="D240" s="37"/>
      <c r="E240" s="37"/>
      <c r="F240" s="37"/>
      <c r="G240" s="37" t="str">
        <f>CONCATENATE(Source!DM65,Source!FU65, "=", Source!FY65, "%")</f>
        <v>*0,85=63,75%</v>
      </c>
      <c r="H240" s="37" t="str">
        <f>CONCATENATE(Source!AU65)</f>
        <v>64</v>
      </c>
    </row>
    <row r="241" spans="1:28" x14ac:dyDescent="0.2">
      <c r="C241" s="11" t="s">
        <v>209</v>
      </c>
      <c r="D241" s="37"/>
      <c r="E241" s="37"/>
      <c r="F241" s="37"/>
      <c r="G241" s="61">
        <f>((Source!AF65+Source!AE65)*Source!FX65/100)+((Source!AF65+Source!AE65)*Source!FY65/100)+Source!AB65</f>
        <v>921.21744850000005</v>
      </c>
      <c r="H241" s="62">
        <f>Source!O65+Source!X65+Source!Y65</f>
        <v>1144.74</v>
      </c>
    </row>
    <row r="242" spans="1:28" ht="28.5" x14ac:dyDescent="0.2">
      <c r="A242" s="50">
        <v>20</v>
      </c>
      <c r="B242" s="50" t="str">
        <f>Source!E67</f>
        <v>15,1</v>
      </c>
      <c r="C242" s="50" t="str">
        <f>Source!G67</f>
        <v>Линолеум UPOFLOOR, ПВХ, толщиной 2,0 мм</v>
      </c>
      <c r="D242" s="50" t="str">
        <f>Source!F67</f>
        <v>01.6.03.04-0028</v>
      </c>
      <c r="E242" s="33" t="str">
        <f>Source!H67</f>
        <v>м2</v>
      </c>
      <c r="F242" s="14">
        <f>Source!I67</f>
        <v>20.808</v>
      </c>
      <c r="G242" s="24">
        <f>Source!AB67</f>
        <v>141.85</v>
      </c>
      <c r="H242" s="25">
        <f>Source!O67</f>
        <v>17945.82</v>
      </c>
      <c r="T242">
        <f>Source!O67+Source!X67+Source!Y67</f>
        <v>17945.82</v>
      </c>
      <c r="U242">
        <f>Source!P67</f>
        <v>17945.82</v>
      </c>
      <c r="V242">
        <f>Source!S67</f>
        <v>0</v>
      </c>
      <c r="W242">
        <f>Source!Q67</f>
        <v>0</v>
      </c>
      <c r="X242">
        <f>Source!R67</f>
        <v>0</v>
      </c>
      <c r="Y242">
        <f>Source!U67</f>
        <v>0</v>
      </c>
      <c r="Z242">
        <f>Source!V67</f>
        <v>0</v>
      </c>
      <c r="AA242">
        <f>Source!X67</f>
        <v>0</v>
      </c>
      <c r="AB242">
        <f>Source!Y67</f>
        <v>0</v>
      </c>
    </row>
    <row r="243" spans="1:28" ht="14.25" x14ac:dyDescent="0.2">
      <c r="C243" s="26" t="s">
        <v>198</v>
      </c>
      <c r="D243" s="26">
        <f>Source!BC67</f>
        <v>6.08</v>
      </c>
      <c r="F243" s="14"/>
      <c r="G243" s="14"/>
      <c r="H243" s="14"/>
    </row>
    <row r="244" spans="1:28" ht="28.5" x14ac:dyDescent="0.2">
      <c r="A244" s="50">
        <v>21</v>
      </c>
      <c r="B244" s="50" t="str">
        <f>Source!E69</f>
        <v>15,2</v>
      </c>
      <c r="C244" s="50" t="str">
        <f>Source!G69</f>
        <v>Лента полимерная (фторопластовая) для сварки линолеума</v>
      </c>
      <c r="D244" s="50" t="str">
        <f>Source!F69</f>
        <v>01.7.06.14-0034</v>
      </c>
      <c r="E244" s="33" t="str">
        <f>Source!H69</f>
        <v>100 м</v>
      </c>
      <c r="F244" s="14">
        <f>Source!I69</f>
        <v>0.13872000000000001</v>
      </c>
      <c r="G244" s="24">
        <f>Source!AB69</f>
        <v>99.4</v>
      </c>
      <c r="H244" s="25">
        <f>Source!O69</f>
        <v>83.84</v>
      </c>
      <c r="T244">
        <f>Source!O69+Source!X69+Source!Y69</f>
        <v>83.84</v>
      </c>
      <c r="U244">
        <f>Source!P69</f>
        <v>83.84</v>
      </c>
      <c r="V244">
        <f>Source!S69</f>
        <v>0</v>
      </c>
      <c r="W244">
        <f>Source!Q69</f>
        <v>0</v>
      </c>
      <c r="X244">
        <f>Source!R69</f>
        <v>0</v>
      </c>
      <c r="Y244">
        <f>Source!U69</f>
        <v>0</v>
      </c>
      <c r="Z244">
        <f>Source!V69</f>
        <v>0</v>
      </c>
      <c r="AA244">
        <f>Source!X69</f>
        <v>0</v>
      </c>
      <c r="AB244">
        <f>Source!Y69</f>
        <v>0</v>
      </c>
    </row>
    <row r="245" spans="1:28" ht="14.25" x14ac:dyDescent="0.2">
      <c r="C245" s="26" t="s">
        <v>198</v>
      </c>
      <c r="D245" s="26">
        <f>Source!BC69</f>
        <v>6.08</v>
      </c>
      <c r="F245" s="14"/>
      <c r="G245" s="14"/>
      <c r="H245" s="14"/>
    </row>
    <row r="246" spans="1:28" ht="42.75" x14ac:dyDescent="0.2">
      <c r="A246" s="50">
        <v>22</v>
      </c>
      <c r="B246" s="50" t="str">
        <f>Source!E71</f>
        <v>16</v>
      </c>
      <c r="C246" s="50" t="str">
        <f>Source!G71</f>
        <v>Устройство плинтусов поливинилхлоридных на винтах самонарезающих</v>
      </c>
      <c r="D246" s="50" t="str">
        <f>Source!F71</f>
        <v>11-01-040-03</v>
      </c>
      <c r="E246" s="33" t="str">
        <f>Source!H71</f>
        <v>100 м</v>
      </c>
      <c r="F246" s="14">
        <f>Source!I71</f>
        <v>0.2</v>
      </c>
      <c r="G246" s="24">
        <f>Source!AB71</f>
        <v>146.82050000000001</v>
      </c>
      <c r="H246" s="25">
        <f>Source!O71</f>
        <v>178.54</v>
      </c>
      <c r="T246">
        <f>Source!O71+Source!X71+Source!Y71</f>
        <v>329.72</v>
      </c>
      <c r="U246">
        <f>Source!P71</f>
        <v>89.55</v>
      </c>
      <c r="V246">
        <f>Source!S71</f>
        <v>85.75</v>
      </c>
      <c r="W246">
        <f>Source!Q71</f>
        <v>3.24</v>
      </c>
      <c r="X246">
        <f>Source!R71</f>
        <v>0.64</v>
      </c>
      <c r="Y246">
        <f>Source!U71</f>
        <v>1.5364</v>
      </c>
      <c r="Z246">
        <f>Source!V71</f>
        <v>1.0000000000000002E-2</v>
      </c>
      <c r="AA246">
        <f>Source!X71</f>
        <v>95.89</v>
      </c>
      <c r="AB246">
        <f>Source!Y71</f>
        <v>55.29</v>
      </c>
    </row>
    <row r="247" spans="1:28" ht="14.25" x14ac:dyDescent="0.2">
      <c r="C247" s="26" t="str">
        <f>"Объем: "&amp;Source!I71&amp;"=20/"&amp;"100"</f>
        <v>Объем: 0,2=20/100</v>
      </c>
      <c r="F247" s="14"/>
      <c r="G247" s="14"/>
      <c r="H247" s="14"/>
    </row>
    <row r="248" spans="1:28" x14ac:dyDescent="0.2">
      <c r="C248" s="26" t="s">
        <v>196</v>
      </c>
      <c r="D248" s="26">
        <f>Source!BA71</f>
        <v>6.08</v>
      </c>
    </row>
    <row r="249" spans="1:28" x14ac:dyDescent="0.2">
      <c r="C249" s="26" t="s">
        <v>197</v>
      </c>
      <c r="D249" s="26">
        <f>Source!BB71</f>
        <v>6.08</v>
      </c>
    </row>
    <row r="250" spans="1:28" x14ac:dyDescent="0.2">
      <c r="C250" s="26" t="s">
        <v>198</v>
      </c>
      <c r="D250" s="26">
        <f>Source!BC71</f>
        <v>6.08</v>
      </c>
    </row>
    <row r="251" spans="1:28" x14ac:dyDescent="0.2">
      <c r="C251" s="26" t="s">
        <v>199</v>
      </c>
      <c r="D251" s="26">
        <f>Source!BS71</f>
        <v>6.08</v>
      </c>
    </row>
    <row r="252" spans="1:28" x14ac:dyDescent="0.2">
      <c r="C252" s="26" t="s">
        <v>200</v>
      </c>
      <c r="D252" s="88" t="s">
        <v>239</v>
      </c>
      <c r="E252" s="88"/>
      <c r="F252" s="88"/>
      <c r="G252" s="88"/>
      <c r="H252" s="88"/>
    </row>
    <row r="253" spans="1:28" x14ac:dyDescent="0.2">
      <c r="C253" s="26" t="s">
        <v>201</v>
      </c>
      <c r="D253" s="88" t="s">
        <v>239</v>
      </c>
      <c r="E253" s="88"/>
      <c r="F253" s="88"/>
      <c r="G253" s="88"/>
      <c r="H253" s="88"/>
    </row>
    <row r="254" spans="1:28" x14ac:dyDescent="0.2">
      <c r="C254" s="26" t="s">
        <v>202</v>
      </c>
      <c r="D254" s="88" t="s">
        <v>240</v>
      </c>
      <c r="E254" s="88"/>
      <c r="F254" s="88"/>
      <c r="G254" s="88"/>
      <c r="H254" s="88"/>
    </row>
    <row r="255" spans="1:28" x14ac:dyDescent="0.2">
      <c r="C255" s="26" t="s">
        <v>203</v>
      </c>
      <c r="D255" s="88" t="s">
        <v>240</v>
      </c>
      <c r="E255" s="88"/>
      <c r="F255" s="88"/>
      <c r="G255" s="88"/>
      <c r="H255" s="88"/>
    </row>
    <row r="256" spans="1:28" x14ac:dyDescent="0.2">
      <c r="C256" s="26" t="s">
        <v>204</v>
      </c>
      <c r="D256" s="88" t="s">
        <v>239</v>
      </c>
      <c r="E256" s="88"/>
      <c r="F256" s="88"/>
      <c r="G256" s="88"/>
      <c r="H256" s="88"/>
    </row>
    <row r="257" spans="1:28" x14ac:dyDescent="0.2">
      <c r="C257" s="11" t="s">
        <v>205</v>
      </c>
      <c r="D257" s="37"/>
      <c r="E257" s="37"/>
      <c r="F257" s="37">
        <f>Source!BZ71</f>
        <v>123</v>
      </c>
      <c r="G257" s="61">
        <f>(Source!AF71+Source!AE71)*Source!FX71/100</f>
        <v>78.644601000000009</v>
      </c>
      <c r="H257" s="62">
        <f>Source!X71</f>
        <v>95.89</v>
      </c>
    </row>
    <row r="258" spans="1:28" x14ac:dyDescent="0.2">
      <c r="C258" s="11" t="s">
        <v>206</v>
      </c>
      <c r="D258" s="37"/>
      <c r="E258" s="37"/>
      <c r="F258" s="37"/>
      <c r="G258" s="37" t="str">
        <f>CONCATENATE(Source!DL71,Source!FT71, "=", Source!FX71, "%")</f>
        <v>*0,9=110,7%</v>
      </c>
      <c r="H258" s="37" t="str">
        <f>CONCATENATE(Source!AT71)</f>
        <v>111</v>
      </c>
    </row>
    <row r="259" spans="1:28" x14ac:dyDescent="0.2">
      <c r="C259" s="11" t="s">
        <v>207</v>
      </c>
      <c r="D259" s="37"/>
      <c r="E259" s="37"/>
      <c r="F259" s="37">
        <f>Source!CA71</f>
        <v>75</v>
      </c>
      <c r="G259" s="61">
        <f>(Source!AF71+Source!AE71)*Source!FY71/100</f>
        <v>45.2899125</v>
      </c>
      <c r="H259" s="62">
        <f>Source!Y71</f>
        <v>55.29</v>
      </c>
    </row>
    <row r="260" spans="1:28" x14ac:dyDescent="0.2">
      <c r="C260" s="11" t="s">
        <v>208</v>
      </c>
      <c r="D260" s="37"/>
      <c r="E260" s="37"/>
      <c r="F260" s="37"/>
      <c r="G260" s="37" t="str">
        <f>CONCATENATE(Source!DM71,Source!FU71, "=", Source!FY71, "%")</f>
        <v>*0,85=63,75%</v>
      </c>
      <c r="H260" s="37" t="str">
        <f>CONCATENATE(Source!AU71)</f>
        <v>64</v>
      </c>
    </row>
    <row r="261" spans="1:28" x14ac:dyDescent="0.2">
      <c r="C261" s="11" t="s">
        <v>209</v>
      </c>
      <c r="D261" s="37"/>
      <c r="E261" s="37"/>
      <c r="F261" s="37"/>
      <c r="G261" s="61">
        <f>((Source!AF71+Source!AE71)*Source!FX71/100)+((Source!AF71+Source!AE71)*Source!FY71/100)+Source!AB71</f>
        <v>270.75501350000002</v>
      </c>
      <c r="H261" s="62">
        <f>Source!O71+Source!X71+Source!Y71</f>
        <v>329.72</v>
      </c>
    </row>
    <row r="262" spans="1:28" ht="28.5" x14ac:dyDescent="0.2">
      <c r="A262" s="50">
        <v>23</v>
      </c>
      <c r="B262" s="50" t="str">
        <f>Source!E73</f>
        <v>16,1</v>
      </c>
      <c r="C262" s="50" t="str">
        <f>Source!G73</f>
        <v>Плинтуса для полов с кабель-каналом пластиковые, 22х49 мм</v>
      </c>
      <c r="D262" s="50" t="str">
        <f>Source!F73</f>
        <v>11.3.03.06-0002</v>
      </c>
      <c r="E262" s="33" t="str">
        <f>Source!H73</f>
        <v>м</v>
      </c>
      <c r="F262" s="14">
        <f>Source!I73</f>
        <v>20.2</v>
      </c>
      <c r="G262" s="24">
        <f>Source!AB73</f>
        <v>20.5</v>
      </c>
      <c r="H262" s="25">
        <f>Source!O73</f>
        <v>2517.73</v>
      </c>
      <c r="T262">
        <f>Source!O73+Source!X73+Source!Y73</f>
        <v>2517.73</v>
      </c>
      <c r="U262">
        <f>Source!P73</f>
        <v>2517.73</v>
      </c>
      <c r="V262">
        <f>Source!S73</f>
        <v>0</v>
      </c>
      <c r="W262">
        <f>Source!Q73</f>
        <v>0</v>
      </c>
      <c r="X262">
        <f>Source!R73</f>
        <v>0</v>
      </c>
      <c r="Y262">
        <f>Source!U73</f>
        <v>0</v>
      </c>
      <c r="Z262">
        <f>Source!V73</f>
        <v>0</v>
      </c>
      <c r="AA262">
        <f>Source!X73</f>
        <v>0</v>
      </c>
      <c r="AB262">
        <f>Source!Y73</f>
        <v>0</v>
      </c>
    </row>
    <row r="263" spans="1:28" ht="14.25" x14ac:dyDescent="0.2">
      <c r="C263" s="26" t="s">
        <v>198</v>
      </c>
      <c r="D263" s="26">
        <f>Source!BC73</f>
        <v>6.08</v>
      </c>
      <c r="F263" s="14"/>
      <c r="G263" s="14"/>
      <c r="H263" s="14"/>
    </row>
    <row r="264" spans="1:28" ht="28.5" x14ac:dyDescent="0.2">
      <c r="A264" s="50">
        <v>24</v>
      </c>
      <c r="B264" s="50" t="str">
        <f>Source!E75</f>
        <v>16,2</v>
      </c>
      <c r="C264" s="50" t="str">
        <f>Source!G75</f>
        <v>Заглушка торцевая для пластикового плинтуса левая, высота 49 мм</v>
      </c>
      <c r="D264" s="50" t="str">
        <f>Source!F75</f>
        <v>11.3.03.14-0002</v>
      </c>
      <c r="E264" s="33" t="str">
        <f>Source!H75</f>
        <v>100 шт.</v>
      </c>
      <c r="F264" s="14">
        <f>Source!I75</f>
        <v>0.02</v>
      </c>
      <c r="G264" s="24">
        <f>Source!AB75</f>
        <v>101</v>
      </c>
      <c r="H264" s="25">
        <f>Source!O75</f>
        <v>12.28</v>
      </c>
      <c r="T264">
        <f>Source!O75+Source!X75+Source!Y75</f>
        <v>12.28</v>
      </c>
      <c r="U264">
        <f>Source!P75</f>
        <v>12.28</v>
      </c>
      <c r="V264">
        <f>Source!S75</f>
        <v>0</v>
      </c>
      <c r="W264">
        <f>Source!Q75</f>
        <v>0</v>
      </c>
      <c r="X264">
        <f>Source!R75</f>
        <v>0</v>
      </c>
      <c r="Y264">
        <f>Source!U75</f>
        <v>0</v>
      </c>
      <c r="Z264">
        <f>Source!V75</f>
        <v>0</v>
      </c>
      <c r="AA264">
        <f>Source!X75</f>
        <v>0</v>
      </c>
      <c r="AB264">
        <f>Source!Y75</f>
        <v>0</v>
      </c>
    </row>
    <row r="265" spans="1:28" ht="14.25" x14ac:dyDescent="0.2">
      <c r="C265" s="26" t="s">
        <v>198</v>
      </c>
      <c r="D265" s="26">
        <f>Source!BC75</f>
        <v>6.08</v>
      </c>
      <c r="F265" s="14"/>
      <c r="G265" s="14"/>
      <c r="H265" s="14"/>
    </row>
    <row r="266" spans="1:28" ht="28.5" x14ac:dyDescent="0.2">
      <c r="A266" s="50">
        <v>25</v>
      </c>
      <c r="B266" s="50" t="str">
        <f>Source!E77</f>
        <v>16,3</v>
      </c>
      <c r="C266" s="50" t="str">
        <f>Source!G77</f>
        <v>Заглушки торцевая для пластикового плинтуса правая, высота 49 мм</v>
      </c>
      <c r="D266" s="50" t="str">
        <f>Source!F77</f>
        <v>11.3.03.14-0012</v>
      </c>
      <c r="E266" s="33" t="str">
        <f>Source!H77</f>
        <v>100 шт.</v>
      </c>
      <c r="F266" s="14">
        <f>Source!I77</f>
        <v>0.02</v>
      </c>
      <c r="G266" s="24">
        <f>Source!AB77</f>
        <v>101</v>
      </c>
      <c r="H266" s="25">
        <f>Source!O77</f>
        <v>12.28</v>
      </c>
      <c r="T266">
        <f>Source!O77+Source!X77+Source!Y77</f>
        <v>12.28</v>
      </c>
      <c r="U266">
        <f>Source!P77</f>
        <v>12.28</v>
      </c>
      <c r="V266">
        <f>Source!S77</f>
        <v>0</v>
      </c>
      <c r="W266">
        <f>Source!Q77</f>
        <v>0</v>
      </c>
      <c r="X266">
        <f>Source!R77</f>
        <v>0</v>
      </c>
      <c r="Y266">
        <f>Source!U77</f>
        <v>0</v>
      </c>
      <c r="Z266">
        <f>Source!V77</f>
        <v>0</v>
      </c>
      <c r="AA266">
        <f>Source!X77</f>
        <v>0</v>
      </c>
      <c r="AB266">
        <f>Source!Y77</f>
        <v>0</v>
      </c>
    </row>
    <row r="267" spans="1:28" ht="14.25" x14ac:dyDescent="0.2">
      <c r="C267" s="26" t="s">
        <v>198</v>
      </c>
      <c r="D267" s="26">
        <f>Source!BC77</f>
        <v>6.08</v>
      </c>
      <c r="F267" s="14"/>
      <c r="G267" s="14"/>
      <c r="H267" s="14"/>
    </row>
    <row r="268" spans="1:28" ht="28.5" x14ac:dyDescent="0.2">
      <c r="A268" s="50">
        <v>26</v>
      </c>
      <c r="B268" s="50" t="str">
        <f>Source!E79</f>
        <v>16,4</v>
      </c>
      <c r="C268" s="50" t="str">
        <f>Source!G79</f>
        <v>Соединитель для пластикового плинтуса, высота 49 мм</v>
      </c>
      <c r="D268" s="50" t="str">
        <f>Source!F79</f>
        <v>11.3.03.14-0022</v>
      </c>
      <c r="E268" s="33" t="str">
        <f>Source!H79</f>
        <v>100 шт.</v>
      </c>
      <c r="F268" s="14">
        <f>Source!I79</f>
        <v>0.08</v>
      </c>
      <c r="G268" s="24">
        <f>Source!AB79</f>
        <v>128</v>
      </c>
      <c r="H268" s="25">
        <f>Source!O79</f>
        <v>62.26</v>
      </c>
      <c r="T268">
        <f>Source!O79+Source!X79+Source!Y79</f>
        <v>62.26</v>
      </c>
      <c r="U268">
        <f>Source!P79</f>
        <v>62.26</v>
      </c>
      <c r="V268">
        <f>Source!S79</f>
        <v>0</v>
      </c>
      <c r="W268">
        <f>Source!Q79</f>
        <v>0</v>
      </c>
      <c r="X268">
        <f>Source!R79</f>
        <v>0</v>
      </c>
      <c r="Y268">
        <f>Source!U79</f>
        <v>0</v>
      </c>
      <c r="Z268">
        <f>Source!V79</f>
        <v>0</v>
      </c>
      <c r="AA268">
        <f>Source!X79</f>
        <v>0</v>
      </c>
      <c r="AB268">
        <f>Source!Y79</f>
        <v>0</v>
      </c>
    </row>
    <row r="269" spans="1:28" ht="14.25" x14ac:dyDescent="0.2">
      <c r="C269" s="26" t="s">
        <v>198</v>
      </c>
      <c r="D269" s="26">
        <f>Source!BC79</f>
        <v>6.08</v>
      </c>
      <c r="F269" s="14"/>
      <c r="G269" s="14"/>
      <c r="H269" s="14"/>
    </row>
    <row r="270" spans="1:28" ht="28.5" x14ac:dyDescent="0.2">
      <c r="A270" s="50">
        <v>27</v>
      </c>
      <c r="B270" s="50" t="str">
        <f>Source!E81</f>
        <v>16,5</v>
      </c>
      <c r="C270" s="50" t="str">
        <f>Source!G81</f>
        <v>Уголок внутренний для пластикового плинтуса, высота 49 мм</v>
      </c>
      <c r="D270" s="50" t="str">
        <f>Source!F81</f>
        <v>11.3.03.14-0032</v>
      </c>
      <c r="E270" s="33" t="str">
        <f>Source!H81</f>
        <v>100 шт.</v>
      </c>
      <c r="F270" s="14">
        <f>Source!I81</f>
        <v>0.01</v>
      </c>
      <c r="G270" s="24">
        <f>Source!AB81</f>
        <v>128</v>
      </c>
      <c r="H270" s="25">
        <f>Source!O81</f>
        <v>7.78</v>
      </c>
      <c r="T270">
        <f>Source!O81+Source!X81+Source!Y81</f>
        <v>7.78</v>
      </c>
      <c r="U270">
        <f>Source!P81</f>
        <v>7.78</v>
      </c>
      <c r="V270">
        <f>Source!S81</f>
        <v>0</v>
      </c>
      <c r="W270">
        <f>Source!Q81</f>
        <v>0</v>
      </c>
      <c r="X270">
        <f>Source!R81</f>
        <v>0</v>
      </c>
      <c r="Y270">
        <f>Source!U81</f>
        <v>0</v>
      </c>
      <c r="Z270">
        <f>Source!V81</f>
        <v>0</v>
      </c>
      <c r="AA270">
        <f>Source!X81</f>
        <v>0</v>
      </c>
      <c r="AB270">
        <f>Source!Y81</f>
        <v>0</v>
      </c>
    </row>
    <row r="271" spans="1:28" ht="14.25" x14ac:dyDescent="0.2">
      <c r="C271" s="26" t="s">
        <v>198</v>
      </c>
      <c r="D271" s="26">
        <f>Source!BC81</f>
        <v>6.08</v>
      </c>
      <c r="F271" s="14"/>
      <c r="G271" s="14"/>
      <c r="H271" s="14"/>
    </row>
    <row r="272" spans="1:28" ht="28.5" x14ac:dyDescent="0.2">
      <c r="A272" s="50">
        <v>28</v>
      </c>
      <c r="B272" s="50" t="str">
        <f>Source!E83</f>
        <v>16,6</v>
      </c>
      <c r="C272" s="50" t="str">
        <f>Source!G83</f>
        <v>Уголок наружный для пластикового плинтуса, высота 49 мм</v>
      </c>
      <c r="D272" s="50" t="str">
        <f>Source!F83</f>
        <v>11.3.03.14-0034</v>
      </c>
      <c r="E272" s="33" t="str">
        <f>Source!H83</f>
        <v>100 шт.</v>
      </c>
      <c r="F272" s="14">
        <f>Source!I83</f>
        <v>0.01</v>
      </c>
      <c r="G272" s="24">
        <f>Source!AB83</f>
        <v>128</v>
      </c>
      <c r="H272" s="25">
        <f>Source!O83</f>
        <v>7.78</v>
      </c>
      <c r="T272">
        <f>Source!O83+Source!X83+Source!Y83</f>
        <v>7.78</v>
      </c>
      <c r="U272">
        <f>Source!P83</f>
        <v>7.78</v>
      </c>
      <c r="V272">
        <f>Source!S83</f>
        <v>0</v>
      </c>
      <c r="W272">
        <f>Source!Q83</f>
        <v>0</v>
      </c>
      <c r="X272">
        <f>Source!R83</f>
        <v>0</v>
      </c>
      <c r="Y272">
        <f>Source!U83</f>
        <v>0</v>
      </c>
      <c r="Z272">
        <f>Source!V83</f>
        <v>0</v>
      </c>
      <c r="AA272">
        <f>Source!X83</f>
        <v>0</v>
      </c>
      <c r="AB272">
        <f>Source!Y83</f>
        <v>0</v>
      </c>
    </row>
    <row r="273" spans="1:28" ht="14.25" x14ac:dyDescent="0.2">
      <c r="C273" s="26" t="s">
        <v>198</v>
      </c>
      <c r="D273" s="26">
        <f>Source!BC83</f>
        <v>6.08</v>
      </c>
      <c r="F273" s="14"/>
      <c r="G273" s="14"/>
      <c r="H273" s="14"/>
    </row>
    <row r="274" spans="1:28" ht="28.5" x14ac:dyDescent="0.2">
      <c r="A274" s="50">
        <v>29</v>
      </c>
      <c r="B274" s="50" t="str">
        <f>Source!E85</f>
        <v>17</v>
      </c>
      <c r="C274" s="50" t="str">
        <f>Source!G85</f>
        <v>Укладка металлического накладного профиля (порога)</v>
      </c>
      <c r="D274" s="50" t="str">
        <f>Source!F85</f>
        <v>11-01-049-01</v>
      </c>
      <c r="E274" s="33" t="str">
        <f>Source!H85</f>
        <v>100 м</v>
      </c>
      <c r="F274" s="14">
        <f>Source!I85</f>
        <v>8.9999999999999993E-3</v>
      </c>
      <c r="G274" s="24">
        <f>Source!AB85</f>
        <v>247.64449999999999</v>
      </c>
      <c r="H274" s="25">
        <f>Source!O85</f>
        <v>13.55</v>
      </c>
      <c r="T274">
        <f>Source!O85+Source!X85+Source!Y85</f>
        <v>29.57</v>
      </c>
      <c r="U274">
        <f>Source!P85</f>
        <v>4.4000000000000004</v>
      </c>
      <c r="V274">
        <f>Source!S85</f>
        <v>9.15</v>
      </c>
      <c r="W274">
        <f>Source!Q85</f>
        <v>0</v>
      </c>
      <c r="X274">
        <f>Source!R85</f>
        <v>0</v>
      </c>
      <c r="Y274">
        <f>Source!U85</f>
        <v>0.17222399999999999</v>
      </c>
      <c r="Z274">
        <f>Source!V85</f>
        <v>0</v>
      </c>
      <c r="AA274">
        <f>Source!X85</f>
        <v>10.16</v>
      </c>
      <c r="AB274">
        <f>Source!Y85</f>
        <v>5.86</v>
      </c>
    </row>
    <row r="275" spans="1:28" ht="14.25" x14ac:dyDescent="0.2">
      <c r="C275" s="26" t="str">
        <f>"Объем: "&amp;Source!I85&amp;"=90/"&amp;"100"</f>
        <v>Объем: 0,009=90/100</v>
      </c>
      <c r="F275" s="14"/>
      <c r="G275" s="14"/>
      <c r="H275" s="14"/>
    </row>
    <row r="276" spans="1:28" x14ac:dyDescent="0.2">
      <c r="C276" s="26" t="s">
        <v>196</v>
      </c>
      <c r="D276" s="26">
        <f>Source!BA85</f>
        <v>6.08</v>
      </c>
    </row>
    <row r="277" spans="1:28" x14ac:dyDescent="0.2">
      <c r="C277" s="26" t="s">
        <v>197</v>
      </c>
      <c r="D277" s="26">
        <f>Source!BB85</f>
        <v>6.08</v>
      </c>
    </row>
    <row r="278" spans="1:28" x14ac:dyDescent="0.2">
      <c r="C278" s="26" t="s">
        <v>198</v>
      </c>
      <c r="D278" s="26">
        <f>Source!BC85</f>
        <v>6.08</v>
      </c>
    </row>
    <row r="279" spans="1:28" x14ac:dyDescent="0.2">
      <c r="C279" s="26" t="s">
        <v>199</v>
      </c>
      <c r="D279" s="26">
        <f>Source!BS85</f>
        <v>6.08</v>
      </c>
    </row>
    <row r="280" spans="1:28" x14ac:dyDescent="0.2">
      <c r="C280" s="26" t="s">
        <v>200</v>
      </c>
      <c r="D280" s="88" t="s">
        <v>239</v>
      </c>
      <c r="E280" s="88"/>
      <c r="F280" s="88"/>
      <c r="G280" s="88"/>
      <c r="H280" s="88"/>
    </row>
    <row r="281" spans="1:28" x14ac:dyDescent="0.2">
      <c r="C281" s="26" t="s">
        <v>201</v>
      </c>
      <c r="D281" s="88" t="s">
        <v>239</v>
      </c>
      <c r="E281" s="88"/>
      <c r="F281" s="88"/>
      <c r="G281" s="88"/>
      <c r="H281" s="88"/>
    </row>
    <row r="282" spans="1:28" x14ac:dyDescent="0.2">
      <c r="C282" s="26" t="s">
        <v>202</v>
      </c>
      <c r="D282" s="88" t="s">
        <v>240</v>
      </c>
      <c r="E282" s="88"/>
      <c r="F282" s="88"/>
      <c r="G282" s="88"/>
      <c r="H282" s="88"/>
    </row>
    <row r="283" spans="1:28" x14ac:dyDescent="0.2">
      <c r="C283" s="26" t="s">
        <v>203</v>
      </c>
      <c r="D283" s="88" t="s">
        <v>240</v>
      </c>
      <c r="E283" s="88"/>
      <c r="F283" s="88"/>
      <c r="G283" s="88"/>
      <c r="H283" s="88"/>
    </row>
    <row r="284" spans="1:28" x14ac:dyDescent="0.2">
      <c r="C284" s="26" t="s">
        <v>204</v>
      </c>
      <c r="D284" s="88" t="s">
        <v>239</v>
      </c>
      <c r="E284" s="88"/>
      <c r="F284" s="88"/>
      <c r="G284" s="88"/>
      <c r="H284" s="88"/>
    </row>
    <row r="285" spans="1:28" x14ac:dyDescent="0.2">
      <c r="C285" s="11" t="s">
        <v>205</v>
      </c>
      <c r="D285" s="37"/>
      <c r="E285" s="37"/>
      <c r="F285" s="37">
        <f>Source!BZ85</f>
        <v>123</v>
      </c>
      <c r="G285" s="61">
        <f>(Source!AF85+Source!AE85)*Source!FX85/100</f>
        <v>185.13966149999999</v>
      </c>
      <c r="H285" s="62">
        <f>Source!X85</f>
        <v>10.16</v>
      </c>
    </row>
    <row r="286" spans="1:28" x14ac:dyDescent="0.2">
      <c r="C286" s="11" t="s">
        <v>206</v>
      </c>
      <c r="D286" s="37"/>
      <c r="E286" s="37"/>
      <c r="F286" s="37"/>
      <c r="G286" s="37" t="str">
        <f>CONCATENATE(Source!DL85,Source!FT85, "=", Source!FX85, "%")</f>
        <v>*0,9=110,7%</v>
      </c>
      <c r="H286" s="37" t="str">
        <f>CONCATENATE(Source!AT85)</f>
        <v>111</v>
      </c>
    </row>
    <row r="287" spans="1:28" x14ac:dyDescent="0.2">
      <c r="C287" s="11" t="s">
        <v>207</v>
      </c>
      <c r="D287" s="37"/>
      <c r="E287" s="37"/>
      <c r="F287" s="37">
        <f>Source!CA85</f>
        <v>75</v>
      </c>
      <c r="G287" s="61">
        <f>(Source!AF85+Source!AE85)*Source!FY85/100</f>
        <v>106.61836874999999</v>
      </c>
      <c r="H287" s="62">
        <f>Source!Y85</f>
        <v>5.86</v>
      </c>
    </row>
    <row r="288" spans="1:28" x14ac:dyDescent="0.2">
      <c r="C288" s="11" t="s">
        <v>208</v>
      </c>
      <c r="D288" s="37"/>
      <c r="E288" s="37"/>
      <c r="F288" s="37"/>
      <c r="G288" s="37" t="str">
        <f>CONCATENATE(Source!DM85,Source!FU85, "=", Source!FY85, "%")</f>
        <v>*0,85=63,75%</v>
      </c>
      <c r="H288" s="37" t="str">
        <f>CONCATENATE(Source!AU85)</f>
        <v>64</v>
      </c>
    </row>
    <row r="289" spans="1:28" x14ac:dyDescent="0.2">
      <c r="C289" s="11" t="s">
        <v>209</v>
      </c>
      <c r="D289" s="37"/>
      <c r="E289" s="37"/>
      <c r="F289" s="37"/>
      <c r="G289" s="61">
        <f>((Source!AF85+Source!AE85)*Source!FX85/100)+((Source!AF85+Source!AE85)*Source!FY85/100)+Source!AB85</f>
        <v>539.40253024999993</v>
      </c>
      <c r="H289" s="62">
        <f>Source!O85+Source!X85+Source!Y85</f>
        <v>29.57</v>
      </c>
    </row>
    <row r="290" spans="1:28" ht="42.75" x14ac:dyDescent="0.2">
      <c r="A290" s="50">
        <v>30</v>
      </c>
      <c r="B290" s="50" t="str">
        <f>Source!E87</f>
        <v>17,1</v>
      </c>
      <c r="C290" s="50" t="str">
        <f>Source!G87</f>
        <v>Профили стыкоперекрывающие из алюминиевых сплавов (порожки) с покрытием, шириной 90 мм</v>
      </c>
      <c r="D290" s="50" t="str">
        <f>Source!F87</f>
        <v>09.2.03.02-0027</v>
      </c>
      <c r="E290" s="33" t="str">
        <f>Source!H87</f>
        <v>м</v>
      </c>
      <c r="F290" s="14">
        <f>Source!I87</f>
        <v>0.94499999999999995</v>
      </c>
      <c r="G290" s="24">
        <f>Source!AB87</f>
        <v>23.19</v>
      </c>
      <c r="H290" s="25">
        <f>Source!O87</f>
        <v>133.24</v>
      </c>
      <c r="T290">
        <f>Source!O87+Source!X87+Source!Y87</f>
        <v>133.24</v>
      </c>
      <c r="U290">
        <f>Source!P87</f>
        <v>133.24</v>
      </c>
      <c r="V290">
        <f>Source!S87</f>
        <v>0</v>
      </c>
      <c r="W290">
        <f>Source!Q87</f>
        <v>0</v>
      </c>
      <c r="X290">
        <f>Source!R87</f>
        <v>0</v>
      </c>
      <c r="Y290">
        <f>Source!U87</f>
        <v>0</v>
      </c>
      <c r="Z290">
        <f>Source!V87</f>
        <v>0</v>
      </c>
      <c r="AA290">
        <f>Source!X87</f>
        <v>0</v>
      </c>
      <c r="AB290">
        <f>Source!Y87</f>
        <v>0</v>
      </c>
    </row>
    <row r="291" spans="1:28" ht="14.25" x14ac:dyDescent="0.2">
      <c r="C291" s="26" t="s">
        <v>198</v>
      </c>
      <c r="D291" s="26">
        <f>Source!BC87</f>
        <v>6.08</v>
      </c>
      <c r="F291" s="14"/>
      <c r="G291" s="14"/>
      <c r="H291" s="14"/>
    </row>
    <row r="292" spans="1:28" ht="28.5" x14ac:dyDescent="0.2">
      <c r="A292" s="50">
        <v>31</v>
      </c>
      <c r="B292" s="50" t="str">
        <f>Source!E89</f>
        <v>18</v>
      </c>
      <c r="C292" s="50" t="str">
        <f>Source!G89</f>
        <v>Устройство кровель различных типов из металлочерепицы</v>
      </c>
      <c r="D292" s="50" t="str">
        <f>Source!F89</f>
        <v>12-01-020-01</v>
      </c>
      <c r="E292" s="33" t="str">
        <f>Source!H89</f>
        <v>100 м2</v>
      </c>
      <c r="F292" s="14">
        <f>Source!I89</f>
        <v>3.55</v>
      </c>
      <c r="G292" s="24">
        <f>Source!AB89</f>
        <v>13524.267</v>
      </c>
      <c r="H292" s="25">
        <f>Source!O89</f>
        <v>291907.78999999998</v>
      </c>
      <c r="T292">
        <f>Source!O89+Source!X89+Source!Y89</f>
        <v>359811.51999999996</v>
      </c>
      <c r="U292">
        <f>Source!P89</f>
        <v>235159.41</v>
      </c>
      <c r="V292">
        <f>Source!S89</f>
        <v>40567.93</v>
      </c>
      <c r="W292">
        <f>Source!Q89</f>
        <v>16180.45</v>
      </c>
      <c r="X292">
        <f>Source!R89</f>
        <v>1090.8</v>
      </c>
      <c r="Y292">
        <f>Source!U89</f>
        <v>709.82427499999983</v>
      </c>
      <c r="Z292">
        <f>Source!V89</f>
        <v>14.244375</v>
      </c>
      <c r="AA292">
        <f>Source!X89</f>
        <v>44991.43</v>
      </c>
      <c r="AB292">
        <f>Source!Y89</f>
        <v>22912.3</v>
      </c>
    </row>
    <row r="293" spans="1:28" ht="14.25" x14ac:dyDescent="0.2">
      <c r="C293" s="26" t="str">
        <f>"Объем: "&amp;Source!I89&amp;"=355/"&amp;"100"</f>
        <v>Объем: 3,55=355/100</v>
      </c>
      <c r="F293" s="14"/>
      <c r="G293" s="14"/>
      <c r="H293" s="14"/>
    </row>
    <row r="294" spans="1:28" x14ac:dyDescent="0.2">
      <c r="C294" s="26" t="s">
        <v>196</v>
      </c>
      <c r="D294" s="26">
        <f>Source!BA89</f>
        <v>6.08</v>
      </c>
    </row>
    <row r="295" spans="1:28" x14ac:dyDescent="0.2">
      <c r="C295" s="26" t="s">
        <v>197</v>
      </c>
      <c r="D295" s="26">
        <f>Source!BB89</f>
        <v>6.08</v>
      </c>
    </row>
    <row r="296" spans="1:28" x14ac:dyDescent="0.2">
      <c r="C296" s="26" t="s">
        <v>198</v>
      </c>
      <c r="D296" s="26">
        <f>Source!BC89</f>
        <v>6.08</v>
      </c>
    </row>
    <row r="297" spans="1:28" x14ac:dyDescent="0.2">
      <c r="C297" s="26" t="s">
        <v>199</v>
      </c>
      <c r="D297" s="26">
        <f>Source!BS89</f>
        <v>6.08</v>
      </c>
    </row>
    <row r="298" spans="1:28" x14ac:dyDescent="0.2">
      <c r="C298" s="26" t="s">
        <v>200</v>
      </c>
      <c r="D298" s="88" t="s">
        <v>239</v>
      </c>
      <c r="E298" s="88"/>
      <c r="F298" s="88"/>
      <c r="G298" s="88"/>
      <c r="H298" s="88"/>
    </row>
    <row r="299" spans="1:28" x14ac:dyDescent="0.2">
      <c r="C299" s="26" t="s">
        <v>201</v>
      </c>
      <c r="D299" s="88" t="s">
        <v>239</v>
      </c>
      <c r="E299" s="88"/>
      <c r="F299" s="88"/>
      <c r="G299" s="88"/>
      <c r="H299" s="88"/>
    </row>
    <row r="300" spans="1:28" x14ac:dyDescent="0.2">
      <c r="C300" s="26" t="s">
        <v>202</v>
      </c>
      <c r="D300" s="88" t="s">
        <v>240</v>
      </c>
      <c r="E300" s="88"/>
      <c r="F300" s="88"/>
      <c r="G300" s="88"/>
      <c r="H300" s="88"/>
    </row>
    <row r="301" spans="1:28" x14ac:dyDescent="0.2">
      <c r="C301" s="26" t="s">
        <v>203</v>
      </c>
      <c r="D301" s="88" t="s">
        <v>240</v>
      </c>
      <c r="E301" s="88"/>
      <c r="F301" s="88"/>
      <c r="G301" s="88"/>
      <c r="H301" s="88"/>
    </row>
    <row r="302" spans="1:28" x14ac:dyDescent="0.2">
      <c r="C302" s="26" t="s">
        <v>204</v>
      </c>
      <c r="D302" s="88" t="s">
        <v>239</v>
      </c>
      <c r="E302" s="88"/>
      <c r="F302" s="88"/>
      <c r="G302" s="88"/>
      <c r="H302" s="88"/>
    </row>
    <row r="303" spans="1:28" x14ac:dyDescent="0.2">
      <c r="C303" s="11" t="s">
        <v>205</v>
      </c>
      <c r="D303" s="37"/>
      <c r="E303" s="37"/>
      <c r="F303" s="37">
        <f>Source!BZ89</f>
        <v>120</v>
      </c>
      <c r="G303" s="61">
        <f>(Source!AF89+Source!AE89)*Source!FX89/100</f>
        <v>2084.4804600000002</v>
      </c>
      <c r="H303" s="62">
        <f>Source!X89</f>
        <v>44991.43</v>
      </c>
    </row>
    <row r="304" spans="1:28" x14ac:dyDescent="0.2">
      <c r="C304" s="11" t="s">
        <v>206</v>
      </c>
      <c r="D304" s="37"/>
      <c r="E304" s="37"/>
      <c r="F304" s="37"/>
      <c r="G304" s="37" t="str">
        <f>CONCATENATE(Source!DL89,Source!FT89, "=", Source!FX89, "%")</f>
        <v>*0,9=108%</v>
      </c>
      <c r="H304" s="37" t="str">
        <f>CONCATENATE(Source!AT89)</f>
        <v>108</v>
      </c>
    </row>
    <row r="305" spans="1:28" x14ac:dyDescent="0.2">
      <c r="C305" s="11" t="s">
        <v>207</v>
      </c>
      <c r="D305" s="37"/>
      <c r="E305" s="37"/>
      <c r="F305" s="37">
        <f>Source!CA89</f>
        <v>65</v>
      </c>
      <c r="G305" s="61">
        <f>(Source!AF89+Source!AE89)*Source!FY89/100</f>
        <v>1066.36616125</v>
      </c>
      <c r="H305" s="62">
        <f>Source!Y89</f>
        <v>22912.3</v>
      </c>
    </row>
    <row r="306" spans="1:28" x14ac:dyDescent="0.2">
      <c r="C306" s="11" t="s">
        <v>208</v>
      </c>
      <c r="D306" s="37"/>
      <c r="E306" s="37"/>
      <c r="F306" s="37"/>
      <c r="G306" s="37" t="str">
        <f>CONCATENATE(Source!DM89,Source!FU89, "=", Source!FY89, "%")</f>
        <v>*0,85=55,25%</v>
      </c>
      <c r="H306" s="37" t="str">
        <f>CONCATENATE(Source!AU89)</f>
        <v>55</v>
      </c>
    </row>
    <row r="307" spans="1:28" x14ac:dyDescent="0.2">
      <c r="C307" s="11" t="s">
        <v>209</v>
      </c>
      <c r="D307" s="37"/>
      <c r="E307" s="37"/>
      <c r="F307" s="37"/>
      <c r="G307" s="61">
        <f>((Source!AF89+Source!AE89)*Source!FX89/100)+((Source!AF89+Source!AE89)*Source!FY89/100)+Source!AB89</f>
        <v>16675.113621249999</v>
      </c>
      <c r="H307" s="62">
        <f>Source!O89+Source!X89+Source!Y89</f>
        <v>359811.51999999996</v>
      </c>
    </row>
    <row r="308" spans="1:28" ht="28.5" x14ac:dyDescent="0.2">
      <c r="A308" s="50">
        <v>32</v>
      </c>
      <c r="B308" s="50" t="str">
        <f>Source!E91</f>
        <v>18,1</v>
      </c>
      <c r="C308" s="50" t="str">
        <f>Source!G91</f>
        <v>Металлочерепица «Элит» с покрытием полиэстер</v>
      </c>
      <c r="D308" s="50" t="str">
        <f>Source!F91</f>
        <v>12.1.03.02-0011</v>
      </c>
      <c r="E308" s="33" t="str">
        <f>Source!H91</f>
        <v>м2</v>
      </c>
      <c r="F308" s="14">
        <f>Source!I91</f>
        <v>447.3</v>
      </c>
      <c r="G308" s="24">
        <f>Source!AB91</f>
        <v>102.93</v>
      </c>
      <c r="H308" s="25">
        <f>Source!O91</f>
        <v>279926.78000000003</v>
      </c>
      <c r="T308">
        <f>Source!O91+Source!X91+Source!Y91</f>
        <v>279926.78000000003</v>
      </c>
      <c r="U308">
        <f>Source!P91</f>
        <v>279926.78000000003</v>
      </c>
      <c r="V308">
        <f>Source!S91</f>
        <v>0</v>
      </c>
      <c r="W308">
        <f>Source!Q91</f>
        <v>0</v>
      </c>
      <c r="X308">
        <f>Source!R91</f>
        <v>0</v>
      </c>
      <c r="Y308">
        <f>Source!U91</f>
        <v>0</v>
      </c>
      <c r="Z308">
        <f>Source!V91</f>
        <v>0</v>
      </c>
      <c r="AA308">
        <f>Source!X91</f>
        <v>0</v>
      </c>
      <c r="AB308">
        <f>Source!Y91</f>
        <v>0</v>
      </c>
    </row>
    <row r="309" spans="1:28" ht="14.25" x14ac:dyDescent="0.2">
      <c r="C309" s="26" t="s">
        <v>198</v>
      </c>
      <c r="D309" s="26">
        <f>Source!BC91</f>
        <v>6.08</v>
      </c>
      <c r="F309" s="14"/>
      <c r="G309" s="14"/>
      <c r="H309" s="14"/>
    </row>
    <row r="310" spans="1:28" ht="28.5" x14ac:dyDescent="0.2">
      <c r="A310" s="50">
        <v>33</v>
      </c>
      <c r="B310" s="50" t="str">
        <f>Source!E93</f>
        <v>19</v>
      </c>
      <c r="C310" s="50" t="str">
        <f>Source!G93</f>
        <v>Устройство желобов настенных</v>
      </c>
      <c r="D310" s="50" t="str">
        <f>Source!F93</f>
        <v>12-01-009-01</v>
      </c>
      <c r="E310" s="33" t="str">
        <f>Source!H93</f>
        <v>100 м</v>
      </c>
      <c r="F310" s="14">
        <f>Source!I93</f>
        <v>0.3</v>
      </c>
      <c r="G310" s="24">
        <f>Source!AB93</f>
        <v>18929.53</v>
      </c>
      <c r="H310" s="25">
        <f>Source!O93</f>
        <v>34527.47</v>
      </c>
      <c r="T310">
        <f>Source!O93+Source!X93+Source!Y93</f>
        <v>36798.76</v>
      </c>
      <c r="U310">
        <f>Source!P93</f>
        <v>32710.94</v>
      </c>
      <c r="V310">
        <f>Source!S93</f>
        <v>1318.61</v>
      </c>
      <c r="W310">
        <f>Source!Q93</f>
        <v>497.92</v>
      </c>
      <c r="X310">
        <f>Source!R93</f>
        <v>74.819999999999993</v>
      </c>
      <c r="Y310">
        <f>Source!U93</f>
        <v>25.425000000000001</v>
      </c>
      <c r="Z310">
        <f>Source!V93</f>
        <v>0.95699999999999996</v>
      </c>
      <c r="AA310">
        <f>Source!X93</f>
        <v>1504.9</v>
      </c>
      <c r="AB310">
        <f>Source!Y93</f>
        <v>766.39</v>
      </c>
    </row>
    <row r="311" spans="1:28" ht="14.25" x14ac:dyDescent="0.2">
      <c r="C311" s="26" t="str">
        <f>"Объем: "&amp;Source!I93&amp;"=30/"&amp;"100"</f>
        <v>Объем: 0,3=30/100</v>
      </c>
      <c r="F311" s="14"/>
      <c r="G311" s="14"/>
      <c r="H311" s="14"/>
    </row>
    <row r="312" spans="1:28" x14ac:dyDescent="0.2">
      <c r="C312" s="26" t="s">
        <v>196</v>
      </c>
      <c r="D312" s="26">
        <f>Source!BA93</f>
        <v>6.08</v>
      </c>
    </row>
    <row r="313" spans="1:28" x14ac:dyDescent="0.2">
      <c r="C313" s="26" t="s">
        <v>197</v>
      </c>
      <c r="D313" s="26">
        <f>Source!BB93</f>
        <v>6.08</v>
      </c>
    </row>
    <row r="314" spans="1:28" x14ac:dyDescent="0.2">
      <c r="C314" s="26" t="s">
        <v>198</v>
      </c>
      <c r="D314" s="26">
        <f>Source!BC93</f>
        <v>6.08</v>
      </c>
    </row>
    <row r="315" spans="1:28" x14ac:dyDescent="0.2">
      <c r="C315" s="26" t="s">
        <v>199</v>
      </c>
      <c r="D315" s="26">
        <f>Source!BS93</f>
        <v>6.08</v>
      </c>
    </row>
    <row r="316" spans="1:28" x14ac:dyDescent="0.2">
      <c r="C316" s="11" t="s">
        <v>205</v>
      </c>
      <c r="D316" s="37"/>
      <c r="E316" s="37"/>
      <c r="F316" s="37">
        <f>Source!BZ93</f>
        <v>120</v>
      </c>
      <c r="G316" s="61">
        <f>(Source!AF93+Source!AE93)*Source!FX93/100</f>
        <v>825.0551999999999</v>
      </c>
      <c r="H316" s="62">
        <f>Source!X93</f>
        <v>1504.9</v>
      </c>
    </row>
    <row r="317" spans="1:28" x14ac:dyDescent="0.2">
      <c r="C317" s="11" t="s">
        <v>206</v>
      </c>
      <c r="D317" s="37"/>
      <c r="E317" s="37"/>
      <c r="F317" s="37"/>
      <c r="G317" s="37" t="str">
        <f>CONCATENATE(Source!DL93,Source!FT93, "=", Source!FX93, "%")</f>
        <v>*0,9=108%</v>
      </c>
      <c r="H317" s="37" t="str">
        <f>CONCATENATE(Source!AT93)</f>
        <v>108</v>
      </c>
    </row>
    <row r="318" spans="1:28" x14ac:dyDescent="0.2">
      <c r="C318" s="11" t="s">
        <v>207</v>
      </c>
      <c r="D318" s="37"/>
      <c r="E318" s="37"/>
      <c r="F318" s="37">
        <f>Source!CA93</f>
        <v>65</v>
      </c>
      <c r="G318" s="61">
        <f>(Source!AF93+Source!AE93)*Source!FY93/100</f>
        <v>422.07684999999998</v>
      </c>
      <c r="H318" s="62">
        <f>Source!Y93</f>
        <v>766.39</v>
      </c>
    </row>
    <row r="319" spans="1:28" x14ac:dyDescent="0.2">
      <c r="C319" s="11" t="s">
        <v>208</v>
      </c>
      <c r="D319" s="37"/>
      <c r="E319" s="37"/>
      <c r="F319" s="37"/>
      <c r="G319" s="37" t="str">
        <f>CONCATENATE(Source!DM93,Source!FU93, "=", Source!FY93, "%")</f>
        <v>*0,85=55,25%</v>
      </c>
      <c r="H319" s="37" t="str">
        <f>CONCATENATE(Source!AU93)</f>
        <v>55</v>
      </c>
    </row>
    <row r="320" spans="1:28" x14ac:dyDescent="0.2">
      <c r="C320" s="11" t="s">
        <v>209</v>
      </c>
      <c r="D320" s="37"/>
      <c r="E320" s="37"/>
      <c r="F320" s="37"/>
      <c r="G320" s="61">
        <f>((Source!AF93+Source!AE93)*Source!FX93/100)+((Source!AF93+Source!AE93)*Source!FY93/100)+Source!AB93</f>
        <v>20176.662049999999</v>
      </c>
      <c r="H320" s="62">
        <f>Source!O93+Source!X93+Source!Y93</f>
        <v>36798.76</v>
      </c>
    </row>
    <row r="321" spans="1:28" ht="28.5" x14ac:dyDescent="0.2">
      <c r="A321" s="50">
        <v>34</v>
      </c>
      <c r="B321" s="50" t="str">
        <f>Source!E95</f>
        <v>20</v>
      </c>
      <c r="C321" s="50" t="str">
        <f>Source!G95</f>
        <v>Устройство кровель плоских из наплавляемых материалов в два слоя</v>
      </c>
      <c r="D321" s="50" t="str">
        <f>Source!F95</f>
        <v>12-01-002-09</v>
      </c>
      <c r="E321" s="33" t="str">
        <f>Source!H95</f>
        <v>100 м2</v>
      </c>
      <c r="F321" s="14">
        <f>Source!I95</f>
        <v>0.3</v>
      </c>
      <c r="G321" s="24">
        <f>Source!AB95</f>
        <v>368.14449999999999</v>
      </c>
      <c r="H321" s="25">
        <f>Source!O95</f>
        <v>671.49</v>
      </c>
      <c r="T321">
        <f>Source!O95+Source!X95+Source!Y95</f>
        <v>1146.92</v>
      </c>
      <c r="U321">
        <f>Source!P95</f>
        <v>332.57</v>
      </c>
      <c r="V321">
        <f>Source!S95</f>
        <v>283.13</v>
      </c>
      <c r="W321">
        <f>Source!Q95</f>
        <v>55.79</v>
      </c>
      <c r="X321">
        <f>Source!R95</f>
        <v>8.5500000000000007</v>
      </c>
      <c r="Y321">
        <f>Source!U95</f>
        <v>4.9541999999999993</v>
      </c>
      <c r="Z321">
        <f>Source!V95</f>
        <v>0.10875</v>
      </c>
      <c r="AA321">
        <f>Source!X95</f>
        <v>315.01</v>
      </c>
      <c r="AB321">
        <f>Source!Y95</f>
        <v>160.41999999999999</v>
      </c>
    </row>
    <row r="322" spans="1:28" ht="14.25" x14ac:dyDescent="0.2">
      <c r="C322" s="26" t="str">
        <f>"Объем: "&amp;Source!I95&amp;"=30/"&amp;"100"</f>
        <v>Объем: 0,3=30/100</v>
      </c>
      <c r="F322" s="14"/>
      <c r="G322" s="14"/>
      <c r="H322" s="14"/>
    </row>
    <row r="323" spans="1:28" x14ac:dyDescent="0.2">
      <c r="C323" s="26" t="s">
        <v>196</v>
      </c>
      <c r="D323" s="26">
        <f>Source!BA95</f>
        <v>6.08</v>
      </c>
    </row>
    <row r="324" spans="1:28" x14ac:dyDescent="0.2">
      <c r="C324" s="26" t="s">
        <v>197</v>
      </c>
      <c r="D324" s="26">
        <f>Source!BB95</f>
        <v>6.08</v>
      </c>
    </row>
    <row r="325" spans="1:28" x14ac:dyDescent="0.2">
      <c r="C325" s="26" t="s">
        <v>198</v>
      </c>
      <c r="D325" s="26">
        <f>Source!BC95</f>
        <v>6.08</v>
      </c>
    </row>
    <row r="326" spans="1:28" x14ac:dyDescent="0.2">
      <c r="C326" s="26" t="s">
        <v>199</v>
      </c>
      <c r="D326" s="26">
        <f>Source!BS95</f>
        <v>6.08</v>
      </c>
    </row>
    <row r="327" spans="1:28" x14ac:dyDescent="0.2">
      <c r="C327" s="26" t="s">
        <v>200</v>
      </c>
      <c r="D327" s="88" t="s">
        <v>239</v>
      </c>
      <c r="E327" s="88"/>
      <c r="F327" s="88"/>
      <c r="G327" s="88"/>
      <c r="H327" s="88"/>
    </row>
    <row r="328" spans="1:28" x14ac:dyDescent="0.2">
      <c r="C328" s="26" t="s">
        <v>201</v>
      </c>
      <c r="D328" s="88" t="s">
        <v>239</v>
      </c>
      <c r="E328" s="88"/>
      <c r="F328" s="88"/>
      <c r="G328" s="88"/>
      <c r="H328" s="88"/>
    </row>
    <row r="329" spans="1:28" x14ac:dyDescent="0.2">
      <c r="C329" s="26" t="s">
        <v>202</v>
      </c>
      <c r="D329" s="88" t="s">
        <v>240</v>
      </c>
      <c r="E329" s="88"/>
      <c r="F329" s="88"/>
      <c r="G329" s="88"/>
      <c r="H329" s="88"/>
    </row>
    <row r="330" spans="1:28" x14ac:dyDescent="0.2">
      <c r="C330" s="26" t="s">
        <v>203</v>
      </c>
      <c r="D330" s="88" t="s">
        <v>240</v>
      </c>
      <c r="E330" s="88"/>
      <c r="F330" s="88"/>
      <c r="G330" s="88"/>
      <c r="H330" s="88"/>
    </row>
    <row r="331" spans="1:28" x14ac:dyDescent="0.2">
      <c r="C331" s="26" t="s">
        <v>204</v>
      </c>
      <c r="D331" s="88" t="s">
        <v>239</v>
      </c>
      <c r="E331" s="88"/>
      <c r="F331" s="88"/>
      <c r="G331" s="88"/>
      <c r="H331" s="88"/>
    </row>
    <row r="332" spans="1:28" x14ac:dyDescent="0.2">
      <c r="C332" s="11" t="s">
        <v>205</v>
      </c>
      <c r="D332" s="37"/>
      <c r="E332" s="37"/>
      <c r="F332" s="37">
        <f>Source!BZ95</f>
        <v>120</v>
      </c>
      <c r="G332" s="61">
        <f>(Source!AF95+Source!AE95)*Source!FX95/100</f>
        <v>172.70766</v>
      </c>
      <c r="H332" s="62">
        <f>Source!X95</f>
        <v>315.01</v>
      </c>
    </row>
    <row r="333" spans="1:28" x14ac:dyDescent="0.2">
      <c r="C333" s="11" t="s">
        <v>206</v>
      </c>
      <c r="D333" s="37"/>
      <c r="E333" s="37"/>
      <c r="F333" s="37"/>
      <c r="G333" s="37" t="str">
        <f>CONCATENATE(Source!DL95,Source!FT95, "=", Source!FX95, "%")</f>
        <v>*0,9=108%</v>
      </c>
      <c r="H333" s="37" t="str">
        <f>CONCATENATE(Source!AT95)</f>
        <v>108</v>
      </c>
    </row>
    <row r="334" spans="1:28" x14ac:dyDescent="0.2">
      <c r="C334" s="11" t="s">
        <v>207</v>
      </c>
      <c r="D334" s="37"/>
      <c r="E334" s="37"/>
      <c r="F334" s="37">
        <f>Source!CA95</f>
        <v>65</v>
      </c>
      <c r="G334" s="61">
        <f>(Source!AF95+Source!AE95)*Source!FY95/100</f>
        <v>88.35276125</v>
      </c>
      <c r="H334" s="62">
        <f>Source!Y95</f>
        <v>160.41999999999999</v>
      </c>
    </row>
    <row r="335" spans="1:28" x14ac:dyDescent="0.2">
      <c r="C335" s="11" t="s">
        <v>208</v>
      </c>
      <c r="D335" s="37"/>
      <c r="E335" s="37"/>
      <c r="F335" s="37"/>
      <c r="G335" s="37" t="str">
        <f>CONCATENATE(Source!DM95,Source!FU95, "=", Source!FY95, "%")</f>
        <v>*0,85=55,25%</v>
      </c>
      <c r="H335" s="37" t="str">
        <f>CONCATENATE(Source!AU95)</f>
        <v>55</v>
      </c>
    </row>
    <row r="336" spans="1:28" x14ac:dyDescent="0.2">
      <c r="C336" s="11" t="s">
        <v>209</v>
      </c>
      <c r="D336" s="37"/>
      <c r="E336" s="37"/>
      <c r="F336" s="37"/>
      <c r="G336" s="61">
        <f>((Source!AF95+Source!AE95)*Source!FX95/100)+((Source!AF95+Source!AE95)*Source!FY95/100)+Source!AB95</f>
        <v>629.20492124999998</v>
      </c>
      <c r="H336" s="62">
        <f>Source!O95+Source!X95+Source!Y95</f>
        <v>1146.92</v>
      </c>
    </row>
    <row r="337" spans="1:28" ht="28.5" x14ac:dyDescent="0.2">
      <c r="A337" s="50">
        <v>35</v>
      </c>
      <c r="B337" s="50" t="str">
        <f>Source!E97</f>
        <v>20,1</v>
      </c>
      <c r="C337" s="50" t="str">
        <f>Source!G97</f>
        <v>Унифлекс ТКП</v>
      </c>
      <c r="D337" s="50" t="str">
        <f>Source!F97</f>
        <v>12.1.02.04-0142</v>
      </c>
      <c r="E337" s="33" t="str">
        <f>Source!H97</f>
        <v>м2</v>
      </c>
      <c r="F337" s="14">
        <f>Source!I97</f>
        <v>34.200000000000003</v>
      </c>
      <c r="G337" s="24">
        <f>Source!AB97</f>
        <v>13.67</v>
      </c>
      <c r="H337" s="25">
        <f>Source!O97</f>
        <v>2842.49</v>
      </c>
      <c r="T337">
        <f>Source!O97+Source!X97+Source!Y97</f>
        <v>2842.49</v>
      </c>
      <c r="U337">
        <f>Source!P97</f>
        <v>2842.49</v>
      </c>
      <c r="V337">
        <f>Source!S97</f>
        <v>0</v>
      </c>
      <c r="W337">
        <f>Source!Q97</f>
        <v>0</v>
      </c>
      <c r="X337">
        <f>Source!R97</f>
        <v>0</v>
      </c>
      <c r="Y337">
        <f>Source!U97</f>
        <v>0</v>
      </c>
      <c r="Z337">
        <f>Source!V97</f>
        <v>0</v>
      </c>
      <c r="AA337">
        <f>Source!X97</f>
        <v>0</v>
      </c>
      <c r="AB337">
        <f>Source!Y97</f>
        <v>0</v>
      </c>
    </row>
    <row r="338" spans="1:28" ht="14.25" x14ac:dyDescent="0.2">
      <c r="C338" s="26" t="s">
        <v>198</v>
      </c>
      <c r="D338" s="26">
        <f>Source!BC97</f>
        <v>6.08</v>
      </c>
      <c r="F338" s="14"/>
      <c r="G338" s="14"/>
      <c r="H338" s="14"/>
    </row>
    <row r="339" spans="1:28" ht="28.5" x14ac:dyDescent="0.2">
      <c r="A339" s="50">
        <v>36</v>
      </c>
      <c r="B339" s="50" t="str">
        <f>Source!E99</f>
        <v>20,2</v>
      </c>
      <c r="C339" s="50" t="str">
        <f>Source!G99</f>
        <v>Унифлекс ТПП</v>
      </c>
      <c r="D339" s="50" t="str">
        <f>Source!F99</f>
        <v>12.1.02.04-0143</v>
      </c>
      <c r="E339" s="33" t="str">
        <f>Source!H99</f>
        <v>м2</v>
      </c>
      <c r="F339" s="14">
        <f>Source!I99</f>
        <v>34.799999999999997</v>
      </c>
      <c r="G339" s="24">
        <f>Source!AB99</f>
        <v>16.22</v>
      </c>
      <c r="H339" s="25">
        <f>Source!O99</f>
        <v>3431.89</v>
      </c>
      <c r="T339">
        <f>Source!O99+Source!X99+Source!Y99</f>
        <v>3431.89</v>
      </c>
      <c r="U339">
        <f>Source!P99</f>
        <v>3431.89</v>
      </c>
      <c r="V339">
        <f>Source!S99</f>
        <v>0</v>
      </c>
      <c r="W339">
        <f>Source!Q99</f>
        <v>0</v>
      </c>
      <c r="X339">
        <f>Source!R99</f>
        <v>0</v>
      </c>
      <c r="Y339">
        <f>Source!U99</f>
        <v>0</v>
      </c>
      <c r="Z339">
        <f>Source!V99</f>
        <v>0</v>
      </c>
      <c r="AA339">
        <f>Source!X99</f>
        <v>0</v>
      </c>
      <c r="AB339">
        <f>Source!Y99</f>
        <v>0</v>
      </c>
    </row>
    <row r="340" spans="1:28" ht="14.25" x14ac:dyDescent="0.2">
      <c r="C340" s="26" t="s">
        <v>198</v>
      </c>
      <c r="D340" s="26">
        <f>Source!BC99</f>
        <v>6.08</v>
      </c>
      <c r="F340" s="14"/>
      <c r="G340" s="14"/>
      <c r="H340" s="14"/>
    </row>
    <row r="341" spans="1:28" ht="42.75" x14ac:dyDescent="0.2">
      <c r="A341" s="50">
        <v>37</v>
      </c>
      <c r="B341" s="50" t="str">
        <f>Source!E101</f>
        <v>21</v>
      </c>
      <c r="C341" s="50" t="str">
        <f>Source!G101</f>
        <v>Монтаж каркасов ворот большепролетных зданий, ангаров и др. без механизмов открывания</v>
      </c>
      <c r="D341" s="50" t="str">
        <f>Source!F101</f>
        <v>09-04-011-01</v>
      </c>
      <c r="E341" s="33" t="str">
        <f>Source!H101</f>
        <v>т</v>
      </c>
      <c r="F341" s="14">
        <f>Source!I101</f>
        <v>0.1</v>
      </c>
      <c r="G341" s="24">
        <f>Source!AB101</f>
        <v>4071.1469999999999</v>
      </c>
      <c r="H341" s="25">
        <f>Source!O101</f>
        <v>2475.25</v>
      </c>
      <c r="T341">
        <f>Source!O101+Source!X101+Source!Y101</f>
        <v>3118.29</v>
      </c>
      <c r="U341">
        <f>Source!P101</f>
        <v>298.05</v>
      </c>
      <c r="V341">
        <f>Source!S101</f>
        <v>326.16000000000003</v>
      </c>
      <c r="W341">
        <f>Source!Q101</f>
        <v>1851.04</v>
      </c>
      <c r="X341">
        <f>Source!R101</f>
        <v>94.13</v>
      </c>
      <c r="Y341">
        <f>Source!U101</f>
        <v>5.3325499999999995</v>
      </c>
      <c r="Z341">
        <f>Source!V101</f>
        <v>1.1087499999999999</v>
      </c>
      <c r="AA341">
        <f>Source!X101</f>
        <v>340.43</v>
      </c>
      <c r="AB341">
        <f>Source!Y101</f>
        <v>302.61</v>
      </c>
    </row>
    <row r="342" spans="1:28" ht="14.25" x14ac:dyDescent="0.2">
      <c r="C342" s="26" t="s">
        <v>196</v>
      </c>
      <c r="D342" s="26">
        <f>Source!BA101</f>
        <v>6.08</v>
      </c>
      <c r="F342" s="14"/>
      <c r="G342" s="14"/>
      <c r="H342" s="14"/>
    </row>
    <row r="343" spans="1:28" x14ac:dyDescent="0.2">
      <c r="C343" s="26" t="s">
        <v>197</v>
      </c>
      <c r="D343" s="26">
        <f>Source!BB101</f>
        <v>6.08</v>
      </c>
    </row>
    <row r="344" spans="1:28" x14ac:dyDescent="0.2">
      <c r="C344" s="26" t="s">
        <v>198</v>
      </c>
      <c r="D344" s="26">
        <f>Source!BC101</f>
        <v>6.08</v>
      </c>
    </row>
    <row r="345" spans="1:28" x14ac:dyDescent="0.2">
      <c r="C345" s="26" t="s">
        <v>199</v>
      </c>
      <c r="D345" s="26">
        <f>Source!BS101</f>
        <v>6.08</v>
      </c>
    </row>
    <row r="346" spans="1:28" x14ac:dyDescent="0.2">
      <c r="C346" s="26" t="s">
        <v>200</v>
      </c>
      <c r="D346" s="88" t="s">
        <v>239</v>
      </c>
      <c r="E346" s="88"/>
      <c r="F346" s="88"/>
      <c r="G346" s="88"/>
      <c r="H346" s="88"/>
    </row>
    <row r="347" spans="1:28" x14ac:dyDescent="0.2">
      <c r="C347" s="26" t="s">
        <v>201</v>
      </c>
      <c r="D347" s="88" t="s">
        <v>239</v>
      </c>
      <c r="E347" s="88"/>
      <c r="F347" s="88"/>
      <c r="G347" s="88"/>
      <c r="H347" s="88"/>
    </row>
    <row r="348" spans="1:28" x14ac:dyDescent="0.2">
      <c r="C348" s="26" t="s">
        <v>202</v>
      </c>
      <c r="D348" s="88" t="s">
        <v>240</v>
      </c>
      <c r="E348" s="88"/>
      <c r="F348" s="88"/>
      <c r="G348" s="88"/>
      <c r="H348" s="88"/>
    </row>
    <row r="349" spans="1:28" x14ac:dyDescent="0.2">
      <c r="C349" s="26" t="s">
        <v>203</v>
      </c>
      <c r="D349" s="88" t="s">
        <v>240</v>
      </c>
      <c r="E349" s="88"/>
      <c r="F349" s="88"/>
      <c r="G349" s="88"/>
      <c r="H349" s="88"/>
    </row>
    <row r="350" spans="1:28" x14ac:dyDescent="0.2">
      <c r="C350" s="26" t="s">
        <v>204</v>
      </c>
      <c r="D350" s="88" t="s">
        <v>239</v>
      </c>
      <c r="E350" s="88"/>
      <c r="F350" s="88"/>
      <c r="G350" s="88"/>
      <c r="H350" s="88"/>
    </row>
    <row r="351" spans="1:28" x14ac:dyDescent="0.2">
      <c r="C351" s="11" t="s">
        <v>205</v>
      </c>
      <c r="D351" s="37"/>
      <c r="E351" s="37"/>
      <c r="F351" s="37">
        <f>Source!BZ101</f>
        <v>90</v>
      </c>
      <c r="G351" s="61">
        <f>(Source!AF101+Source!AE101)*Source!FX101/100</f>
        <v>559.92424500000004</v>
      </c>
      <c r="H351" s="62">
        <f>Source!X101</f>
        <v>340.43</v>
      </c>
    </row>
    <row r="352" spans="1:28" x14ac:dyDescent="0.2">
      <c r="C352" s="11" t="s">
        <v>206</v>
      </c>
      <c r="D352" s="37"/>
      <c r="E352" s="37"/>
      <c r="F352" s="37"/>
      <c r="G352" s="37" t="str">
        <f>CONCATENATE(Source!DL101,Source!FT101, "=", Source!FX101, "%")</f>
        <v>*0,9=81%</v>
      </c>
      <c r="H352" s="37" t="str">
        <f>CONCATENATE(Source!AT101)</f>
        <v>81</v>
      </c>
    </row>
    <row r="353" spans="1:28" x14ac:dyDescent="0.2">
      <c r="C353" s="11" t="s">
        <v>207</v>
      </c>
      <c r="D353" s="37"/>
      <c r="E353" s="37"/>
      <c r="F353" s="37">
        <f>Source!CA101</f>
        <v>85</v>
      </c>
      <c r="G353" s="61">
        <f>(Source!AF101+Source!AE101)*Source!FY101/100</f>
        <v>499.43860124999998</v>
      </c>
      <c r="H353" s="62">
        <f>Source!Y101</f>
        <v>302.61</v>
      </c>
    </row>
    <row r="354" spans="1:28" x14ac:dyDescent="0.2">
      <c r="C354" s="11" t="s">
        <v>208</v>
      </c>
      <c r="D354" s="37"/>
      <c r="E354" s="37"/>
      <c r="F354" s="37"/>
      <c r="G354" s="37" t="str">
        <f>CONCATENATE(Source!DM101,Source!FU101, "=", Source!FY101, "%")</f>
        <v>*0,85=72,25%</v>
      </c>
      <c r="H354" s="37" t="str">
        <f>CONCATENATE(Source!AU101)</f>
        <v>72</v>
      </c>
    </row>
    <row r="355" spans="1:28" x14ac:dyDescent="0.2">
      <c r="C355" s="11" t="s">
        <v>209</v>
      </c>
      <c r="D355" s="37"/>
      <c r="E355" s="37"/>
      <c r="F355" s="37"/>
      <c r="G355" s="61">
        <f>((Source!AF101+Source!AE101)*Source!FX101/100)+((Source!AF101+Source!AE101)*Source!FY101/100)+Source!AB101</f>
        <v>5130.50984625</v>
      </c>
      <c r="H355" s="62">
        <f>Source!O101+Source!X101+Source!Y101</f>
        <v>3118.29</v>
      </c>
    </row>
    <row r="356" spans="1:28" ht="28.5" x14ac:dyDescent="0.2">
      <c r="A356" s="50">
        <v>38</v>
      </c>
      <c r="B356" s="50" t="str">
        <f>Source!E103</f>
        <v>21,1</v>
      </c>
      <c r="C356" s="50" t="str">
        <f>Source!G103</f>
        <v>Ворота распашные складчатые РСВ 2,67х2,56 м</v>
      </c>
      <c r="D356" s="50" t="str">
        <f>Source!F103</f>
        <v>08.1.06.01-0014</v>
      </c>
      <c r="E356" s="33" t="str">
        <f>Source!H103</f>
        <v>шт.</v>
      </c>
      <c r="F356" s="14">
        <f>Source!I103</f>
        <v>1</v>
      </c>
      <c r="G356" s="24">
        <f>Source!AB103</f>
        <v>11688.87</v>
      </c>
      <c r="H356" s="25">
        <f>Source!O103</f>
        <v>71068.33</v>
      </c>
      <c r="T356">
        <f>Source!O103+Source!X103+Source!Y103</f>
        <v>71068.33</v>
      </c>
      <c r="U356">
        <f>Source!P103</f>
        <v>71068.33</v>
      </c>
      <c r="V356">
        <f>Source!S103</f>
        <v>0</v>
      </c>
      <c r="W356">
        <f>Source!Q103</f>
        <v>0</v>
      </c>
      <c r="X356">
        <f>Source!R103</f>
        <v>0</v>
      </c>
      <c r="Y356">
        <f>Source!U103</f>
        <v>0</v>
      </c>
      <c r="Z356">
        <f>Source!V103</f>
        <v>0</v>
      </c>
      <c r="AA356">
        <f>Source!X103</f>
        <v>0</v>
      </c>
      <c r="AB356">
        <f>Source!Y103</f>
        <v>0</v>
      </c>
    </row>
    <row r="357" spans="1:28" ht="14.25" x14ac:dyDescent="0.2">
      <c r="C357" s="26" t="s">
        <v>198</v>
      </c>
      <c r="D357" s="26">
        <f>Source!BC103</f>
        <v>6.08</v>
      </c>
      <c r="F357" s="14"/>
      <c r="G357" s="14"/>
      <c r="H357" s="14"/>
    </row>
    <row r="358" spans="1:28" ht="28.5" x14ac:dyDescent="0.2">
      <c r="A358" s="50">
        <v>39</v>
      </c>
      <c r="B358" s="50" t="str">
        <f>Source!E105</f>
        <v>22</v>
      </c>
      <c r="C358" s="50" t="str">
        <f>Source!G105</f>
        <v>Монтаж  металлических дверных блоков в готовые проемы</v>
      </c>
      <c r="D358" s="50" t="str">
        <f>Source!F105</f>
        <v>09-04-012-01</v>
      </c>
      <c r="E358" s="33" t="str">
        <f>Source!H105</f>
        <v>м2</v>
      </c>
      <c r="F358" s="14">
        <f>Source!I105</f>
        <v>10.31</v>
      </c>
      <c r="G358" s="24">
        <f>Source!AB105</f>
        <v>71.114000000000004</v>
      </c>
      <c r="H358" s="25">
        <f>Source!O105</f>
        <v>4457.76</v>
      </c>
      <c r="T358">
        <f>Source!O105+Source!X105+Source!Y105</f>
        <v>7320.03</v>
      </c>
      <c r="U358">
        <f>Source!P105</f>
        <v>1612.25</v>
      </c>
      <c r="V358">
        <f>Source!S105</f>
        <v>1716.4</v>
      </c>
      <c r="W358">
        <f>Source!Q105</f>
        <v>1129.1099999999999</v>
      </c>
      <c r="X358">
        <f>Source!R105</f>
        <v>154.36000000000001</v>
      </c>
      <c r="Y358">
        <f>Source!U105</f>
        <v>28.4556</v>
      </c>
      <c r="Z358">
        <f>Source!V105</f>
        <v>2.1908750000000001</v>
      </c>
      <c r="AA358">
        <f>Source!X105</f>
        <v>1515.32</v>
      </c>
      <c r="AB358">
        <f>Source!Y105</f>
        <v>1346.95</v>
      </c>
    </row>
    <row r="359" spans="1:28" ht="14.25" x14ac:dyDescent="0.2">
      <c r="C359" s="26" t="s">
        <v>196</v>
      </c>
      <c r="D359" s="26">
        <f>Source!BA105</f>
        <v>6.08</v>
      </c>
      <c r="F359" s="14"/>
      <c r="G359" s="14"/>
      <c r="H359" s="14"/>
    </row>
    <row r="360" spans="1:28" x14ac:dyDescent="0.2">
      <c r="C360" s="26" t="s">
        <v>197</v>
      </c>
      <c r="D360" s="26">
        <f>Source!BB105</f>
        <v>6.08</v>
      </c>
    </row>
    <row r="361" spans="1:28" x14ac:dyDescent="0.2">
      <c r="C361" s="26" t="s">
        <v>198</v>
      </c>
      <c r="D361" s="26">
        <f>Source!BC105</f>
        <v>6.08</v>
      </c>
    </row>
    <row r="362" spans="1:28" x14ac:dyDescent="0.2">
      <c r="C362" s="26" t="s">
        <v>199</v>
      </c>
      <c r="D362" s="26">
        <f>Source!BS105</f>
        <v>6.08</v>
      </c>
    </row>
    <row r="363" spans="1:28" x14ac:dyDescent="0.2">
      <c r="C363" s="26" t="s">
        <v>200</v>
      </c>
      <c r="D363" s="88" t="s">
        <v>239</v>
      </c>
      <c r="E363" s="88"/>
      <c r="F363" s="88"/>
      <c r="G363" s="88"/>
      <c r="H363" s="88"/>
    </row>
    <row r="364" spans="1:28" x14ac:dyDescent="0.2">
      <c r="C364" s="26" t="s">
        <v>201</v>
      </c>
      <c r="D364" s="88" t="s">
        <v>239</v>
      </c>
      <c r="E364" s="88"/>
      <c r="F364" s="88"/>
      <c r="G364" s="88"/>
      <c r="H364" s="88"/>
    </row>
    <row r="365" spans="1:28" x14ac:dyDescent="0.2">
      <c r="C365" s="26" t="s">
        <v>202</v>
      </c>
      <c r="D365" s="88" t="s">
        <v>240</v>
      </c>
      <c r="E365" s="88"/>
      <c r="F365" s="88"/>
      <c r="G365" s="88"/>
      <c r="H365" s="88"/>
    </row>
    <row r="366" spans="1:28" x14ac:dyDescent="0.2">
      <c r="C366" s="26" t="s">
        <v>203</v>
      </c>
      <c r="D366" s="88" t="s">
        <v>240</v>
      </c>
      <c r="E366" s="88"/>
      <c r="F366" s="88"/>
      <c r="G366" s="88"/>
      <c r="H366" s="88"/>
    </row>
    <row r="367" spans="1:28" x14ac:dyDescent="0.2">
      <c r="C367" s="26" t="s">
        <v>204</v>
      </c>
      <c r="D367" s="88" t="s">
        <v>239</v>
      </c>
      <c r="E367" s="88"/>
      <c r="F367" s="88"/>
      <c r="G367" s="88"/>
      <c r="H367" s="88"/>
    </row>
    <row r="368" spans="1:28" x14ac:dyDescent="0.2">
      <c r="C368" s="11" t="s">
        <v>205</v>
      </c>
      <c r="D368" s="37"/>
      <c r="E368" s="37"/>
      <c r="F368" s="37">
        <f>Source!BZ105</f>
        <v>90</v>
      </c>
      <c r="G368" s="61">
        <f>(Source!AF105+Source!AE105)*Source!FX105/100</f>
        <v>24.173639999999999</v>
      </c>
      <c r="H368" s="62">
        <f>Source!X105</f>
        <v>1515.32</v>
      </c>
    </row>
    <row r="369" spans="1:28" x14ac:dyDescent="0.2">
      <c r="C369" s="11" t="s">
        <v>206</v>
      </c>
      <c r="D369" s="37"/>
      <c r="E369" s="37"/>
      <c r="F369" s="37"/>
      <c r="G369" s="37" t="str">
        <f>CONCATENATE(Source!DL105,Source!FT105, "=", Source!FX105, "%")</f>
        <v>*0,9=81%</v>
      </c>
      <c r="H369" s="37" t="str">
        <f>CONCATENATE(Source!AT105)</f>
        <v>81</v>
      </c>
    </row>
    <row r="370" spans="1:28" x14ac:dyDescent="0.2">
      <c r="C370" s="11" t="s">
        <v>207</v>
      </c>
      <c r="D370" s="37"/>
      <c r="E370" s="37"/>
      <c r="F370" s="37">
        <f>Source!CA105</f>
        <v>85</v>
      </c>
      <c r="G370" s="61">
        <f>(Source!AF105+Source!AE105)*Source!FY105/100</f>
        <v>21.562289999999997</v>
      </c>
      <c r="H370" s="62">
        <f>Source!Y105</f>
        <v>1346.95</v>
      </c>
    </row>
    <row r="371" spans="1:28" x14ac:dyDescent="0.2">
      <c r="C371" s="11" t="s">
        <v>208</v>
      </c>
      <c r="D371" s="37"/>
      <c r="E371" s="37"/>
      <c r="F371" s="37"/>
      <c r="G371" s="37" t="str">
        <f>CONCATENATE(Source!DM105,Source!FU105, "=", Source!FY105, "%")</f>
        <v>*0,85=72,25%</v>
      </c>
      <c r="H371" s="37" t="str">
        <f>CONCATENATE(Source!AU105)</f>
        <v>72</v>
      </c>
    </row>
    <row r="372" spans="1:28" x14ac:dyDescent="0.2">
      <c r="C372" s="11" t="s">
        <v>209</v>
      </c>
      <c r="D372" s="37"/>
      <c r="E372" s="37"/>
      <c r="F372" s="37"/>
      <c r="G372" s="61">
        <f>((Source!AF105+Source!AE105)*Source!FX105/100)+((Source!AF105+Source!AE105)*Source!FY105/100)+Source!AB105</f>
        <v>116.84993</v>
      </c>
      <c r="H372" s="62">
        <f>Source!O105+Source!X105+Source!Y105</f>
        <v>7320.03</v>
      </c>
    </row>
    <row r="373" spans="1:28" ht="42.75" x14ac:dyDescent="0.2">
      <c r="A373" s="50">
        <v>40</v>
      </c>
      <c r="B373" s="50" t="str">
        <f>Source!E107</f>
        <v>22,1</v>
      </c>
      <c r="C373" s="50" t="str">
        <f>Source!G107</f>
        <v>Дверь металлическая распашная с притвором, двупольная с порогомразмером  2,0х1,33м</v>
      </c>
      <c r="D373" s="50" t="str">
        <f>Source!F107</f>
        <v>07.1.01.03-0021</v>
      </c>
      <c r="E373" s="33" t="str">
        <f>Source!H107</f>
        <v>шт.</v>
      </c>
      <c r="F373" s="14">
        <f>Source!I107</f>
        <v>1</v>
      </c>
      <c r="G373" s="24">
        <f>Source!AB107</f>
        <v>3462.65</v>
      </c>
      <c r="H373" s="25">
        <f>Source!O107</f>
        <v>21052.91</v>
      </c>
      <c r="T373">
        <f>Source!O107+Source!X107+Source!Y107</f>
        <v>21052.91</v>
      </c>
      <c r="U373">
        <f>Source!P107</f>
        <v>21052.91</v>
      </c>
      <c r="V373">
        <f>Source!S107</f>
        <v>0</v>
      </c>
      <c r="W373">
        <f>Source!Q107</f>
        <v>0</v>
      </c>
      <c r="X373">
        <f>Source!R107</f>
        <v>0</v>
      </c>
      <c r="Y373">
        <f>Source!U107</f>
        <v>0</v>
      </c>
      <c r="Z373">
        <f>Source!V107</f>
        <v>0</v>
      </c>
      <c r="AA373">
        <f>Source!X107</f>
        <v>0</v>
      </c>
      <c r="AB373">
        <f>Source!Y107</f>
        <v>0</v>
      </c>
    </row>
    <row r="374" spans="1:28" ht="14.25" x14ac:dyDescent="0.2">
      <c r="C374" s="26" t="s">
        <v>198</v>
      </c>
      <c r="D374" s="26">
        <f>Source!BC107</f>
        <v>6.08</v>
      </c>
      <c r="F374" s="14"/>
      <c r="G374" s="14"/>
      <c r="H374" s="14"/>
    </row>
    <row r="375" spans="1:28" ht="42.75" x14ac:dyDescent="0.2">
      <c r="A375" s="50">
        <v>41</v>
      </c>
      <c r="B375" s="50" t="str">
        <f>Source!E109</f>
        <v>22,2</v>
      </c>
      <c r="C375" s="50" t="str">
        <f>Source!G109</f>
        <v>Дверь металлическая распашная с притвором, двупольная с порогом размером 2,1х2,32 м</v>
      </c>
      <c r="D375" s="50" t="str">
        <f>Source!F109</f>
        <v>07.1.01.03-0002</v>
      </c>
      <c r="E375" s="33" t="str">
        <f>Source!H109</f>
        <v>м2</v>
      </c>
      <c r="F375" s="14">
        <f>Source!I109</f>
        <v>4.87</v>
      </c>
      <c r="G375" s="24">
        <f>Source!AB109</f>
        <v>1465.11</v>
      </c>
      <c r="H375" s="25">
        <f>Source!O109</f>
        <v>43381.32</v>
      </c>
      <c r="T375">
        <f>Source!O109+Source!X109+Source!Y109</f>
        <v>43381.32</v>
      </c>
      <c r="U375">
        <f>Source!P109</f>
        <v>43381.32</v>
      </c>
      <c r="V375">
        <f>Source!S109</f>
        <v>0</v>
      </c>
      <c r="W375">
        <f>Source!Q109</f>
        <v>0</v>
      </c>
      <c r="X375">
        <f>Source!R109</f>
        <v>0</v>
      </c>
      <c r="Y375">
        <f>Source!U109</f>
        <v>0</v>
      </c>
      <c r="Z375">
        <f>Source!V109</f>
        <v>0</v>
      </c>
      <c r="AA375">
        <f>Source!X109</f>
        <v>0</v>
      </c>
      <c r="AB375">
        <f>Source!Y109</f>
        <v>0</v>
      </c>
    </row>
    <row r="376" spans="1:28" ht="14.25" x14ac:dyDescent="0.2">
      <c r="C376" s="26" t="s">
        <v>198</v>
      </c>
      <c r="D376" s="26">
        <f>Source!BC109</f>
        <v>6.08</v>
      </c>
      <c r="F376" s="14"/>
      <c r="G376" s="14"/>
      <c r="H376" s="14"/>
    </row>
    <row r="377" spans="1:28" ht="42.75" x14ac:dyDescent="0.2">
      <c r="A377" s="50">
        <v>42</v>
      </c>
      <c r="B377" s="50" t="str">
        <f>Source!E111</f>
        <v>22,3</v>
      </c>
      <c r="C377" s="50" t="str">
        <f>Source!G111</f>
        <v>Дверь металлическая двупольная , распашная с притвором , с порогом   размером  2,25х1,23 м</v>
      </c>
      <c r="D377" s="50" t="str">
        <f>Source!F111</f>
        <v>07.1.01.03-0022</v>
      </c>
      <c r="E377" s="33" t="str">
        <f>Source!H111</f>
        <v>шт.</v>
      </c>
      <c r="F377" s="14">
        <f>Source!I111</f>
        <v>1</v>
      </c>
      <c r="G377" s="24">
        <f>Source!AB111</f>
        <v>3739.42</v>
      </c>
      <c r="H377" s="25">
        <f>Source!O111</f>
        <v>22735.67</v>
      </c>
      <c r="T377">
        <f>Source!O111+Source!X111+Source!Y111</f>
        <v>22735.67</v>
      </c>
      <c r="U377">
        <f>Source!P111</f>
        <v>22735.67</v>
      </c>
      <c r="V377">
        <f>Source!S111</f>
        <v>0</v>
      </c>
      <c r="W377">
        <f>Source!Q111</f>
        <v>0</v>
      </c>
      <c r="X377">
        <f>Source!R111</f>
        <v>0</v>
      </c>
      <c r="Y377">
        <f>Source!U111</f>
        <v>0</v>
      </c>
      <c r="Z377">
        <f>Source!V111</f>
        <v>0</v>
      </c>
      <c r="AA377">
        <f>Source!X111</f>
        <v>0</v>
      </c>
      <c r="AB377">
        <f>Source!Y111</f>
        <v>0</v>
      </c>
    </row>
    <row r="378" spans="1:28" ht="14.25" x14ac:dyDescent="0.2">
      <c r="C378" s="26" t="s">
        <v>198</v>
      </c>
      <c r="D378" s="26">
        <f>Source!BC111</f>
        <v>6.08</v>
      </c>
      <c r="F378" s="14"/>
      <c r="G378" s="14"/>
      <c r="H378" s="14"/>
    </row>
    <row r="380" spans="1:28" ht="15" x14ac:dyDescent="0.25">
      <c r="A380" s="63"/>
      <c r="B380" s="63"/>
      <c r="C380" s="72" t="str">
        <f>CONCATENATE("Итого по разделу: ",IF(Source!G113&lt;&gt;"Новый раздел", Source!G113, ""))</f>
        <v>Итого по разделу: Общестроительные работы</v>
      </c>
      <c r="D380" s="72"/>
      <c r="E380" s="72"/>
      <c r="F380" s="72"/>
      <c r="G380" s="63"/>
      <c r="H380" s="64">
        <f>IF(SUM(T39:T379)=0, "-", SUM(T39:T379))</f>
        <v>1156358.3200000003</v>
      </c>
    </row>
    <row r="381" spans="1:28" ht="15" x14ac:dyDescent="0.25">
      <c r="A381" s="63"/>
      <c r="B381" s="63"/>
      <c r="C381" s="63"/>
      <c r="D381" s="63"/>
      <c r="E381" s="63"/>
      <c r="F381" s="63"/>
      <c r="G381" s="63"/>
      <c r="H381" s="63"/>
    </row>
    <row r="383" spans="1:28" ht="14.25" x14ac:dyDescent="0.2">
      <c r="C383" s="87" t="str">
        <f>Source!H141</f>
        <v>Всего</v>
      </c>
      <c r="D383" s="87"/>
      <c r="E383" s="87"/>
      <c r="F383" s="87"/>
      <c r="G383" s="75">
        <f>IF(Source!P141=0, "", Source!P141)</f>
        <v>1156358.32</v>
      </c>
      <c r="H383" s="75"/>
    </row>
    <row r="384" spans="1:28" ht="14.25" x14ac:dyDescent="0.2">
      <c r="C384" s="87" t="str">
        <f>Source!H142</f>
        <v>Итого НДС 18%</v>
      </c>
      <c r="D384" s="87"/>
      <c r="E384" s="87"/>
      <c r="F384" s="87"/>
      <c r="G384" s="75">
        <f>IF(Source!P142=0, "", Source!P142)</f>
        <v>208144.5</v>
      </c>
      <c r="H384" s="75"/>
    </row>
    <row r="385" spans="1:28" ht="14.25" x14ac:dyDescent="0.2">
      <c r="C385" s="87" t="str">
        <f>Source!H143</f>
        <v>Всего по смете</v>
      </c>
      <c r="D385" s="87"/>
      <c r="E385" s="87"/>
      <c r="F385" s="87"/>
      <c r="G385" s="75">
        <f>IF(Source!P143=0, "", Source!P143)</f>
        <v>1364502.82</v>
      </c>
      <c r="H385" s="75"/>
    </row>
    <row r="387" spans="1:28" ht="16.5" x14ac:dyDescent="0.25">
      <c r="A387" s="73" t="str">
        <f>CONCATENATE("Раздел: ",IF(Source!G145&lt;&gt;"Новый раздел", Source!G145, ""))</f>
        <v>Раздел: Сантехнические работы</v>
      </c>
      <c r="B387" s="73"/>
      <c r="C387" s="73"/>
      <c r="D387" s="73"/>
      <c r="E387" s="73"/>
      <c r="F387" s="73"/>
      <c r="G387" s="73"/>
      <c r="H387" s="73"/>
    </row>
    <row r="388" spans="1:28" ht="42.75" x14ac:dyDescent="0.2">
      <c r="A388" s="50">
        <v>43</v>
      </c>
      <c r="B388" s="50" t="str">
        <f>Source!E150</f>
        <v>23</v>
      </c>
      <c r="C388" s="50" t="str">
        <f>Source!G150</f>
        <v>Разборка трубопроводов из водогазопроводных труб диаметром до 32 мм</v>
      </c>
      <c r="D388" s="50" t="str">
        <f>Source!F150</f>
        <v>65-1-1</v>
      </c>
      <c r="E388" s="33" t="str">
        <f>Source!H150</f>
        <v>100 м</v>
      </c>
      <c r="F388" s="14">
        <f>Source!I150</f>
        <v>0.01</v>
      </c>
      <c r="G388" s="24">
        <f>Source!AB150</f>
        <v>328.71</v>
      </c>
      <c r="H388" s="25">
        <f>Source!O150</f>
        <v>19.98</v>
      </c>
      <c r="T388">
        <f>Source!O150+Source!X150+Source!Y150</f>
        <v>41.8</v>
      </c>
      <c r="U388">
        <f>Source!P150</f>
        <v>2.04</v>
      </c>
      <c r="V388">
        <f>Source!S150</f>
        <v>17.510000000000002</v>
      </c>
      <c r="W388">
        <f>Source!Q150</f>
        <v>0.43</v>
      </c>
      <c r="X388">
        <f>Source!R150</f>
        <v>0.08</v>
      </c>
      <c r="Y388">
        <f>Source!U150</f>
        <v>0.34659999999999996</v>
      </c>
      <c r="Z388">
        <f>Source!V150</f>
        <v>1E-3</v>
      </c>
      <c r="AA388">
        <f>Source!X150</f>
        <v>13.02</v>
      </c>
      <c r="AB388">
        <f>Source!Y150</f>
        <v>8.8000000000000007</v>
      </c>
    </row>
    <row r="389" spans="1:28" ht="14.25" x14ac:dyDescent="0.2">
      <c r="C389" s="26" t="str">
        <f>"Объем: "&amp;Source!I150&amp;"=1/"&amp;"100"</f>
        <v>Объем: 0,01=1/100</v>
      </c>
      <c r="F389" s="14"/>
      <c r="G389" s="14"/>
      <c r="H389" s="14"/>
    </row>
    <row r="390" spans="1:28" x14ac:dyDescent="0.2">
      <c r="C390" s="26" t="s">
        <v>196</v>
      </c>
      <c r="D390" s="26">
        <f>Source!BA150</f>
        <v>6.08</v>
      </c>
    </row>
    <row r="391" spans="1:28" x14ac:dyDescent="0.2">
      <c r="C391" s="26" t="s">
        <v>197</v>
      </c>
      <c r="D391" s="26">
        <f>Source!BB150</f>
        <v>6.08</v>
      </c>
    </row>
    <row r="392" spans="1:28" x14ac:dyDescent="0.2">
      <c r="C392" s="26" t="s">
        <v>198</v>
      </c>
      <c r="D392" s="26">
        <f>Source!BC150</f>
        <v>6.08</v>
      </c>
    </row>
    <row r="393" spans="1:28" x14ac:dyDescent="0.2">
      <c r="C393" s="26" t="s">
        <v>199</v>
      </c>
      <c r="D393" s="26">
        <f>Source!BS150</f>
        <v>6.08</v>
      </c>
    </row>
    <row r="394" spans="1:28" x14ac:dyDescent="0.2">
      <c r="C394" s="11" t="s">
        <v>205</v>
      </c>
      <c r="D394" s="37"/>
      <c r="E394" s="37"/>
      <c r="F394" s="37">
        <f>Source!BZ150</f>
        <v>74</v>
      </c>
      <c r="G394" s="61">
        <f>(Source!AF150+Source!AE150)*Source!FX150/100</f>
        <v>214.13380000000001</v>
      </c>
      <c r="H394" s="62">
        <f>Source!X150</f>
        <v>13.02</v>
      </c>
    </row>
    <row r="395" spans="1:28" x14ac:dyDescent="0.2">
      <c r="C395" s="11" t="s">
        <v>207</v>
      </c>
      <c r="D395" s="37"/>
      <c r="E395" s="37"/>
      <c r="F395" s="37">
        <f>Source!CA150</f>
        <v>50</v>
      </c>
      <c r="G395" s="61">
        <f>(Source!AF150+Source!AE150)*Source!FY150/100</f>
        <v>144.685</v>
      </c>
      <c r="H395" s="62">
        <f>Source!Y150</f>
        <v>8.8000000000000007</v>
      </c>
    </row>
    <row r="396" spans="1:28" x14ac:dyDescent="0.2">
      <c r="C396" s="11" t="s">
        <v>209</v>
      </c>
      <c r="D396" s="37"/>
      <c r="E396" s="37"/>
      <c r="F396" s="37"/>
      <c r="G396" s="61">
        <f>((Source!AF150+Source!AE150)*Source!FX150/100)+((Source!AF150+Source!AE150)*Source!FY150/100)+Source!AB150</f>
        <v>687.52880000000005</v>
      </c>
      <c r="H396" s="62">
        <f>Source!O150+Source!X150+Source!Y150</f>
        <v>41.8</v>
      </c>
    </row>
    <row r="397" spans="1:28" ht="14.25" x14ac:dyDescent="0.2">
      <c r="A397" s="50">
        <v>44</v>
      </c>
      <c r="B397" s="50" t="str">
        <f>Source!E152</f>
        <v>24</v>
      </c>
      <c r="C397" s="50" t="str">
        <f>Source!G152</f>
        <v>Снятие смесителя</v>
      </c>
      <c r="D397" s="50" t="str">
        <f>Source!F152</f>
        <v>65-3-7</v>
      </c>
      <c r="E397" s="33" t="str">
        <f>Source!H152</f>
        <v>100 ШТ</v>
      </c>
      <c r="F397" s="14">
        <f>Source!I152</f>
        <v>0.01</v>
      </c>
      <c r="G397" s="24">
        <f>Source!AB152</f>
        <v>315.33</v>
      </c>
      <c r="H397" s="25">
        <f>Source!O152</f>
        <v>19.170000000000002</v>
      </c>
      <c r="T397">
        <f>Source!O152+Source!X152+Source!Y152</f>
        <v>42.850000000000009</v>
      </c>
      <c r="U397">
        <f>Source!P152</f>
        <v>0</v>
      </c>
      <c r="V397">
        <f>Source!S152</f>
        <v>19.04</v>
      </c>
      <c r="W397">
        <f>Source!Q152</f>
        <v>0.13</v>
      </c>
      <c r="X397">
        <f>Source!R152</f>
        <v>0.06</v>
      </c>
      <c r="Y397">
        <f>Source!U152</f>
        <v>0.36710000000000004</v>
      </c>
      <c r="Z397">
        <f>Source!V152</f>
        <v>7.000000000000001E-4</v>
      </c>
      <c r="AA397">
        <f>Source!X152</f>
        <v>14.13</v>
      </c>
      <c r="AB397">
        <f>Source!Y152</f>
        <v>9.5500000000000007</v>
      </c>
    </row>
    <row r="398" spans="1:28" ht="14.25" x14ac:dyDescent="0.2">
      <c r="C398" s="26" t="str">
        <f>"Объем: "&amp;Source!I152&amp;"=1/"&amp;"100"</f>
        <v>Объем: 0,01=1/100</v>
      </c>
      <c r="F398" s="14"/>
      <c r="G398" s="14"/>
      <c r="H398" s="14"/>
    </row>
    <row r="399" spans="1:28" x14ac:dyDescent="0.2">
      <c r="C399" s="26" t="s">
        <v>196</v>
      </c>
      <c r="D399" s="26">
        <f>Source!BA152</f>
        <v>6.08</v>
      </c>
    </row>
    <row r="400" spans="1:28" x14ac:dyDescent="0.2">
      <c r="C400" s="26" t="s">
        <v>197</v>
      </c>
      <c r="D400" s="26">
        <f>Source!BB152</f>
        <v>6.08</v>
      </c>
    </row>
    <row r="401" spans="1:28" x14ac:dyDescent="0.2">
      <c r="C401" s="26" t="s">
        <v>198</v>
      </c>
      <c r="D401" s="26">
        <f>Source!BC152</f>
        <v>6.08</v>
      </c>
    </row>
    <row r="402" spans="1:28" x14ac:dyDescent="0.2">
      <c r="C402" s="26" t="s">
        <v>199</v>
      </c>
      <c r="D402" s="26">
        <f>Source!BS152</f>
        <v>6.08</v>
      </c>
    </row>
    <row r="403" spans="1:28" x14ac:dyDescent="0.2">
      <c r="C403" s="11" t="s">
        <v>205</v>
      </c>
      <c r="D403" s="37"/>
      <c r="E403" s="37"/>
      <c r="F403" s="37">
        <f>Source!BZ152</f>
        <v>74</v>
      </c>
      <c r="G403" s="61">
        <f>(Source!AF152+Source!AE152)*Source!FX152/100</f>
        <v>232.42660000000001</v>
      </c>
      <c r="H403" s="62">
        <f>Source!X152</f>
        <v>14.13</v>
      </c>
    </row>
    <row r="404" spans="1:28" x14ac:dyDescent="0.2">
      <c r="C404" s="11" t="s">
        <v>207</v>
      </c>
      <c r="D404" s="37"/>
      <c r="E404" s="37"/>
      <c r="F404" s="37">
        <f>Source!CA152</f>
        <v>50</v>
      </c>
      <c r="G404" s="61">
        <f>(Source!AF152+Source!AE152)*Source!FY152/100</f>
        <v>157.04499999999999</v>
      </c>
      <c r="H404" s="62">
        <f>Source!Y152</f>
        <v>9.5500000000000007</v>
      </c>
    </row>
    <row r="405" spans="1:28" x14ac:dyDescent="0.2">
      <c r="C405" s="11" t="s">
        <v>209</v>
      </c>
      <c r="D405" s="37"/>
      <c r="E405" s="37"/>
      <c r="F405" s="37"/>
      <c r="G405" s="61">
        <f>((Source!AF152+Source!AE152)*Source!FX152/100)+((Source!AF152+Source!AE152)*Source!FY152/100)+Source!AB152</f>
        <v>704.80160000000001</v>
      </c>
      <c r="H405" s="62">
        <f>Source!O152+Source!X152+Source!Y152</f>
        <v>42.850000000000009</v>
      </c>
    </row>
    <row r="406" spans="1:28" ht="14.25" x14ac:dyDescent="0.2">
      <c r="A406" s="50">
        <v>45</v>
      </c>
      <c r="B406" s="50" t="str">
        <f>Source!E154</f>
        <v>25</v>
      </c>
      <c r="C406" s="50" t="str">
        <f>Source!G154</f>
        <v>Демонтаж умывальников и раковин</v>
      </c>
      <c r="D406" s="50" t="str">
        <f>Source!F154</f>
        <v>65-4-1</v>
      </c>
      <c r="E406" s="33" t="str">
        <f>Source!H154</f>
        <v>100 ШТ</v>
      </c>
      <c r="F406" s="14">
        <f>Source!I154</f>
        <v>0.01</v>
      </c>
      <c r="G406" s="24">
        <f>Source!AB154</f>
        <v>445.72</v>
      </c>
      <c r="H406" s="25">
        <f>Source!O154</f>
        <v>27.1</v>
      </c>
      <c r="T406">
        <f>Source!O154+Source!X154+Source!Y154</f>
        <v>60.36</v>
      </c>
      <c r="U406">
        <f>Source!P154</f>
        <v>0</v>
      </c>
      <c r="V406">
        <f>Source!S154</f>
        <v>26.61</v>
      </c>
      <c r="W406">
        <f>Source!Q154</f>
        <v>0.49</v>
      </c>
      <c r="X406">
        <f>Source!R154</f>
        <v>0.21</v>
      </c>
      <c r="Y406">
        <f>Source!U154</f>
        <v>0.51300000000000001</v>
      </c>
      <c r="Z406">
        <f>Source!V154</f>
        <v>2.6000000000000003E-3</v>
      </c>
      <c r="AA406">
        <f>Source!X154</f>
        <v>19.850000000000001</v>
      </c>
      <c r="AB406">
        <f>Source!Y154</f>
        <v>13.41</v>
      </c>
    </row>
    <row r="407" spans="1:28" ht="14.25" x14ac:dyDescent="0.2">
      <c r="C407" s="26" t="str">
        <f>"Объем: "&amp;Source!I154&amp;"=1/"&amp;"100"</f>
        <v>Объем: 0,01=1/100</v>
      </c>
      <c r="F407" s="14"/>
      <c r="G407" s="14"/>
      <c r="H407" s="14"/>
    </row>
    <row r="408" spans="1:28" x14ac:dyDescent="0.2">
      <c r="C408" s="26" t="s">
        <v>196</v>
      </c>
      <c r="D408" s="26">
        <f>Source!BA154</f>
        <v>6.08</v>
      </c>
    </row>
    <row r="409" spans="1:28" x14ac:dyDescent="0.2">
      <c r="C409" s="26" t="s">
        <v>197</v>
      </c>
      <c r="D409" s="26">
        <f>Source!BB154</f>
        <v>6.08</v>
      </c>
    </row>
    <row r="410" spans="1:28" x14ac:dyDescent="0.2">
      <c r="C410" s="26" t="s">
        <v>198</v>
      </c>
      <c r="D410" s="26">
        <f>Source!BC154</f>
        <v>6.08</v>
      </c>
    </row>
    <row r="411" spans="1:28" x14ac:dyDescent="0.2">
      <c r="C411" s="26" t="s">
        <v>199</v>
      </c>
      <c r="D411" s="26">
        <f>Source!BS154</f>
        <v>6.08</v>
      </c>
    </row>
    <row r="412" spans="1:28" x14ac:dyDescent="0.2">
      <c r="C412" s="11" t="s">
        <v>205</v>
      </c>
      <c r="D412" s="37"/>
      <c r="E412" s="37"/>
      <c r="F412" s="37">
        <f>Source!BZ154</f>
        <v>74</v>
      </c>
      <c r="G412" s="61">
        <f>(Source!AF154+Source!AE154)*Source!FX154/100</f>
        <v>326.41399999999999</v>
      </c>
      <c r="H412" s="62">
        <f>Source!X154</f>
        <v>19.850000000000001</v>
      </c>
    </row>
    <row r="413" spans="1:28" x14ac:dyDescent="0.2">
      <c r="C413" s="11" t="s">
        <v>207</v>
      </c>
      <c r="D413" s="37"/>
      <c r="E413" s="37"/>
      <c r="F413" s="37">
        <f>Source!CA154</f>
        <v>50</v>
      </c>
      <c r="G413" s="61">
        <f>(Source!AF154+Source!AE154)*Source!FY154/100</f>
        <v>220.55</v>
      </c>
      <c r="H413" s="62">
        <f>Source!Y154</f>
        <v>13.41</v>
      </c>
    </row>
    <row r="414" spans="1:28" x14ac:dyDescent="0.2">
      <c r="C414" s="11" t="s">
        <v>209</v>
      </c>
      <c r="D414" s="37"/>
      <c r="E414" s="37"/>
      <c r="F414" s="37"/>
      <c r="G414" s="61">
        <f>((Source!AF154+Source!AE154)*Source!FX154/100)+((Source!AF154+Source!AE154)*Source!FY154/100)+Source!AB154</f>
        <v>992.68399999999997</v>
      </c>
      <c r="H414" s="62">
        <f>Source!O154+Source!X154+Source!Y154</f>
        <v>60.36</v>
      </c>
    </row>
    <row r="415" spans="1:28" ht="42.75" x14ac:dyDescent="0.2">
      <c r="A415" s="50">
        <v>46</v>
      </c>
      <c r="B415" s="50" t="str">
        <f>Source!E156</f>
        <v>26</v>
      </c>
      <c r="C415" s="50" t="str">
        <f>Source!G156</f>
        <v>Разборка трубопроводов из чугунных канализационных труб диаметром 50 мм</v>
      </c>
      <c r="D415" s="50" t="str">
        <f>Source!F156</f>
        <v>65-2-1</v>
      </c>
      <c r="E415" s="33" t="str">
        <f>Source!H156</f>
        <v>100 м</v>
      </c>
      <c r="F415" s="14">
        <f>Source!I156</f>
        <v>0.01</v>
      </c>
      <c r="G415" s="24">
        <f>Source!AB156</f>
        <v>587.04999999999995</v>
      </c>
      <c r="H415" s="25">
        <f>Source!O156</f>
        <v>35.69</v>
      </c>
      <c r="T415">
        <f>Source!O156+Source!X156+Source!Y156</f>
        <v>79.73</v>
      </c>
      <c r="U415">
        <f>Source!P156</f>
        <v>0</v>
      </c>
      <c r="V415">
        <f>Source!S156</f>
        <v>35.39</v>
      </c>
      <c r="W415">
        <f>Source!Q156</f>
        <v>0.3</v>
      </c>
      <c r="X415">
        <f>Source!R156</f>
        <v>0.13</v>
      </c>
      <c r="Y415">
        <f>Source!U156</f>
        <v>0.68799999999999994</v>
      </c>
      <c r="Z415">
        <f>Source!V156</f>
        <v>1.6000000000000001E-3</v>
      </c>
      <c r="AA415">
        <f>Source!X156</f>
        <v>26.28</v>
      </c>
      <c r="AB415">
        <f>Source!Y156</f>
        <v>17.760000000000002</v>
      </c>
    </row>
    <row r="416" spans="1:28" ht="14.25" x14ac:dyDescent="0.2">
      <c r="C416" s="26" t="str">
        <f>"Объем: "&amp;Source!I156&amp;"=1/"&amp;"100"</f>
        <v>Объем: 0,01=1/100</v>
      </c>
      <c r="F416" s="14"/>
      <c r="G416" s="14"/>
      <c r="H416" s="14"/>
    </row>
    <row r="417" spans="1:28" x14ac:dyDescent="0.2">
      <c r="C417" s="26" t="s">
        <v>196</v>
      </c>
      <c r="D417" s="26">
        <f>Source!BA156</f>
        <v>6.08</v>
      </c>
    </row>
    <row r="418" spans="1:28" x14ac:dyDescent="0.2">
      <c r="C418" s="26" t="s">
        <v>197</v>
      </c>
      <c r="D418" s="26">
        <f>Source!BB156</f>
        <v>6.08</v>
      </c>
    </row>
    <row r="419" spans="1:28" x14ac:dyDescent="0.2">
      <c r="C419" s="26" t="s">
        <v>198</v>
      </c>
      <c r="D419" s="26">
        <f>Source!BC156</f>
        <v>6.08</v>
      </c>
    </row>
    <row r="420" spans="1:28" x14ac:dyDescent="0.2">
      <c r="C420" s="26" t="s">
        <v>199</v>
      </c>
      <c r="D420" s="26">
        <f>Source!BS156</f>
        <v>6.08</v>
      </c>
    </row>
    <row r="421" spans="1:28" x14ac:dyDescent="0.2">
      <c r="C421" s="11" t="s">
        <v>205</v>
      </c>
      <c r="D421" s="37"/>
      <c r="E421" s="37"/>
      <c r="F421" s="37">
        <f>Source!BZ156</f>
        <v>74</v>
      </c>
      <c r="G421" s="61">
        <f>(Source!AF156+Source!AE156)*Source!FX156/100</f>
        <v>432.31539999999995</v>
      </c>
      <c r="H421" s="62">
        <f>Source!X156</f>
        <v>26.28</v>
      </c>
    </row>
    <row r="422" spans="1:28" x14ac:dyDescent="0.2">
      <c r="C422" s="11" t="s">
        <v>207</v>
      </c>
      <c r="D422" s="37"/>
      <c r="E422" s="37"/>
      <c r="F422" s="37">
        <f>Source!CA156</f>
        <v>50</v>
      </c>
      <c r="G422" s="61">
        <f>(Source!AF156+Source!AE156)*Source!FY156/100</f>
        <v>292.10499999999996</v>
      </c>
      <c r="H422" s="62">
        <f>Source!Y156</f>
        <v>17.760000000000002</v>
      </c>
    </row>
    <row r="423" spans="1:28" x14ac:dyDescent="0.2">
      <c r="C423" s="11" t="s">
        <v>209</v>
      </c>
      <c r="D423" s="37"/>
      <c r="E423" s="37"/>
      <c r="F423" s="37"/>
      <c r="G423" s="61">
        <f>((Source!AF156+Source!AE156)*Source!FX156/100)+((Source!AF156+Source!AE156)*Source!FY156/100)+Source!AB156</f>
        <v>1311.4703999999999</v>
      </c>
      <c r="H423" s="62">
        <f>Source!O156+Source!X156+Source!Y156</f>
        <v>79.73</v>
      </c>
    </row>
    <row r="424" spans="1:28" ht="57" x14ac:dyDescent="0.2">
      <c r="A424" s="50">
        <v>47</v>
      </c>
      <c r="B424" s="50" t="str">
        <f>Source!E158</f>
        <v>27</v>
      </c>
      <c r="C424" s="50" t="str">
        <f>Source!G158</f>
        <v>Прокладка трубопроводов отопления из стальных водогазопроводных неоцинкованных труб диаметром 20 мм</v>
      </c>
      <c r="D424" s="50" t="str">
        <f>Source!F158</f>
        <v>16-02-001-02</v>
      </c>
      <c r="E424" s="33" t="str">
        <f>Source!H158</f>
        <v>100 м</v>
      </c>
      <c r="F424" s="14">
        <f>Source!I158</f>
        <v>0.01</v>
      </c>
      <c r="G424" s="24">
        <f>Source!AB158</f>
        <v>440.928</v>
      </c>
      <c r="H424" s="25">
        <f>Source!O158</f>
        <v>26.81</v>
      </c>
      <c r="T424">
        <f>Source!O158+Source!X158+Source!Y158</f>
        <v>68.919999999999987</v>
      </c>
      <c r="U424">
        <f>Source!P158</f>
        <v>1.66</v>
      </c>
      <c r="V424">
        <f>Source!S158</f>
        <v>22.18</v>
      </c>
      <c r="W424">
        <f>Source!Q158</f>
        <v>2.97</v>
      </c>
      <c r="X424">
        <f>Source!R158</f>
        <v>0.46</v>
      </c>
      <c r="Y424">
        <f>Source!U158</f>
        <v>0.37915499999999996</v>
      </c>
      <c r="Z424">
        <f>Source!V158</f>
        <v>6.2500000000000003E-3</v>
      </c>
      <c r="AA424">
        <f>Source!X158</f>
        <v>26.04</v>
      </c>
      <c r="AB424">
        <f>Source!Y158</f>
        <v>16.07</v>
      </c>
    </row>
    <row r="425" spans="1:28" ht="14.25" x14ac:dyDescent="0.2">
      <c r="C425" s="26" t="str">
        <f>"Объем: "&amp;Source!I158&amp;"=1/"&amp;"100"</f>
        <v>Объем: 0,01=1/100</v>
      </c>
      <c r="F425" s="14"/>
      <c r="G425" s="14"/>
      <c r="H425" s="14"/>
    </row>
    <row r="426" spans="1:28" x14ac:dyDescent="0.2">
      <c r="C426" s="26" t="s">
        <v>196</v>
      </c>
      <c r="D426" s="26">
        <f>Source!BA158</f>
        <v>6.08</v>
      </c>
    </row>
    <row r="427" spans="1:28" x14ac:dyDescent="0.2">
      <c r="C427" s="26" t="s">
        <v>197</v>
      </c>
      <c r="D427" s="26">
        <f>Source!BB158</f>
        <v>6.08</v>
      </c>
    </row>
    <row r="428" spans="1:28" x14ac:dyDescent="0.2">
      <c r="C428" s="26" t="s">
        <v>198</v>
      </c>
      <c r="D428" s="26">
        <f>Source!BC158</f>
        <v>6.08</v>
      </c>
    </row>
    <row r="429" spans="1:28" x14ac:dyDescent="0.2">
      <c r="C429" s="26" t="s">
        <v>199</v>
      </c>
      <c r="D429" s="26">
        <f>Source!BS158</f>
        <v>6.08</v>
      </c>
    </row>
    <row r="430" spans="1:28" x14ac:dyDescent="0.2">
      <c r="C430" s="26" t="s">
        <v>200</v>
      </c>
      <c r="D430" s="88" t="s">
        <v>239</v>
      </c>
      <c r="E430" s="88"/>
      <c r="F430" s="88"/>
      <c r="G430" s="88"/>
      <c r="H430" s="88"/>
    </row>
    <row r="431" spans="1:28" x14ac:dyDescent="0.2">
      <c r="C431" s="26" t="s">
        <v>201</v>
      </c>
      <c r="D431" s="88" t="s">
        <v>239</v>
      </c>
      <c r="E431" s="88"/>
      <c r="F431" s="88"/>
      <c r="G431" s="88"/>
      <c r="H431" s="88"/>
    </row>
    <row r="432" spans="1:28" x14ac:dyDescent="0.2">
      <c r="C432" s="26" t="s">
        <v>202</v>
      </c>
      <c r="D432" s="88" t="s">
        <v>240</v>
      </c>
      <c r="E432" s="88"/>
      <c r="F432" s="88"/>
      <c r="G432" s="88"/>
      <c r="H432" s="88"/>
    </row>
    <row r="433" spans="1:28" x14ac:dyDescent="0.2">
      <c r="C433" s="26" t="s">
        <v>203</v>
      </c>
      <c r="D433" s="88" t="s">
        <v>240</v>
      </c>
      <c r="E433" s="88"/>
      <c r="F433" s="88"/>
      <c r="G433" s="88"/>
      <c r="H433" s="88"/>
    </row>
    <row r="434" spans="1:28" x14ac:dyDescent="0.2">
      <c r="C434" s="26" t="s">
        <v>204</v>
      </c>
      <c r="D434" s="88" t="s">
        <v>239</v>
      </c>
      <c r="E434" s="88"/>
      <c r="F434" s="88"/>
      <c r="G434" s="88"/>
      <c r="H434" s="88"/>
    </row>
    <row r="435" spans="1:28" x14ac:dyDescent="0.2">
      <c r="C435" s="11" t="s">
        <v>205</v>
      </c>
      <c r="D435" s="37"/>
      <c r="E435" s="37"/>
      <c r="F435" s="37">
        <f>Source!BZ158</f>
        <v>128</v>
      </c>
      <c r="G435" s="61">
        <f>(Source!AF158+Source!AE158)*Source!FX158/100</f>
        <v>428.95641600000005</v>
      </c>
      <c r="H435" s="62">
        <f>Source!X158</f>
        <v>26.04</v>
      </c>
    </row>
    <row r="436" spans="1:28" x14ac:dyDescent="0.2">
      <c r="C436" s="11" t="s">
        <v>206</v>
      </c>
      <c r="D436" s="37"/>
      <c r="E436" s="37"/>
      <c r="F436" s="37"/>
      <c r="G436" s="37" t="str">
        <f>CONCATENATE(Source!DL158,Source!FT158, "=", Source!FX158, "%")</f>
        <v>*0,9=115,2%</v>
      </c>
      <c r="H436" s="37" t="str">
        <f>CONCATENATE(Source!AT158)</f>
        <v>115</v>
      </c>
    </row>
    <row r="437" spans="1:28" x14ac:dyDescent="0.2">
      <c r="C437" s="11" t="s">
        <v>207</v>
      </c>
      <c r="D437" s="37"/>
      <c r="E437" s="37"/>
      <c r="F437" s="37">
        <f>Source!CA158</f>
        <v>83</v>
      </c>
      <c r="G437" s="61">
        <f>(Source!AF158+Source!AE158)*Source!FY158/100</f>
        <v>262.69856899999996</v>
      </c>
      <c r="H437" s="62">
        <f>Source!Y158</f>
        <v>16.07</v>
      </c>
    </row>
    <row r="438" spans="1:28" x14ac:dyDescent="0.2">
      <c r="C438" s="11" t="s">
        <v>208</v>
      </c>
      <c r="D438" s="37"/>
      <c r="E438" s="37"/>
      <c r="F438" s="37"/>
      <c r="G438" s="37" t="str">
        <f>CONCATENATE(Source!DM158,Source!FU158, "=", Source!FY158, "%")</f>
        <v>*0,85=70,55%</v>
      </c>
      <c r="H438" s="37" t="str">
        <f>CONCATENATE(Source!AU158)</f>
        <v>71</v>
      </c>
    </row>
    <row r="439" spans="1:28" x14ac:dyDescent="0.2">
      <c r="C439" s="11" t="s">
        <v>209</v>
      </c>
      <c r="D439" s="37"/>
      <c r="E439" s="37"/>
      <c r="F439" s="37"/>
      <c r="G439" s="61">
        <f>((Source!AF158+Source!AE158)*Source!FX158/100)+((Source!AF158+Source!AE158)*Source!FY158/100)+Source!AB158</f>
        <v>1132.582985</v>
      </c>
      <c r="H439" s="62">
        <f>Source!O158+Source!X158+Source!Y158</f>
        <v>68.919999999999987</v>
      </c>
    </row>
    <row r="440" spans="1:28" ht="71.25" x14ac:dyDescent="0.2">
      <c r="A440" s="50">
        <v>48</v>
      </c>
      <c r="B440" s="50" t="str">
        <f>Source!E160</f>
        <v>27,1</v>
      </c>
      <c r="C440" s="50" t="str">
        <f>Source!G160</f>
        <v>Узлы укрупненные монтажные (трубопроводы) из стальных водогазопроводных  неоцинкованных труб с гильзами для систем ГВС и ХВС диаметром 20 мм</v>
      </c>
      <c r="D440" s="50" t="str">
        <f>Source!F160</f>
        <v>18.5.13.01-0002</v>
      </c>
      <c r="E440" s="33" t="str">
        <f>Source!H160</f>
        <v>м</v>
      </c>
      <c r="F440" s="14">
        <f>Source!I160</f>
        <v>1</v>
      </c>
      <c r="G440" s="24">
        <f>Source!AB160</f>
        <v>23.39</v>
      </c>
      <c r="H440" s="25">
        <f>Source!O160</f>
        <v>142.21</v>
      </c>
      <c r="T440">
        <f>Source!O160+Source!X160+Source!Y160</f>
        <v>142.21</v>
      </c>
      <c r="U440">
        <f>Source!P160</f>
        <v>142.21</v>
      </c>
      <c r="V440">
        <f>Source!S160</f>
        <v>0</v>
      </c>
      <c r="W440">
        <f>Source!Q160</f>
        <v>0</v>
      </c>
      <c r="X440">
        <f>Source!R160</f>
        <v>0</v>
      </c>
      <c r="Y440">
        <f>Source!U160</f>
        <v>0</v>
      </c>
      <c r="Z440">
        <f>Source!V160</f>
        <v>0</v>
      </c>
      <c r="AA440">
        <f>Source!X160</f>
        <v>0</v>
      </c>
      <c r="AB440">
        <f>Source!Y160</f>
        <v>0</v>
      </c>
    </row>
    <row r="441" spans="1:28" ht="14.25" x14ac:dyDescent="0.2">
      <c r="C441" s="26" t="s">
        <v>198</v>
      </c>
      <c r="D441" s="26">
        <f>Source!BC160</f>
        <v>6.08</v>
      </c>
      <c r="F441" s="14"/>
      <c r="G441" s="14"/>
      <c r="H441" s="14"/>
    </row>
    <row r="442" spans="1:28" ht="42.75" x14ac:dyDescent="0.2">
      <c r="A442" s="50">
        <v>49</v>
      </c>
      <c r="B442" s="50" t="str">
        <f>Source!E162</f>
        <v>28</v>
      </c>
      <c r="C442" s="50" t="str">
        <f>Source!G162</f>
        <v>Прокладка трубопроводов канализации из полиэтиленовых труб высокой плотности диаметром 50 мм</v>
      </c>
      <c r="D442" s="50" t="str">
        <f>Source!F162</f>
        <v>16-04-001-01</v>
      </c>
      <c r="E442" s="33" t="str">
        <f>Source!H162</f>
        <v>100 м</v>
      </c>
      <c r="F442" s="14">
        <f>Source!I162</f>
        <v>0.01</v>
      </c>
      <c r="G442" s="24">
        <f>Source!AB162</f>
        <v>791.51900000000001</v>
      </c>
      <c r="H442" s="25">
        <f>Source!O162</f>
        <v>48.13</v>
      </c>
      <c r="T442">
        <f>Source!O162+Source!X162+Source!Y162</f>
        <v>131.07</v>
      </c>
      <c r="U442">
        <f>Source!P162</f>
        <v>3.37</v>
      </c>
      <c r="V442">
        <f>Source!S162</f>
        <v>44.56</v>
      </c>
      <c r="W442">
        <f>Source!Q162</f>
        <v>0.2</v>
      </c>
      <c r="X442">
        <f>Source!R162</f>
        <v>0.03</v>
      </c>
      <c r="Y442">
        <f>Source!U162</f>
        <v>0.73875999999999997</v>
      </c>
      <c r="Z442">
        <f>Source!V162</f>
        <v>3.7500000000000001E-4</v>
      </c>
      <c r="AA442">
        <f>Source!X162</f>
        <v>51.28</v>
      </c>
      <c r="AB442">
        <f>Source!Y162</f>
        <v>31.66</v>
      </c>
    </row>
    <row r="443" spans="1:28" ht="14.25" x14ac:dyDescent="0.2">
      <c r="C443" s="26" t="str">
        <f>"Объем: "&amp;Source!I162&amp;"=1/"&amp;"100"</f>
        <v>Объем: 0,01=1/100</v>
      </c>
      <c r="F443" s="14"/>
      <c r="G443" s="14"/>
      <c r="H443" s="14"/>
    </row>
    <row r="444" spans="1:28" x14ac:dyDescent="0.2">
      <c r="C444" s="26" t="s">
        <v>196</v>
      </c>
      <c r="D444" s="26">
        <f>Source!BA162</f>
        <v>6.08</v>
      </c>
    </row>
    <row r="445" spans="1:28" x14ac:dyDescent="0.2">
      <c r="C445" s="26" t="s">
        <v>197</v>
      </c>
      <c r="D445" s="26">
        <f>Source!BB162</f>
        <v>6.08</v>
      </c>
    </row>
    <row r="446" spans="1:28" x14ac:dyDescent="0.2">
      <c r="C446" s="26" t="s">
        <v>198</v>
      </c>
      <c r="D446" s="26">
        <f>Source!BC162</f>
        <v>6.08</v>
      </c>
    </row>
    <row r="447" spans="1:28" x14ac:dyDescent="0.2">
      <c r="C447" s="26" t="s">
        <v>199</v>
      </c>
      <c r="D447" s="26">
        <f>Source!BS162</f>
        <v>6.08</v>
      </c>
    </row>
    <row r="448" spans="1:28" x14ac:dyDescent="0.2">
      <c r="C448" s="26" t="s">
        <v>200</v>
      </c>
      <c r="D448" s="88" t="s">
        <v>239</v>
      </c>
      <c r="E448" s="88"/>
      <c r="F448" s="88"/>
      <c r="G448" s="88"/>
      <c r="H448" s="88"/>
    </row>
    <row r="449" spans="1:28" x14ac:dyDescent="0.2">
      <c r="C449" s="26" t="s">
        <v>201</v>
      </c>
      <c r="D449" s="88" t="s">
        <v>239</v>
      </c>
      <c r="E449" s="88"/>
      <c r="F449" s="88"/>
      <c r="G449" s="88"/>
      <c r="H449" s="88"/>
    </row>
    <row r="450" spans="1:28" x14ac:dyDescent="0.2">
      <c r="C450" s="26" t="s">
        <v>202</v>
      </c>
      <c r="D450" s="88" t="s">
        <v>240</v>
      </c>
      <c r="E450" s="88"/>
      <c r="F450" s="88"/>
      <c r="G450" s="88"/>
      <c r="H450" s="88"/>
    </row>
    <row r="451" spans="1:28" x14ac:dyDescent="0.2">
      <c r="C451" s="26" t="s">
        <v>203</v>
      </c>
      <c r="D451" s="88" t="s">
        <v>240</v>
      </c>
      <c r="E451" s="88"/>
      <c r="F451" s="88"/>
      <c r="G451" s="88"/>
      <c r="H451" s="88"/>
    </row>
    <row r="452" spans="1:28" x14ac:dyDescent="0.2">
      <c r="C452" s="26" t="s">
        <v>204</v>
      </c>
      <c r="D452" s="88" t="s">
        <v>239</v>
      </c>
      <c r="E452" s="88"/>
      <c r="F452" s="88"/>
      <c r="G452" s="88"/>
      <c r="H452" s="88"/>
    </row>
    <row r="453" spans="1:28" x14ac:dyDescent="0.2">
      <c r="C453" s="11" t="s">
        <v>205</v>
      </c>
      <c r="D453" s="37"/>
      <c r="E453" s="37"/>
      <c r="F453" s="37">
        <f>Source!BZ162</f>
        <v>128</v>
      </c>
      <c r="G453" s="61">
        <f>(Source!AF162+Source!AE162)*Source!FX162/100</f>
        <v>844.81804800000009</v>
      </c>
      <c r="H453" s="62">
        <f>Source!X162</f>
        <v>51.28</v>
      </c>
    </row>
    <row r="454" spans="1:28" x14ac:dyDescent="0.2">
      <c r="C454" s="11" t="s">
        <v>206</v>
      </c>
      <c r="D454" s="37"/>
      <c r="E454" s="37"/>
      <c r="F454" s="37"/>
      <c r="G454" s="37" t="str">
        <f>CONCATENATE(Source!DL162,Source!FT162, "=", Source!FX162, "%")</f>
        <v>*0,9=115,2%</v>
      </c>
      <c r="H454" s="37" t="str">
        <f>CONCATENATE(Source!AT162)</f>
        <v>115</v>
      </c>
    </row>
    <row r="455" spans="1:28" x14ac:dyDescent="0.2">
      <c r="C455" s="11" t="s">
        <v>207</v>
      </c>
      <c r="D455" s="37"/>
      <c r="E455" s="37"/>
      <c r="F455" s="37">
        <f>Source!CA162</f>
        <v>83</v>
      </c>
      <c r="G455" s="61">
        <f>(Source!AF162+Source!AE162)*Source!FY162/100</f>
        <v>517.37771950000001</v>
      </c>
      <c r="H455" s="62">
        <f>Source!Y162</f>
        <v>31.66</v>
      </c>
    </row>
    <row r="456" spans="1:28" x14ac:dyDescent="0.2">
      <c r="C456" s="11" t="s">
        <v>208</v>
      </c>
      <c r="D456" s="37"/>
      <c r="E456" s="37"/>
      <c r="F456" s="37"/>
      <c r="G456" s="37" t="str">
        <f>CONCATENATE(Source!DM162,Source!FU162, "=", Source!FY162, "%")</f>
        <v>*0,85=70,55%</v>
      </c>
      <c r="H456" s="37" t="str">
        <f>CONCATENATE(Source!AU162)</f>
        <v>71</v>
      </c>
    </row>
    <row r="457" spans="1:28" x14ac:dyDescent="0.2">
      <c r="C457" s="11" t="s">
        <v>209</v>
      </c>
      <c r="D457" s="37"/>
      <c r="E457" s="37"/>
      <c r="F457" s="37"/>
      <c r="G457" s="61">
        <f>((Source!AF162+Source!AE162)*Source!FX162/100)+((Source!AF162+Source!AE162)*Source!FY162/100)+Source!AB162</f>
        <v>2153.7147675000001</v>
      </c>
      <c r="H457" s="62">
        <f>Source!O162+Source!X162+Source!Y162</f>
        <v>131.07</v>
      </c>
    </row>
    <row r="458" spans="1:28" ht="57" x14ac:dyDescent="0.2">
      <c r="A458" s="50">
        <v>50</v>
      </c>
      <c r="B458" s="50" t="str">
        <f>Source!E164</f>
        <v>28,1</v>
      </c>
      <c r="C458" s="50" t="str">
        <f>Source!G164</f>
        <v>Трубопроводы канализации из полиэтиленовых труб высокой плотности с гильзами, диаметром 50 мм</v>
      </c>
      <c r="D458" s="50" t="str">
        <f>Source!F164</f>
        <v>24.3.03.02-0001</v>
      </c>
      <c r="E458" s="33" t="str">
        <f>Source!H164</f>
        <v>м</v>
      </c>
      <c r="F458" s="14">
        <f>Source!I164</f>
        <v>0.998</v>
      </c>
      <c r="G458" s="24">
        <f>Source!AB164</f>
        <v>39.36</v>
      </c>
      <c r="H458" s="25">
        <f>Source!O164</f>
        <v>238.83</v>
      </c>
      <c r="T458">
        <f>Source!O164+Source!X164+Source!Y164</f>
        <v>238.83</v>
      </c>
      <c r="U458">
        <f>Source!P164</f>
        <v>238.83</v>
      </c>
      <c r="V458">
        <f>Source!S164</f>
        <v>0</v>
      </c>
      <c r="W458">
        <f>Source!Q164</f>
        <v>0</v>
      </c>
      <c r="X458">
        <f>Source!R164</f>
        <v>0</v>
      </c>
      <c r="Y458">
        <f>Source!U164</f>
        <v>0</v>
      </c>
      <c r="Z458">
        <f>Source!V164</f>
        <v>0</v>
      </c>
      <c r="AA458">
        <f>Source!X164</f>
        <v>0</v>
      </c>
      <c r="AB458">
        <f>Source!Y164</f>
        <v>0</v>
      </c>
    </row>
    <row r="459" spans="1:28" ht="14.25" x14ac:dyDescent="0.2">
      <c r="C459" s="26" t="s">
        <v>198</v>
      </c>
      <c r="D459" s="26">
        <f>Source!BC164</f>
        <v>6.08</v>
      </c>
      <c r="F459" s="14"/>
      <c r="G459" s="14"/>
      <c r="H459" s="14"/>
    </row>
    <row r="460" spans="1:28" ht="28.5" x14ac:dyDescent="0.2">
      <c r="A460" s="50">
        <v>51</v>
      </c>
      <c r="B460" s="50" t="str">
        <f>Source!E166</f>
        <v>29</v>
      </c>
      <c r="C460" s="50" t="str">
        <f>Source!G166</f>
        <v>Установка раковин</v>
      </c>
      <c r="D460" s="50" t="str">
        <f>Source!F166</f>
        <v>17-01-005-04</v>
      </c>
      <c r="E460" s="33" t="str">
        <f>Source!H166</f>
        <v>10 компл</v>
      </c>
      <c r="F460" s="14">
        <f>Source!I166</f>
        <v>0.1</v>
      </c>
      <c r="G460" s="24">
        <f>Source!AB166</f>
        <v>169.58949999999999</v>
      </c>
      <c r="H460" s="25">
        <f>Source!O166</f>
        <v>103.12</v>
      </c>
      <c r="T460">
        <f>Source!O166+Source!X166+Source!Y166</f>
        <v>219.22</v>
      </c>
      <c r="U460">
        <f>Source!P166</f>
        <v>33.99</v>
      </c>
      <c r="V460">
        <f>Source!S166</f>
        <v>60.47</v>
      </c>
      <c r="W460">
        <f>Source!Q166</f>
        <v>8.66</v>
      </c>
      <c r="X460">
        <f>Source!R166</f>
        <v>1.95</v>
      </c>
      <c r="Y460">
        <f>Source!U166</f>
        <v>1.0338499999999999</v>
      </c>
      <c r="Z460">
        <f>Source!V166</f>
        <v>2.6250000000000002E-2</v>
      </c>
      <c r="AA460">
        <f>Source!X166</f>
        <v>71.78</v>
      </c>
      <c r="AB460">
        <f>Source!Y166</f>
        <v>44.32</v>
      </c>
    </row>
    <row r="461" spans="1:28" ht="14.25" x14ac:dyDescent="0.2">
      <c r="C461" s="26" t="str">
        <f>"Объем: "&amp;Source!I166&amp;"=1/"&amp;"10"</f>
        <v>Объем: 0,1=1/10</v>
      </c>
      <c r="F461" s="14"/>
      <c r="G461" s="14"/>
      <c r="H461" s="14"/>
    </row>
    <row r="462" spans="1:28" x14ac:dyDescent="0.2">
      <c r="C462" s="26" t="s">
        <v>196</v>
      </c>
      <c r="D462" s="26">
        <f>Source!BA166</f>
        <v>6.08</v>
      </c>
    </row>
    <row r="463" spans="1:28" x14ac:dyDescent="0.2">
      <c r="C463" s="26" t="s">
        <v>197</v>
      </c>
      <c r="D463" s="26">
        <f>Source!BB166</f>
        <v>6.08</v>
      </c>
    </row>
    <row r="464" spans="1:28" x14ac:dyDescent="0.2">
      <c r="C464" s="26" t="s">
        <v>198</v>
      </c>
      <c r="D464" s="26">
        <f>Source!BC166</f>
        <v>6.08</v>
      </c>
    </row>
    <row r="465" spans="1:28" x14ac:dyDescent="0.2">
      <c r="C465" s="26" t="s">
        <v>199</v>
      </c>
      <c r="D465" s="26">
        <f>Source!BS166</f>
        <v>6.08</v>
      </c>
    </row>
    <row r="466" spans="1:28" x14ac:dyDescent="0.2">
      <c r="C466" s="26" t="s">
        <v>200</v>
      </c>
      <c r="D466" s="88" t="s">
        <v>239</v>
      </c>
      <c r="E466" s="88"/>
      <c r="F466" s="88"/>
      <c r="G466" s="88"/>
      <c r="H466" s="88"/>
    </row>
    <row r="467" spans="1:28" x14ac:dyDescent="0.2">
      <c r="C467" s="26" t="s">
        <v>201</v>
      </c>
      <c r="D467" s="88" t="s">
        <v>239</v>
      </c>
      <c r="E467" s="88"/>
      <c r="F467" s="88"/>
      <c r="G467" s="88"/>
      <c r="H467" s="88"/>
    </row>
    <row r="468" spans="1:28" x14ac:dyDescent="0.2">
      <c r="C468" s="26" t="s">
        <v>202</v>
      </c>
      <c r="D468" s="88" t="s">
        <v>240</v>
      </c>
      <c r="E468" s="88"/>
      <c r="F468" s="88"/>
      <c r="G468" s="88"/>
      <c r="H468" s="88"/>
    </row>
    <row r="469" spans="1:28" x14ac:dyDescent="0.2">
      <c r="C469" s="26" t="s">
        <v>203</v>
      </c>
      <c r="D469" s="88" t="s">
        <v>240</v>
      </c>
      <c r="E469" s="88"/>
      <c r="F469" s="88"/>
      <c r="G469" s="88"/>
      <c r="H469" s="88"/>
    </row>
    <row r="470" spans="1:28" x14ac:dyDescent="0.2">
      <c r="C470" s="26" t="s">
        <v>204</v>
      </c>
      <c r="D470" s="88" t="s">
        <v>239</v>
      </c>
      <c r="E470" s="88"/>
      <c r="F470" s="88"/>
      <c r="G470" s="88"/>
      <c r="H470" s="88"/>
    </row>
    <row r="471" spans="1:28" x14ac:dyDescent="0.2">
      <c r="C471" s="11" t="s">
        <v>205</v>
      </c>
      <c r="D471" s="37"/>
      <c r="E471" s="37"/>
      <c r="F471" s="37">
        <f>Source!BZ166</f>
        <v>128</v>
      </c>
      <c r="G471" s="61">
        <f>(Source!AF166+Source!AE166)*Source!FX166/100</f>
        <v>118.26950400000001</v>
      </c>
      <c r="H471" s="62">
        <f>Source!X166</f>
        <v>71.78</v>
      </c>
    </row>
    <row r="472" spans="1:28" x14ac:dyDescent="0.2">
      <c r="C472" s="11" t="s">
        <v>206</v>
      </c>
      <c r="D472" s="37"/>
      <c r="E472" s="37"/>
      <c r="F472" s="37"/>
      <c r="G472" s="37" t="str">
        <f>CONCATENATE(Source!DL166,Source!FT166, "=", Source!FX166, "%")</f>
        <v>*0,9=115,2%</v>
      </c>
      <c r="H472" s="37" t="str">
        <f>CONCATENATE(Source!AT166)</f>
        <v>115</v>
      </c>
    </row>
    <row r="473" spans="1:28" x14ac:dyDescent="0.2">
      <c r="C473" s="11" t="s">
        <v>207</v>
      </c>
      <c r="D473" s="37"/>
      <c r="E473" s="37"/>
      <c r="F473" s="37">
        <f>Source!CA166</f>
        <v>83</v>
      </c>
      <c r="G473" s="61">
        <f>(Source!AF166+Source!AE166)*Source!FY166/100</f>
        <v>72.429804750000002</v>
      </c>
      <c r="H473" s="62">
        <f>Source!Y166</f>
        <v>44.32</v>
      </c>
    </row>
    <row r="474" spans="1:28" x14ac:dyDescent="0.2">
      <c r="C474" s="11" t="s">
        <v>208</v>
      </c>
      <c r="D474" s="37"/>
      <c r="E474" s="37"/>
      <c r="F474" s="37"/>
      <c r="G474" s="37" t="str">
        <f>CONCATENATE(Source!DM166,Source!FU166, "=", Source!FY166, "%")</f>
        <v>*0,85=70,55%</v>
      </c>
      <c r="H474" s="37" t="str">
        <f>CONCATENATE(Source!AU166)</f>
        <v>71</v>
      </c>
    </row>
    <row r="475" spans="1:28" x14ac:dyDescent="0.2">
      <c r="C475" s="11" t="s">
        <v>209</v>
      </c>
      <c r="D475" s="37"/>
      <c r="E475" s="37"/>
      <c r="F475" s="37"/>
      <c r="G475" s="61">
        <f>((Source!AF166+Source!AE166)*Source!FX166/100)+((Source!AF166+Source!AE166)*Source!FY166/100)+Source!AB166</f>
        <v>360.28880874999999</v>
      </c>
      <c r="H475" s="62">
        <f>Source!O166+Source!X166+Source!Y166</f>
        <v>219.22</v>
      </c>
    </row>
    <row r="476" spans="1:28" ht="28.5" x14ac:dyDescent="0.2">
      <c r="A476" s="50">
        <v>52</v>
      </c>
      <c r="B476" s="50" t="str">
        <f>Source!E168</f>
        <v>29,1</v>
      </c>
      <c r="C476" s="50" t="str">
        <f>Source!G168</f>
        <v>Раковины стальные эмалированные</v>
      </c>
      <c r="D476" s="50" t="str">
        <f>Source!F168</f>
        <v>18.2.02.08-0011</v>
      </c>
      <c r="E476" s="33" t="str">
        <f>Source!H168</f>
        <v>компл.</v>
      </c>
      <c r="F476" s="14">
        <f>Source!I168</f>
        <v>1</v>
      </c>
      <c r="G476" s="24">
        <f>Source!AB168</f>
        <v>101.7</v>
      </c>
      <c r="H476" s="25">
        <f>Source!O168</f>
        <v>618.34</v>
      </c>
      <c r="T476">
        <f>Source!O168+Source!X168+Source!Y168</f>
        <v>618.34</v>
      </c>
      <c r="U476">
        <f>Source!P168</f>
        <v>618.34</v>
      </c>
      <c r="V476">
        <f>Source!S168</f>
        <v>0</v>
      </c>
      <c r="W476">
        <f>Source!Q168</f>
        <v>0</v>
      </c>
      <c r="X476">
        <f>Source!R168</f>
        <v>0</v>
      </c>
      <c r="Y476">
        <f>Source!U168</f>
        <v>0</v>
      </c>
      <c r="Z476">
        <f>Source!V168</f>
        <v>0</v>
      </c>
      <c r="AA476">
        <f>Source!X168</f>
        <v>0</v>
      </c>
      <c r="AB476">
        <f>Source!Y168</f>
        <v>0</v>
      </c>
    </row>
    <row r="477" spans="1:28" ht="14.25" x14ac:dyDescent="0.2">
      <c r="C477" s="26" t="s">
        <v>198</v>
      </c>
      <c r="D477" s="26">
        <f>Source!BC168</f>
        <v>6.08</v>
      </c>
      <c r="F477" s="14"/>
      <c r="G477" s="14"/>
      <c r="H477" s="14"/>
    </row>
    <row r="478" spans="1:28" ht="28.5" x14ac:dyDescent="0.2">
      <c r="A478" s="50">
        <v>53</v>
      </c>
      <c r="B478" s="50" t="str">
        <f>Source!E170</f>
        <v>30</v>
      </c>
      <c r="C478" s="50" t="str">
        <f>Source!G170</f>
        <v>Установка смесителей</v>
      </c>
      <c r="D478" s="50" t="str">
        <f>Source!F170</f>
        <v>17-01-002-03</v>
      </c>
      <c r="E478" s="33" t="str">
        <f>Source!H170</f>
        <v>10 ШТ</v>
      </c>
      <c r="F478" s="14">
        <f>Source!I170</f>
        <v>0.1</v>
      </c>
      <c r="G478" s="24">
        <f>Source!AB170</f>
        <v>88.421000000000006</v>
      </c>
      <c r="H478" s="25">
        <f>Source!O170</f>
        <v>53.76</v>
      </c>
      <c r="T478">
        <f>Source!O170+Source!X170+Source!Y170</f>
        <v>141.33000000000001</v>
      </c>
      <c r="U478">
        <f>Source!P170</f>
        <v>6.68</v>
      </c>
      <c r="V478">
        <f>Source!S170</f>
        <v>47.08</v>
      </c>
      <c r="W478">
        <f>Source!Q170</f>
        <v>0</v>
      </c>
      <c r="X478">
        <f>Source!R170</f>
        <v>0</v>
      </c>
      <c r="Y478">
        <f>Source!U170</f>
        <v>0.80499999999999994</v>
      </c>
      <c r="Z478">
        <f>Source!V170</f>
        <v>0</v>
      </c>
      <c r="AA478">
        <f>Source!X170</f>
        <v>54.14</v>
      </c>
      <c r="AB478">
        <f>Source!Y170</f>
        <v>33.43</v>
      </c>
    </row>
    <row r="479" spans="1:28" ht="14.25" x14ac:dyDescent="0.2">
      <c r="C479" s="26" t="str">
        <f>"Объем: "&amp;Source!I170&amp;"=1/"&amp;"10"</f>
        <v>Объем: 0,1=1/10</v>
      </c>
      <c r="F479" s="14"/>
      <c r="G479" s="14"/>
      <c r="H479" s="14"/>
    </row>
    <row r="480" spans="1:28" x14ac:dyDescent="0.2">
      <c r="C480" s="26" t="s">
        <v>196</v>
      </c>
      <c r="D480" s="26">
        <f>Source!BA170</f>
        <v>6.08</v>
      </c>
    </row>
    <row r="481" spans="1:28" x14ac:dyDescent="0.2">
      <c r="C481" s="26" t="s">
        <v>197</v>
      </c>
      <c r="D481" s="26">
        <f>Source!BB170</f>
        <v>6.08</v>
      </c>
    </row>
    <row r="482" spans="1:28" x14ac:dyDescent="0.2">
      <c r="C482" s="26" t="s">
        <v>198</v>
      </c>
      <c r="D482" s="26">
        <f>Source!BC170</f>
        <v>6.08</v>
      </c>
    </row>
    <row r="483" spans="1:28" x14ac:dyDescent="0.2">
      <c r="C483" s="26" t="s">
        <v>199</v>
      </c>
      <c r="D483" s="26">
        <f>Source!BS170</f>
        <v>6.08</v>
      </c>
    </row>
    <row r="484" spans="1:28" x14ac:dyDescent="0.2">
      <c r="C484" s="26" t="s">
        <v>200</v>
      </c>
      <c r="D484" s="88" t="s">
        <v>239</v>
      </c>
      <c r="E484" s="88"/>
      <c r="F484" s="88"/>
      <c r="G484" s="88"/>
      <c r="H484" s="88"/>
    </row>
    <row r="485" spans="1:28" x14ac:dyDescent="0.2">
      <c r="C485" s="26" t="s">
        <v>201</v>
      </c>
      <c r="D485" s="88" t="s">
        <v>239</v>
      </c>
      <c r="E485" s="88"/>
      <c r="F485" s="88"/>
      <c r="G485" s="88"/>
      <c r="H485" s="88"/>
    </row>
    <row r="486" spans="1:28" x14ac:dyDescent="0.2">
      <c r="C486" s="26" t="s">
        <v>202</v>
      </c>
      <c r="D486" s="88" t="s">
        <v>240</v>
      </c>
      <c r="E486" s="88"/>
      <c r="F486" s="88"/>
      <c r="G486" s="88"/>
      <c r="H486" s="88"/>
    </row>
    <row r="487" spans="1:28" x14ac:dyDescent="0.2">
      <c r="C487" s="26" t="s">
        <v>203</v>
      </c>
      <c r="D487" s="88" t="s">
        <v>240</v>
      </c>
      <c r="E487" s="88"/>
      <c r="F487" s="88"/>
      <c r="G487" s="88"/>
      <c r="H487" s="88"/>
    </row>
    <row r="488" spans="1:28" x14ac:dyDescent="0.2">
      <c r="C488" s="26" t="s">
        <v>204</v>
      </c>
      <c r="D488" s="88" t="s">
        <v>239</v>
      </c>
      <c r="E488" s="88"/>
      <c r="F488" s="88"/>
      <c r="G488" s="88"/>
      <c r="H488" s="88"/>
    </row>
    <row r="489" spans="1:28" x14ac:dyDescent="0.2">
      <c r="C489" s="11" t="s">
        <v>205</v>
      </c>
      <c r="D489" s="37"/>
      <c r="E489" s="37"/>
      <c r="F489" s="37">
        <f>Source!BZ170</f>
        <v>128</v>
      </c>
      <c r="G489" s="61">
        <f>(Source!AF170+Source!AE170)*Source!FX170/100</f>
        <v>89.212031999999994</v>
      </c>
      <c r="H489" s="62">
        <f>Source!X170</f>
        <v>54.14</v>
      </c>
    </row>
    <row r="490" spans="1:28" x14ac:dyDescent="0.2">
      <c r="C490" s="11" t="s">
        <v>206</v>
      </c>
      <c r="D490" s="37"/>
      <c r="E490" s="37"/>
      <c r="F490" s="37"/>
      <c r="G490" s="37" t="str">
        <f>CONCATENATE(Source!DL170,Source!FT170, "=", Source!FX170, "%")</f>
        <v>*0,9=115,2%</v>
      </c>
      <c r="H490" s="37" t="str">
        <f>CONCATENATE(Source!AT170)</f>
        <v>115</v>
      </c>
    </row>
    <row r="491" spans="1:28" x14ac:dyDescent="0.2">
      <c r="C491" s="11" t="s">
        <v>207</v>
      </c>
      <c r="D491" s="37"/>
      <c r="E491" s="37"/>
      <c r="F491" s="37">
        <f>Source!CA170</f>
        <v>83</v>
      </c>
      <c r="G491" s="61">
        <f>(Source!AF170+Source!AE170)*Source!FY170/100</f>
        <v>54.634625499999999</v>
      </c>
      <c r="H491" s="62">
        <f>Source!Y170</f>
        <v>33.43</v>
      </c>
    </row>
    <row r="492" spans="1:28" x14ac:dyDescent="0.2">
      <c r="C492" s="11" t="s">
        <v>208</v>
      </c>
      <c r="D492" s="37"/>
      <c r="E492" s="37"/>
      <c r="F492" s="37"/>
      <c r="G492" s="37" t="str">
        <f>CONCATENATE(Source!DM170,Source!FU170, "=", Source!FY170, "%")</f>
        <v>*0,85=70,55%</v>
      </c>
      <c r="H492" s="37" t="str">
        <f>CONCATENATE(Source!AU170)</f>
        <v>71</v>
      </c>
    </row>
    <row r="493" spans="1:28" x14ac:dyDescent="0.2">
      <c r="C493" s="11" t="s">
        <v>209</v>
      </c>
      <c r="D493" s="37"/>
      <c r="E493" s="37"/>
      <c r="F493" s="37"/>
      <c r="G493" s="61">
        <f>((Source!AF170+Source!AE170)*Source!FX170/100)+((Source!AF170+Source!AE170)*Source!FY170/100)+Source!AB170</f>
        <v>232.26765749999998</v>
      </c>
      <c r="H493" s="62">
        <f>Source!O170+Source!X170+Source!Y170</f>
        <v>141.33000000000001</v>
      </c>
    </row>
    <row r="494" spans="1:28" ht="28.5" x14ac:dyDescent="0.2">
      <c r="A494" s="50">
        <v>54</v>
      </c>
      <c r="B494" s="50" t="str">
        <f>Source!E172</f>
        <v>30,1</v>
      </c>
      <c r="C494" s="50" t="str">
        <f>Source!G172</f>
        <v>Смесители для умывальников</v>
      </c>
      <c r="D494" s="50" t="str">
        <f>Source!F172</f>
        <v>18.1.10.10-0046</v>
      </c>
      <c r="E494" s="33" t="str">
        <f>Source!H172</f>
        <v>компл.</v>
      </c>
      <c r="F494" s="14">
        <f>Source!I172</f>
        <v>1</v>
      </c>
      <c r="G494" s="24">
        <f>Source!AB172</f>
        <v>310.25</v>
      </c>
      <c r="H494" s="25">
        <f>Source!O172</f>
        <v>1886.32</v>
      </c>
      <c r="T494">
        <f>Source!O172+Source!X172+Source!Y172</f>
        <v>1886.32</v>
      </c>
      <c r="U494">
        <f>Source!P172</f>
        <v>1886.32</v>
      </c>
      <c r="V494">
        <f>Source!S172</f>
        <v>0</v>
      </c>
      <c r="W494">
        <f>Source!Q172</f>
        <v>0</v>
      </c>
      <c r="X494">
        <f>Source!R172</f>
        <v>0</v>
      </c>
      <c r="Y494">
        <f>Source!U172</f>
        <v>0</v>
      </c>
      <c r="Z494">
        <f>Source!V172</f>
        <v>0</v>
      </c>
      <c r="AA494">
        <f>Source!X172</f>
        <v>0</v>
      </c>
      <c r="AB494">
        <f>Source!Y172</f>
        <v>0</v>
      </c>
    </row>
    <row r="495" spans="1:28" ht="14.25" x14ac:dyDescent="0.2">
      <c r="C495" s="26" t="s">
        <v>198</v>
      </c>
      <c r="D495" s="26">
        <f>Source!BC172</f>
        <v>6.08</v>
      </c>
      <c r="F495" s="14"/>
      <c r="G495" s="14"/>
      <c r="H495" s="14"/>
    </row>
    <row r="496" spans="1:28" ht="42.75" x14ac:dyDescent="0.2">
      <c r="A496" s="50">
        <v>55</v>
      </c>
      <c r="B496" s="50" t="str">
        <f>Source!E174</f>
        <v>31</v>
      </c>
      <c r="C496" s="50" t="str">
        <f>Source!G174</f>
        <v>Погрузочные работы при автомобильных перевозках мусора строительного с погрузкой вручную</v>
      </c>
      <c r="D496" s="50" t="str">
        <f>Source!F174</f>
        <v>т01-01-01-041</v>
      </c>
      <c r="E496" s="33" t="str">
        <f>Source!H174</f>
        <v>1 Т ГРУЗА</v>
      </c>
      <c r="F496" s="14">
        <f>Source!I174</f>
        <v>1.5</v>
      </c>
      <c r="G496" s="24">
        <f>Source!AB174</f>
        <v>42.98</v>
      </c>
      <c r="H496" s="25">
        <f>Source!GM174</f>
        <v>391.98</v>
      </c>
      <c r="T496">
        <f>Source!GM174</f>
        <v>391.98</v>
      </c>
      <c r="U496">
        <f>Source!P174</f>
        <v>0</v>
      </c>
      <c r="V496">
        <f>Source!S174</f>
        <v>0</v>
      </c>
      <c r="W496">
        <f>Source!Q174</f>
        <v>0</v>
      </c>
      <c r="X496">
        <f>Source!R174</f>
        <v>0</v>
      </c>
      <c r="Y496">
        <f>Source!U174</f>
        <v>0</v>
      </c>
      <c r="Z496">
        <f>Source!V174</f>
        <v>0</v>
      </c>
      <c r="AA496">
        <f>Source!X174</f>
        <v>0</v>
      </c>
      <c r="AB496">
        <f>Source!Y174</f>
        <v>0</v>
      </c>
    </row>
    <row r="497" spans="1:28" ht="14.25" x14ac:dyDescent="0.2">
      <c r="C497" s="26" t="s">
        <v>211</v>
      </c>
      <c r="D497" s="26">
        <f>Source!AZ174</f>
        <v>6.08</v>
      </c>
      <c r="F497" s="14"/>
      <c r="G497" s="14"/>
      <c r="H497" s="14"/>
    </row>
    <row r="498" spans="1:28" ht="57" x14ac:dyDescent="0.2">
      <c r="A498" s="50">
        <v>56</v>
      </c>
      <c r="B498" s="50" t="str">
        <f>Source!E176</f>
        <v>32</v>
      </c>
      <c r="C498" s="50" t="str">
        <f>Source!G176</f>
        <v>Перевозка грузов I класса автомобилями бортовыми грузоподъемностью до 15 т на расстояние до 15 км</v>
      </c>
      <c r="D498" s="50" t="str">
        <f>Source!F176</f>
        <v>т03-01-01-015</v>
      </c>
      <c r="E498" s="33" t="str">
        <f>Source!H176</f>
        <v>1 Т ГРУЗА</v>
      </c>
      <c r="F498" s="14">
        <f>Source!I176</f>
        <v>1.5</v>
      </c>
      <c r="G498" s="24">
        <f>Source!AB176</f>
        <v>14.03</v>
      </c>
      <c r="H498" s="25">
        <f>Source!GM176</f>
        <v>127.95</v>
      </c>
      <c r="T498">
        <f>Source!GM176</f>
        <v>127.95</v>
      </c>
      <c r="U498">
        <f>Source!P176</f>
        <v>0</v>
      </c>
      <c r="V498">
        <f>Source!S176</f>
        <v>0</v>
      </c>
      <c r="W498">
        <f>Source!Q176</f>
        <v>0</v>
      </c>
      <c r="X498">
        <f>Source!R176</f>
        <v>0</v>
      </c>
      <c r="Y498">
        <f>Source!U176</f>
        <v>0</v>
      </c>
      <c r="Z498">
        <f>Source!V176</f>
        <v>0</v>
      </c>
      <c r="AA498">
        <f>Source!X176</f>
        <v>0</v>
      </c>
      <c r="AB498">
        <f>Source!Y176</f>
        <v>0</v>
      </c>
    </row>
    <row r="499" spans="1:28" ht="14.25" x14ac:dyDescent="0.2">
      <c r="C499" s="26" t="s">
        <v>211</v>
      </c>
      <c r="D499" s="26">
        <f>Source!AZ176</f>
        <v>6.08</v>
      </c>
      <c r="F499" s="14"/>
      <c r="G499" s="14"/>
      <c r="H499" s="14"/>
    </row>
    <row r="501" spans="1:28" ht="15" x14ac:dyDescent="0.25">
      <c r="A501" s="63"/>
      <c r="B501" s="63"/>
      <c r="C501" s="72" t="str">
        <f>CONCATENATE("Итого по разделу: ",IF(Source!G178&lt;&gt;"Новый раздел", Source!G178, ""))</f>
        <v>Итого по разделу: Сантехнические работы</v>
      </c>
      <c r="D501" s="72"/>
      <c r="E501" s="72"/>
      <c r="F501" s="72"/>
      <c r="G501" s="63"/>
      <c r="H501" s="64">
        <f>IF(SUM(T387:T500)=0, "-", SUM(T387:T500))</f>
        <v>4190.91</v>
      </c>
    </row>
    <row r="502" spans="1:28" ht="15" x14ac:dyDescent="0.25">
      <c r="A502" s="63"/>
      <c r="B502" s="63"/>
      <c r="C502" s="63"/>
      <c r="D502" s="63"/>
      <c r="E502" s="63"/>
      <c r="F502" s="63"/>
      <c r="G502" s="63"/>
      <c r="H502" s="63"/>
    </row>
    <row r="504" spans="1:28" ht="14.25" x14ac:dyDescent="0.2">
      <c r="C504" s="87" t="str">
        <f>Source!H206</f>
        <v>Всего</v>
      </c>
      <c r="D504" s="87"/>
      <c r="E504" s="87"/>
      <c r="F504" s="87"/>
      <c r="G504" s="75">
        <f>IF(Source!P206=0, "", Source!P206)</f>
        <v>4190.91</v>
      </c>
      <c r="H504" s="75"/>
    </row>
    <row r="505" spans="1:28" ht="14.25" x14ac:dyDescent="0.2">
      <c r="C505" s="87" t="str">
        <f>Source!H207</f>
        <v>Итого НДС 18%</v>
      </c>
      <c r="D505" s="87"/>
      <c r="E505" s="87"/>
      <c r="F505" s="87"/>
      <c r="G505" s="75">
        <f>IF(Source!P207=0, "", Source!P207)</f>
        <v>754.36</v>
      </c>
      <c r="H505" s="75"/>
    </row>
    <row r="506" spans="1:28" ht="14.25" x14ac:dyDescent="0.2">
      <c r="C506" s="87" t="str">
        <f>Source!H208</f>
        <v>Всего по смете</v>
      </c>
      <c r="D506" s="87"/>
      <c r="E506" s="87"/>
      <c r="F506" s="87"/>
      <c r="G506" s="75">
        <f>IF(Source!P208=0, "", Source!P208)</f>
        <v>4945.2700000000004</v>
      </c>
      <c r="H506" s="75"/>
    </row>
    <row r="508" spans="1:28" ht="15" x14ac:dyDescent="0.25">
      <c r="A508" s="63"/>
      <c r="B508" s="63"/>
      <c r="C508" s="72" t="str">
        <f>CONCATENATE("Итого по локальной смете: ",IF(Source!G210&lt;&gt;"Новая локальная смета", Source!G210, ""))</f>
        <v xml:space="preserve">Итого по локальной смете: </v>
      </c>
      <c r="D508" s="72"/>
      <c r="E508" s="72"/>
      <c r="F508" s="72"/>
      <c r="G508" s="63"/>
      <c r="H508" s="64">
        <f>IF(SUM(T37:T507)=0, "-", SUM(T37:T507))</f>
        <v>1160549.2300000007</v>
      </c>
    </row>
    <row r="509" spans="1:28" ht="15" x14ac:dyDescent="0.25">
      <c r="A509" s="63"/>
      <c r="B509" s="63"/>
      <c r="C509" s="63"/>
      <c r="D509" s="63"/>
      <c r="E509" s="63"/>
      <c r="F509" s="63"/>
      <c r="G509" s="63"/>
      <c r="H509" s="63"/>
    </row>
    <row r="511" spans="1:28" ht="14.25" x14ac:dyDescent="0.2">
      <c r="C511" s="87" t="str">
        <f>Source!H238</f>
        <v>Всего</v>
      </c>
      <c r="D511" s="87"/>
      <c r="E511" s="87"/>
      <c r="F511" s="87"/>
      <c r="G511" s="75">
        <f>IF(Source!P238=0, "", Source!P238)</f>
        <v>1160549.23</v>
      </c>
      <c r="H511" s="75"/>
    </row>
    <row r="512" spans="1:28" ht="14.25" x14ac:dyDescent="0.2">
      <c r="C512" s="87" t="str">
        <f>Source!H239</f>
        <v>Итого НДС 18%</v>
      </c>
      <c r="D512" s="87"/>
      <c r="E512" s="87"/>
      <c r="F512" s="87"/>
      <c r="G512" s="75">
        <f>IF(Source!P239=0, "", Source!P239)</f>
        <v>208898.86</v>
      </c>
      <c r="H512" s="75"/>
    </row>
    <row r="513" spans="1:33" ht="14.25" x14ac:dyDescent="0.2">
      <c r="C513" s="87" t="str">
        <f>Source!H240</f>
        <v>Всего по смете</v>
      </c>
      <c r="D513" s="87"/>
      <c r="E513" s="87"/>
      <c r="F513" s="87"/>
      <c r="G513" s="75">
        <f>IF(Source!P240=0, "", Source!P240)</f>
        <v>1369448.09</v>
      </c>
      <c r="H513" s="75"/>
    </row>
    <row r="515" spans="1:33" ht="30" x14ac:dyDescent="0.25">
      <c r="A515" s="63"/>
      <c r="B515" s="63"/>
      <c r="C515" s="72" t="str">
        <f>CONCATENATE("Итого по смете: ",IF(Source!G242&lt;&gt;"Новый объект", Source!G242, ""))</f>
        <v>Итого по смете: Капитальный помещений №58,59 1-го этажа учебного корпуса СФТИ НИЯУ мИФИ</v>
      </c>
      <c r="D515" s="72"/>
      <c r="E515" s="72"/>
      <c r="F515" s="72"/>
      <c r="G515" s="63"/>
      <c r="H515" s="64">
        <f>IF(SUM(T1:T514)=0, "-", SUM(T1:T514))</f>
        <v>1160549.2300000007</v>
      </c>
      <c r="AG515" s="54" t="str">
        <f>CONCATENATE("Итого по смете: ",IF(Source!G242&lt;&gt;"Новый объект", Source!G242, ""))</f>
        <v>Итого по смете: Капитальный помещений №58,59 1-го этажа учебного корпуса СФТИ НИЯУ мИФИ</v>
      </c>
    </row>
    <row r="516" spans="1:33" ht="15" x14ac:dyDescent="0.25">
      <c r="A516" s="63"/>
      <c r="B516" s="63"/>
      <c r="C516" s="63"/>
      <c r="D516" s="63"/>
      <c r="E516" s="63"/>
      <c r="F516" s="63"/>
      <c r="G516" s="63"/>
      <c r="H516" s="63"/>
    </row>
    <row r="517" spans="1:33" ht="14.25" x14ac:dyDescent="0.2">
      <c r="C517" s="87" t="str">
        <f>Source!H270</f>
        <v>Всего</v>
      </c>
      <c r="D517" s="87"/>
      <c r="E517" s="87"/>
      <c r="F517" s="87"/>
      <c r="G517" s="75">
        <f>IF(Source!P270=0, "", Source!P270)</f>
        <v>1160549.23</v>
      </c>
      <c r="H517" s="75"/>
    </row>
    <row r="518" spans="1:33" ht="14.25" x14ac:dyDescent="0.2">
      <c r="C518" s="87" t="str">
        <f>Source!H271</f>
        <v>Итого НДС 18%</v>
      </c>
      <c r="D518" s="87"/>
      <c r="E518" s="87"/>
      <c r="F518" s="87"/>
      <c r="G518" s="75">
        <f>IF(Source!P271=0, "", Source!P271)</f>
        <v>208898.86</v>
      </c>
      <c r="H518" s="75"/>
    </row>
    <row r="519" spans="1:33" ht="14.25" x14ac:dyDescent="0.2">
      <c r="C519" s="87" t="str">
        <f>Source!H272</f>
        <v>Всего по смете</v>
      </c>
      <c r="D519" s="87"/>
      <c r="E519" s="87"/>
      <c r="F519" s="87"/>
      <c r="G519" s="75">
        <f>IF(Source!P272=0, "", Source!P272)</f>
        <v>1369448.09</v>
      </c>
      <c r="H519" s="75"/>
    </row>
    <row r="522" spans="1:33" ht="15" thickBot="1" x14ac:dyDescent="0.25">
      <c r="A522" s="84" t="s">
        <v>212</v>
      </c>
      <c r="B522" s="84"/>
      <c r="C522" s="65" t="str">
        <f>IF(Source!AC12&lt;&gt;"", Source!AC12," ")</f>
        <v xml:space="preserve"> </v>
      </c>
      <c r="D522" s="14"/>
      <c r="E522" s="66"/>
      <c r="F522" s="14"/>
      <c r="G522" s="85" t="str">
        <f>IF(Source!AB12&lt;&gt;"", Source!AB12," ")</f>
        <v xml:space="preserve"> </v>
      </c>
      <c r="H522" s="85"/>
      <c r="I522" s="14"/>
      <c r="J522" s="14"/>
      <c r="K522" s="14"/>
      <c r="L522" s="14"/>
    </row>
    <row r="523" spans="1:33" ht="14.25" x14ac:dyDescent="0.2">
      <c r="A523" s="14"/>
      <c r="B523" s="14"/>
      <c r="C523" s="67" t="s">
        <v>213</v>
      </c>
      <c r="D523" s="14"/>
      <c r="E523" s="67" t="s">
        <v>214</v>
      </c>
      <c r="F523" s="14"/>
      <c r="G523" s="86" t="s">
        <v>215</v>
      </c>
      <c r="H523" s="86"/>
      <c r="I523" s="14"/>
      <c r="J523" s="14"/>
      <c r="K523" s="14"/>
      <c r="L523" s="14"/>
    </row>
    <row r="524" spans="1:33" ht="14.25" x14ac:dyDescent="0.2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</row>
    <row r="525" spans="1:33" ht="14.25" x14ac:dyDescent="0.2">
      <c r="A525" s="14"/>
      <c r="B525" s="14"/>
      <c r="C525" s="15" t="s">
        <v>216</v>
      </c>
      <c r="D525" s="14"/>
      <c r="E525" s="14"/>
      <c r="F525" s="14"/>
      <c r="G525" s="14"/>
      <c r="H525" s="14"/>
      <c r="I525" s="14"/>
      <c r="J525" s="14"/>
      <c r="K525" s="14"/>
      <c r="L525" s="14"/>
    </row>
    <row r="526" spans="1:33" ht="14.25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</row>
    <row r="527" spans="1:33" ht="15" thickBot="1" x14ac:dyDescent="0.25">
      <c r="A527" s="84" t="s">
        <v>217</v>
      </c>
      <c r="B527" s="84"/>
      <c r="C527" s="65" t="str">
        <f>IF(Source!AG12&lt;&gt;"", Source!AG12," ")</f>
        <v xml:space="preserve"> </v>
      </c>
      <c r="D527" s="14"/>
      <c r="E527" s="66"/>
      <c r="F527" s="14"/>
      <c r="G527" s="85" t="str">
        <f>IF(Source!AF12&lt;&gt;"", Source!AF12," ")</f>
        <v xml:space="preserve"> </v>
      </c>
      <c r="H527" s="85"/>
      <c r="I527" s="14"/>
      <c r="J527" s="14"/>
      <c r="K527" s="14"/>
      <c r="L527" s="14"/>
    </row>
    <row r="528" spans="1:33" ht="14.25" x14ac:dyDescent="0.2">
      <c r="A528" s="14"/>
      <c r="B528" s="14"/>
      <c r="C528" s="67" t="s">
        <v>213</v>
      </c>
      <c r="D528" s="14"/>
      <c r="E528" s="67" t="s">
        <v>214</v>
      </c>
      <c r="F528" s="14"/>
      <c r="G528" s="86" t="s">
        <v>215</v>
      </c>
      <c r="H528" s="86"/>
      <c r="I528" s="14"/>
      <c r="J528" s="14"/>
      <c r="K528" s="14"/>
      <c r="L528" s="14"/>
    </row>
    <row r="529" spans="1:12" ht="14.25" x14ac:dyDescent="0.2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</row>
    <row r="530" spans="1:12" ht="14.25" x14ac:dyDescent="0.2">
      <c r="A530" s="14"/>
      <c r="B530" s="14"/>
      <c r="C530" s="15" t="s">
        <v>216</v>
      </c>
      <c r="D530" s="14"/>
      <c r="E530" s="14"/>
      <c r="F530" s="14"/>
      <c r="G530" s="14"/>
      <c r="H530" s="14"/>
      <c r="I530" s="14"/>
      <c r="J530" s="14"/>
      <c r="K530" s="14"/>
      <c r="L530" s="14"/>
    </row>
  </sheetData>
  <mergeCells count="161">
    <mergeCell ref="C13:E13"/>
    <mergeCell ref="E2:H2"/>
    <mergeCell ref="E3:H3"/>
    <mergeCell ref="E4:H4"/>
    <mergeCell ref="G6:H6"/>
    <mergeCell ref="C10:E10"/>
    <mergeCell ref="G21:H21"/>
    <mergeCell ref="C14:E14"/>
    <mergeCell ref="G14:H15"/>
    <mergeCell ref="C15:E15"/>
    <mergeCell ref="G20:H20"/>
    <mergeCell ref="C16:E16"/>
    <mergeCell ref="G16:H17"/>
    <mergeCell ref="C17:E17"/>
    <mergeCell ref="D19:F19"/>
    <mergeCell ref="G19:H19"/>
    <mergeCell ref="G7:H7"/>
    <mergeCell ref="G8:H9"/>
    <mergeCell ref="C9:E9"/>
    <mergeCell ref="C18:E18"/>
    <mergeCell ref="D20:E20"/>
    <mergeCell ref="G10:H11"/>
    <mergeCell ref="C11:E11"/>
    <mergeCell ref="C12:E12"/>
    <mergeCell ref="G12:H13"/>
    <mergeCell ref="D130:H130"/>
    <mergeCell ref="D50:H50"/>
    <mergeCell ref="D110:H110"/>
    <mergeCell ref="D154:H154"/>
    <mergeCell ref="D131:H131"/>
    <mergeCell ref="G22:H22"/>
    <mergeCell ref="D24:D25"/>
    <mergeCell ref="E24:E25"/>
    <mergeCell ref="F24:G24"/>
    <mergeCell ref="F31:G31"/>
    <mergeCell ref="F33:H33"/>
    <mergeCell ref="A28:H28"/>
    <mergeCell ref="A37:H37"/>
    <mergeCell ref="A39:H39"/>
    <mergeCell ref="A33:B33"/>
    <mergeCell ref="C33:C34"/>
    <mergeCell ref="D33:D34"/>
    <mergeCell ref="E33:E34"/>
    <mergeCell ref="D48:H48"/>
    <mergeCell ref="D49:H49"/>
    <mergeCell ref="D46:H46"/>
    <mergeCell ref="D47:H47"/>
    <mergeCell ref="A29:H29"/>
    <mergeCell ref="D111:H111"/>
    <mergeCell ref="D112:H112"/>
    <mergeCell ref="D113:H113"/>
    <mergeCell ref="D114:H114"/>
    <mergeCell ref="D115:H115"/>
    <mergeCell ref="D126:H126"/>
    <mergeCell ref="D127:H127"/>
    <mergeCell ref="D128:H128"/>
    <mergeCell ref="D129:H129"/>
    <mergeCell ref="D174:H174"/>
    <mergeCell ref="D175:H175"/>
    <mergeCell ref="D176:H176"/>
    <mergeCell ref="D201:H201"/>
    <mergeCell ref="D157:H157"/>
    <mergeCell ref="D158:H158"/>
    <mergeCell ref="D172:H172"/>
    <mergeCell ref="D173:H173"/>
    <mergeCell ref="D155:H155"/>
    <mergeCell ref="D156:H156"/>
    <mergeCell ref="D253:H253"/>
    <mergeCell ref="D254:H254"/>
    <mergeCell ref="D232:H232"/>
    <mergeCell ref="D233:H233"/>
    <mergeCell ref="D234:H234"/>
    <mergeCell ref="D235:H235"/>
    <mergeCell ref="D202:H202"/>
    <mergeCell ref="D203:H203"/>
    <mergeCell ref="D204:H204"/>
    <mergeCell ref="D205:H205"/>
    <mergeCell ref="D236:H236"/>
    <mergeCell ref="D252:H252"/>
    <mergeCell ref="D301:H301"/>
    <mergeCell ref="D302:H302"/>
    <mergeCell ref="D282:H282"/>
    <mergeCell ref="D283:H283"/>
    <mergeCell ref="D284:H284"/>
    <mergeCell ref="D298:H298"/>
    <mergeCell ref="D255:H255"/>
    <mergeCell ref="D256:H256"/>
    <mergeCell ref="D280:H280"/>
    <mergeCell ref="D281:H281"/>
    <mergeCell ref="D299:H299"/>
    <mergeCell ref="D300:H300"/>
    <mergeCell ref="D363:H363"/>
    <mergeCell ref="D364:H364"/>
    <mergeCell ref="D331:H331"/>
    <mergeCell ref="D346:H346"/>
    <mergeCell ref="D347:H347"/>
    <mergeCell ref="D348:H348"/>
    <mergeCell ref="D327:H327"/>
    <mergeCell ref="D328:H328"/>
    <mergeCell ref="D329:H329"/>
    <mergeCell ref="D330:H330"/>
    <mergeCell ref="D349:H349"/>
    <mergeCell ref="D350:H350"/>
    <mergeCell ref="A387:H387"/>
    <mergeCell ref="D430:H430"/>
    <mergeCell ref="C383:F383"/>
    <mergeCell ref="G383:H383"/>
    <mergeCell ref="C384:F384"/>
    <mergeCell ref="G384:H384"/>
    <mergeCell ref="D365:H365"/>
    <mergeCell ref="D366:H366"/>
    <mergeCell ref="D367:H367"/>
    <mergeCell ref="C380:F380"/>
    <mergeCell ref="C385:F385"/>
    <mergeCell ref="G385:H385"/>
    <mergeCell ref="D431:H431"/>
    <mergeCell ref="D432:H432"/>
    <mergeCell ref="D433:H433"/>
    <mergeCell ref="D434:H434"/>
    <mergeCell ref="C511:F511"/>
    <mergeCell ref="G511:H511"/>
    <mergeCell ref="D486:H486"/>
    <mergeCell ref="D487:H487"/>
    <mergeCell ref="D485:H485"/>
    <mergeCell ref="D448:H448"/>
    <mergeCell ref="D449:H449"/>
    <mergeCell ref="C508:F508"/>
    <mergeCell ref="D450:H450"/>
    <mergeCell ref="D451:H451"/>
    <mergeCell ref="D452:H452"/>
    <mergeCell ref="D466:H466"/>
    <mergeCell ref="D467:H467"/>
    <mergeCell ref="D468:H468"/>
    <mergeCell ref="D469:H469"/>
    <mergeCell ref="D470:H470"/>
    <mergeCell ref="C512:F512"/>
    <mergeCell ref="G512:H512"/>
    <mergeCell ref="G528:H528"/>
    <mergeCell ref="C519:F519"/>
    <mergeCell ref="G519:H519"/>
    <mergeCell ref="D484:H484"/>
    <mergeCell ref="C505:F505"/>
    <mergeCell ref="G505:H505"/>
    <mergeCell ref="C506:F506"/>
    <mergeCell ref="G506:H506"/>
    <mergeCell ref="D488:H488"/>
    <mergeCell ref="C501:F501"/>
    <mergeCell ref="C504:F504"/>
    <mergeCell ref="G504:H504"/>
    <mergeCell ref="A522:B522"/>
    <mergeCell ref="G522:H522"/>
    <mergeCell ref="G523:H523"/>
    <mergeCell ref="A527:B527"/>
    <mergeCell ref="G527:H527"/>
    <mergeCell ref="C513:F513"/>
    <mergeCell ref="G513:H513"/>
    <mergeCell ref="C515:F515"/>
    <mergeCell ref="C517:F517"/>
    <mergeCell ref="G517:H517"/>
    <mergeCell ref="C518:F518"/>
    <mergeCell ref="G518:H518"/>
  </mergeCells>
  <phoneticPr fontId="0" type="noConversion"/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09"/>
  <sheetViews>
    <sheetView topLeftCell="A55" workbookViewId="0">
      <selection activeCell="I85" sqref="I85"/>
    </sheetView>
  </sheetViews>
  <sheetFormatPr defaultRowHeight="12.75" x14ac:dyDescent="0.2"/>
  <sheetData>
    <row r="1" spans="1:133" x14ac:dyDescent="0.2">
      <c r="A1">
        <v>0</v>
      </c>
      <c r="B1" t="s">
        <v>220</v>
      </c>
      <c r="D1" t="s">
        <v>221</v>
      </c>
      <c r="F1">
        <v>0</v>
      </c>
      <c r="G1">
        <v>0</v>
      </c>
      <c r="H1">
        <v>0</v>
      </c>
      <c r="I1" t="s">
        <v>222</v>
      </c>
      <c r="J1" t="s">
        <v>223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303</v>
      </c>
      <c r="C12" s="1">
        <v>0</v>
      </c>
      <c r="D12" s="1">
        <f>ROW(A242)</f>
        <v>242</v>
      </c>
      <c r="E12" s="1">
        <v>0</v>
      </c>
      <c r="F12" s="1" t="s">
        <v>224</v>
      </c>
      <c r="G12" s="1" t="s">
        <v>225</v>
      </c>
      <c r="H12" s="1" t="s">
        <v>224</v>
      </c>
      <c r="I12" s="1">
        <v>0</v>
      </c>
      <c r="J12" s="1" t="s">
        <v>224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224</v>
      </c>
      <c r="V12" s="1">
        <v>0</v>
      </c>
      <c r="W12" s="1" t="s">
        <v>224</v>
      </c>
      <c r="X12" s="1" t="s">
        <v>224</v>
      </c>
      <c r="Y12" s="1" t="s">
        <v>224</v>
      </c>
      <c r="Z12" s="1" t="s">
        <v>224</v>
      </c>
      <c r="AA12" s="1" t="s">
        <v>224</v>
      </c>
      <c r="AB12" s="1" t="s">
        <v>224</v>
      </c>
      <c r="AC12" s="1" t="s">
        <v>224</v>
      </c>
      <c r="AD12" s="1" t="s">
        <v>224</v>
      </c>
      <c r="AE12" s="1" t="s">
        <v>224</v>
      </c>
      <c r="AF12" s="1" t="s">
        <v>224</v>
      </c>
      <c r="AG12" s="1" t="s">
        <v>224</v>
      </c>
      <c r="AH12" s="1" t="s">
        <v>224</v>
      </c>
      <c r="AI12" s="1" t="s">
        <v>224</v>
      </c>
      <c r="AJ12" s="1" t="s">
        <v>224</v>
      </c>
      <c r="AK12" s="1"/>
      <c r="AL12" s="1" t="s">
        <v>224</v>
      </c>
      <c r="AM12" s="1" t="s">
        <v>224</v>
      </c>
      <c r="AN12" s="1" t="s">
        <v>224</v>
      </c>
      <c r="AO12" s="1"/>
      <c r="AP12" s="1" t="s">
        <v>224</v>
      </c>
      <c r="AQ12" s="1" t="s">
        <v>224</v>
      </c>
      <c r="AR12" s="1" t="s">
        <v>224</v>
      </c>
      <c r="AS12" s="1"/>
      <c r="AT12" s="1"/>
      <c r="AU12" s="1"/>
      <c r="AV12" s="1"/>
      <c r="AW12" s="1"/>
      <c r="AX12" s="1" t="s">
        <v>224</v>
      </c>
      <c r="AY12" s="1" t="s">
        <v>224</v>
      </c>
      <c r="AZ12" s="1" t="s">
        <v>224</v>
      </c>
      <c r="BA12" s="1"/>
      <c r="BB12" s="1"/>
      <c r="BC12" s="1"/>
      <c r="BD12" s="1"/>
      <c r="BE12" s="1"/>
      <c r="BF12" s="1"/>
      <c r="BG12" s="1"/>
      <c r="BH12" s="1" t="s">
        <v>226</v>
      </c>
      <c r="BI12" s="1" t="s">
        <v>227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228</v>
      </c>
      <c r="BZ12" s="1" t="s">
        <v>229</v>
      </c>
      <c r="CA12" s="1" t="s">
        <v>228</v>
      </c>
      <c r="CB12" s="1" t="s">
        <v>228</v>
      </c>
      <c r="CC12" s="1" t="s">
        <v>228</v>
      </c>
      <c r="CD12" s="1" t="s">
        <v>228</v>
      </c>
      <c r="CE12" s="1" t="s">
        <v>230</v>
      </c>
      <c r="CF12" s="1">
        <v>0</v>
      </c>
      <c r="CG12" s="1">
        <v>0</v>
      </c>
      <c r="CH12" s="1">
        <v>524296</v>
      </c>
      <c r="CI12" s="1" t="s">
        <v>224</v>
      </c>
      <c r="CJ12" s="1" t="s">
        <v>224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B242</f>
        <v>303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/>
      </c>
      <c r="G18" s="3" t="str">
        <f t="shared" si="0"/>
        <v>Капитальный помещений №58,59 1-го этажа учебного корпуса СФТИ НИЯУ мИФИ</v>
      </c>
      <c r="H18" s="3"/>
      <c r="I18" s="3"/>
      <c r="J18" s="3"/>
      <c r="K18" s="3"/>
      <c r="L18" s="3"/>
      <c r="M18" s="3"/>
      <c r="N18" s="3"/>
      <c r="O18" s="3">
        <f t="shared" ref="O18:AT18" si="1">O242</f>
        <v>161479.15</v>
      </c>
      <c r="P18" s="3">
        <f t="shared" si="1"/>
        <v>138633.99</v>
      </c>
      <c r="Q18" s="3">
        <f t="shared" si="1"/>
        <v>4287.95</v>
      </c>
      <c r="R18" s="3">
        <f t="shared" si="1"/>
        <v>442.91</v>
      </c>
      <c r="S18" s="3">
        <f t="shared" si="1"/>
        <v>18557.21</v>
      </c>
      <c r="T18" s="3">
        <f t="shared" si="1"/>
        <v>0</v>
      </c>
      <c r="U18" s="3">
        <f t="shared" si="1"/>
        <v>2069.8959829999994</v>
      </c>
      <c r="V18" s="3">
        <f t="shared" si="1"/>
        <v>39.731349999999999</v>
      </c>
      <c r="W18" s="3">
        <f t="shared" si="1"/>
        <v>0</v>
      </c>
      <c r="X18" s="3">
        <f t="shared" si="1"/>
        <v>19252.82</v>
      </c>
      <c r="Y18" s="3">
        <f t="shared" si="1"/>
        <v>10303.36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191120.85</v>
      </c>
      <c r="AS18" s="3">
        <f t="shared" si="1"/>
        <v>191120.85</v>
      </c>
      <c r="AT18" s="3">
        <f t="shared" si="1"/>
        <v>0</v>
      </c>
      <c r="AU18" s="3">
        <f t="shared" ref="AU18:BZ18" si="2">AU242</f>
        <v>0</v>
      </c>
      <c r="AV18" s="3">
        <f t="shared" si="2"/>
        <v>138633.99</v>
      </c>
      <c r="AW18" s="3">
        <f t="shared" si="2"/>
        <v>138633.99</v>
      </c>
      <c r="AX18" s="3">
        <f t="shared" si="2"/>
        <v>0</v>
      </c>
      <c r="AY18" s="3">
        <f t="shared" si="2"/>
        <v>138633.99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CA242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DG242</f>
        <v>980472.18</v>
      </c>
      <c r="DH18" s="4">
        <f t="shared" si="4"/>
        <v>841655.93</v>
      </c>
      <c r="DI18" s="4">
        <f t="shared" si="4"/>
        <v>26070.76</v>
      </c>
      <c r="DJ18" s="4">
        <f t="shared" si="4"/>
        <v>2692.78</v>
      </c>
      <c r="DK18" s="4">
        <f t="shared" si="4"/>
        <v>112745.49</v>
      </c>
      <c r="DL18" s="4">
        <f t="shared" si="4"/>
        <v>0</v>
      </c>
      <c r="DM18" s="4">
        <f t="shared" si="4"/>
        <v>2068.3459669999993</v>
      </c>
      <c r="DN18" s="4">
        <f t="shared" si="4"/>
        <v>39.731349999999999</v>
      </c>
      <c r="DO18" s="4">
        <f t="shared" si="4"/>
        <v>0</v>
      </c>
      <c r="DP18" s="4">
        <f t="shared" si="4"/>
        <v>116965.52</v>
      </c>
      <c r="DQ18" s="4">
        <f t="shared" si="4"/>
        <v>62591.6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1160549.23</v>
      </c>
      <c r="EK18" s="4">
        <f t="shared" si="4"/>
        <v>1160549.23</v>
      </c>
      <c r="EL18" s="4">
        <f t="shared" si="4"/>
        <v>0</v>
      </c>
      <c r="EM18" s="4">
        <f t="shared" ref="EM18:FR18" si="5">EM242</f>
        <v>0</v>
      </c>
      <c r="EN18" s="4">
        <f t="shared" si="5"/>
        <v>841655.93</v>
      </c>
      <c r="EO18" s="4">
        <f t="shared" si="5"/>
        <v>841655.93</v>
      </c>
      <c r="EP18" s="4">
        <f t="shared" si="5"/>
        <v>0</v>
      </c>
      <c r="EQ18" s="4">
        <f t="shared" si="5"/>
        <v>841655.93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FS242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ROW(A210)</f>
        <v>210</v>
      </c>
      <c r="E20" s="1"/>
      <c r="F20" s="1" t="s">
        <v>231</v>
      </c>
      <c r="G20" s="1" t="s">
        <v>231</v>
      </c>
      <c r="H20" s="1" t="s">
        <v>224</v>
      </c>
      <c r="I20" s="1">
        <v>0</v>
      </c>
      <c r="J20" s="1" t="s">
        <v>224</v>
      </c>
      <c r="K20" s="1">
        <v>0</v>
      </c>
      <c r="L20" s="1" t="s">
        <v>224</v>
      </c>
      <c r="M20" s="1"/>
      <c r="N20" s="1"/>
      <c r="O20" s="1"/>
      <c r="P20" s="1"/>
      <c r="Q20" s="1"/>
      <c r="R20" s="1"/>
      <c r="S20" s="1"/>
      <c r="T20" s="1"/>
      <c r="U20" s="1" t="s">
        <v>224</v>
      </c>
      <c r="V20" s="1">
        <v>0</v>
      </c>
      <c r="W20" s="1"/>
      <c r="X20" s="1"/>
      <c r="Y20" s="1"/>
      <c r="Z20" s="1"/>
      <c r="AA20" s="1"/>
      <c r="AB20" s="1" t="s">
        <v>224</v>
      </c>
      <c r="AC20" s="1" t="s">
        <v>224</v>
      </c>
      <c r="AD20" s="1" t="s">
        <v>224</v>
      </c>
      <c r="AE20" s="1" t="s">
        <v>224</v>
      </c>
      <c r="AF20" s="1" t="s">
        <v>224</v>
      </c>
      <c r="AG20" s="1" t="s">
        <v>224</v>
      </c>
      <c r="AH20" s="1"/>
      <c r="AI20" s="1"/>
      <c r="AJ20" s="1"/>
      <c r="AK20" s="1"/>
      <c r="AL20" s="1"/>
      <c r="AM20" s="1"/>
      <c r="AN20" s="1"/>
      <c r="AO20" s="1"/>
      <c r="AP20" s="1" t="s">
        <v>224</v>
      </c>
      <c r="AQ20" s="1" t="s">
        <v>224</v>
      </c>
      <c r="AR20" s="1" t="s">
        <v>224</v>
      </c>
      <c r="AS20" s="1"/>
      <c r="AT20" s="1"/>
      <c r="AU20" s="1"/>
      <c r="AV20" s="1"/>
      <c r="AW20" s="1"/>
      <c r="AX20" s="1"/>
      <c r="AY20" s="1"/>
      <c r="AZ20" s="1" t="s">
        <v>224</v>
      </c>
      <c r="BA20" s="1"/>
      <c r="BB20" s="1" t="s">
        <v>224</v>
      </c>
      <c r="BC20" s="1" t="s">
        <v>224</v>
      </c>
      <c r="BD20" s="1" t="s">
        <v>224</v>
      </c>
      <c r="BE20" s="1" t="s">
        <v>224</v>
      </c>
      <c r="BF20" s="1" t="s">
        <v>224</v>
      </c>
      <c r="BG20" s="1" t="s">
        <v>224</v>
      </c>
      <c r="BH20" s="1" t="s">
        <v>224</v>
      </c>
      <c r="BI20" s="1" t="s">
        <v>224</v>
      </c>
      <c r="BJ20" s="1" t="s">
        <v>224</v>
      </c>
      <c r="BK20" s="1" t="s">
        <v>224</v>
      </c>
      <c r="BL20" s="1" t="s">
        <v>224</v>
      </c>
      <c r="BM20" s="1" t="s">
        <v>224</v>
      </c>
      <c r="BN20" s="1" t="s">
        <v>224</v>
      </c>
      <c r="BO20" s="1" t="s">
        <v>224</v>
      </c>
      <c r="BP20" s="1" t="s">
        <v>224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224</v>
      </c>
      <c r="CJ20" s="1" t="s">
        <v>224</v>
      </c>
    </row>
    <row r="22" spans="1:255" x14ac:dyDescent="0.2">
      <c r="A22" s="3">
        <v>52</v>
      </c>
      <c r="B22" s="3">
        <f t="shared" ref="B22:G22" si="7">B210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O210</f>
        <v>161479.15</v>
      </c>
      <c r="P22" s="3">
        <f t="shared" si="8"/>
        <v>138633.99</v>
      </c>
      <c r="Q22" s="3">
        <f t="shared" si="8"/>
        <v>4287.95</v>
      </c>
      <c r="R22" s="3">
        <f t="shared" si="8"/>
        <v>442.91</v>
      </c>
      <c r="S22" s="3">
        <f t="shared" si="8"/>
        <v>18557.21</v>
      </c>
      <c r="T22" s="3">
        <f t="shared" si="8"/>
        <v>0</v>
      </c>
      <c r="U22" s="3">
        <f t="shared" si="8"/>
        <v>2069.8959829999994</v>
      </c>
      <c r="V22" s="3">
        <f t="shared" si="8"/>
        <v>39.731349999999999</v>
      </c>
      <c r="W22" s="3">
        <f t="shared" si="8"/>
        <v>0</v>
      </c>
      <c r="X22" s="3">
        <f t="shared" si="8"/>
        <v>19252.82</v>
      </c>
      <c r="Y22" s="3">
        <f t="shared" si="8"/>
        <v>10303.36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191120.85</v>
      </c>
      <c r="AS22" s="3">
        <f t="shared" si="8"/>
        <v>191120.85</v>
      </c>
      <c r="AT22" s="3">
        <f t="shared" si="8"/>
        <v>0</v>
      </c>
      <c r="AU22" s="3">
        <f t="shared" ref="AU22:BZ22" si="9">AU210</f>
        <v>0</v>
      </c>
      <c r="AV22" s="3">
        <f t="shared" si="9"/>
        <v>138633.99</v>
      </c>
      <c r="AW22" s="3">
        <f t="shared" si="9"/>
        <v>138633.99</v>
      </c>
      <c r="AX22" s="3">
        <f t="shared" si="9"/>
        <v>0</v>
      </c>
      <c r="AY22" s="3">
        <f t="shared" si="9"/>
        <v>138633.99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CA210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DG210</f>
        <v>980472.18</v>
      </c>
      <c r="DH22" s="4">
        <f t="shared" si="11"/>
        <v>841655.93</v>
      </c>
      <c r="DI22" s="4">
        <f t="shared" si="11"/>
        <v>26070.76</v>
      </c>
      <c r="DJ22" s="4">
        <f t="shared" si="11"/>
        <v>2692.78</v>
      </c>
      <c r="DK22" s="4">
        <f t="shared" si="11"/>
        <v>112745.49</v>
      </c>
      <c r="DL22" s="4">
        <f t="shared" si="11"/>
        <v>0</v>
      </c>
      <c r="DM22" s="4">
        <f t="shared" si="11"/>
        <v>2068.3459669999993</v>
      </c>
      <c r="DN22" s="4">
        <f t="shared" si="11"/>
        <v>39.731349999999999</v>
      </c>
      <c r="DO22" s="4">
        <f t="shared" si="11"/>
        <v>0</v>
      </c>
      <c r="DP22" s="4">
        <f t="shared" si="11"/>
        <v>116965.52</v>
      </c>
      <c r="DQ22" s="4">
        <f t="shared" si="11"/>
        <v>62591.6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1160549.23</v>
      </c>
      <c r="EK22" s="4">
        <f t="shared" si="11"/>
        <v>1160549.23</v>
      </c>
      <c r="EL22" s="4">
        <f t="shared" si="11"/>
        <v>0</v>
      </c>
      <c r="EM22" s="4">
        <f t="shared" ref="EM22:FR22" si="12">EM210</f>
        <v>0</v>
      </c>
      <c r="EN22" s="4">
        <f t="shared" si="12"/>
        <v>841655.93</v>
      </c>
      <c r="EO22" s="4">
        <f t="shared" si="12"/>
        <v>841655.93</v>
      </c>
      <c r="EP22" s="4">
        <f t="shared" si="12"/>
        <v>0</v>
      </c>
      <c r="EQ22" s="4">
        <f t="shared" si="12"/>
        <v>841655.93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FS210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ROW(A113)</f>
        <v>113</v>
      </c>
      <c r="E24" s="1"/>
      <c r="F24" s="1" t="s">
        <v>232</v>
      </c>
      <c r="G24" s="1" t="s">
        <v>233</v>
      </c>
      <c r="H24" s="1" t="s">
        <v>224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224</v>
      </c>
      <c r="V24" s="1">
        <v>0</v>
      </c>
      <c r="W24" s="1"/>
      <c r="X24" s="1"/>
      <c r="Y24" s="1"/>
      <c r="Z24" s="1"/>
      <c r="AA24" s="1"/>
      <c r="AB24" s="1" t="s">
        <v>224</v>
      </c>
      <c r="AC24" s="1" t="s">
        <v>224</v>
      </c>
      <c r="AD24" s="1" t="s">
        <v>224</v>
      </c>
      <c r="AE24" s="1" t="s">
        <v>224</v>
      </c>
      <c r="AF24" s="1" t="s">
        <v>224</v>
      </c>
      <c r="AG24" s="1" t="s">
        <v>224</v>
      </c>
      <c r="AH24" s="1"/>
      <c r="AI24" s="1"/>
      <c r="AJ24" s="1"/>
      <c r="AK24" s="1"/>
      <c r="AL24" s="1"/>
      <c r="AM24" s="1"/>
      <c r="AN24" s="1"/>
      <c r="AO24" s="1"/>
      <c r="AP24" s="1" t="s">
        <v>224</v>
      </c>
      <c r="AQ24" s="1" t="s">
        <v>224</v>
      </c>
      <c r="AR24" s="1" t="s">
        <v>224</v>
      </c>
      <c r="AS24" s="1"/>
      <c r="AT24" s="1"/>
      <c r="AU24" s="1"/>
      <c r="AV24" s="1"/>
      <c r="AW24" s="1"/>
      <c r="AX24" s="1"/>
      <c r="AY24" s="1"/>
      <c r="AZ24" s="1" t="s">
        <v>224</v>
      </c>
      <c r="BA24" s="1"/>
      <c r="BB24" s="1" t="s">
        <v>224</v>
      </c>
      <c r="BC24" s="1" t="s">
        <v>224</v>
      </c>
      <c r="BD24" s="1" t="s">
        <v>224</v>
      </c>
      <c r="BE24" s="1" t="s">
        <v>224</v>
      </c>
      <c r="BF24" s="1" t="s">
        <v>224</v>
      </c>
      <c r="BG24" s="1" t="s">
        <v>224</v>
      </c>
      <c r="BH24" s="1" t="s">
        <v>224</v>
      </c>
      <c r="BI24" s="1" t="s">
        <v>224</v>
      </c>
      <c r="BJ24" s="1" t="s">
        <v>224</v>
      </c>
      <c r="BK24" s="1" t="s">
        <v>224</v>
      </c>
      <c r="BL24" s="1" t="s">
        <v>224</v>
      </c>
      <c r="BM24" s="1" t="s">
        <v>224</v>
      </c>
      <c r="BN24" s="1" t="s">
        <v>224</v>
      </c>
      <c r="BO24" s="1" t="s">
        <v>224</v>
      </c>
      <c r="BP24" s="1" t="s">
        <v>224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B113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O113</f>
        <v>160949.64000000001</v>
      </c>
      <c r="P26" s="3">
        <f t="shared" si="15"/>
        <v>138151.51999999999</v>
      </c>
      <c r="Q26" s="3">
        <f t="shared" si="15"/>
        <v>4285.79</v>
      </c>
      <c r="R26" s="3">
        <f t="shared" si="15"/>
        <v>442.42</v>
      </c>
      <c r="S26" s="3">
        <f t="shared" si="15"/>
        <v>18512.330000000002</v>
      </c>
      <c r="T26" s="3">
        <f t="shared" si="15"/>
        <v>0</v>
      </c>
      <c r="U26" s="3">
        <f t="shared" si="15"/>
        <v>2065.0245179999993</v>
      </c>
      <c r="V26" s="3">
        <f t="shared" si="15"/>
        <v>39.692574999999998</v>
      </c>
      <c r="W26" s="3">
        <f t="shared" si="15"/>
        <v>0</v>
      </c>
      <c r="X26" s="3">
        <f t="shared" si="15"/>
        <v>19207.330000000002</v>
      </c>
      <c r="Y26" s="3">
        <f t="shared" si="15"/>
        <v>10274.56</v>
      </c>
      <c r="Z26" s="3">
        <f t="shared" si="15"/>
        <v>0</v>
      </c>
      <c r="AA26" s="3">
        <f t="shared" si="15"/>
        <v>0</v>
      </c>
      <c r="AB26" s="3">
        <f t="shared" si="15"/>
        <v>160949.64000000001</v>
      </c>
      <c r="AC26" s="3">
        <f t="shared" si="15"/>
        <v>138151.51999999999</v>
      </c>
      <c r="AD26" s="3">
        <f t="shared" si="15"/>
        <v>4285.79</v>
      </c>
      <c r="AE26" s="3">
        <f t="shared" si="15"/>
        <v>442.42</v>
      </c>
      <c r="AF26" s="3">
        <f t="shared" si="15"/>
        <v>18512.330000000002</v>
      </c>
      <c r="AG26" s="3">
        <f t="shared" si="15"/>
        <v>0</v>
      </c>
      <c r="AH26" s="3">
        <f t="shared" si="15"/>
        <v>2065.0245179999993</v>
      </c>
      <c r="AI26" s="3">
        <f t="shared" si="15"/>
        <v>39.692574999999998</v>
      </c>
      <c r="AJ26" s="3">
        <f t="shared" si="15"/>
        <v>0</v>
      </c>
      <c r="AK26" s="3">
        <f t="shared" si="15"/>
        <v>19207.330000000002</v>
      </c>
      <c r="AL26" s="3">
        <f t="shared" si="15"/>
        <v>10274.56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190431.53</v>
      </c>
      <c r="AS26" s="3">
        <f t="shared" si="15"/>
        <v>190431.53</v>
      </c>
      <c r="AT26" s="3">
        <f t="shared" si="15"/>
        <v>0</v>
      </c>
      <c r="AU26" s="3">
        <f t="shared" ref="AU26:BZ26" si="16">AU113</f>
        <v>0</v>
      </c>
      <c r="AV26" s="3">
        <f t="shared" si="16"/>
        <v>138151.51999999999</v>
      </c>
      <c r="AW26" s="3">
        <f t="shared" si="16"/>
        <v>138151.51999999999</v>
      </c>
      <c r="AX26" s="3">
        <f t="shared" si="16"/>
        <v>0</v>
      </c>
      <c r="AY26" s="3">
        <f t="shared" si="16"/>
        <v>138151.51999999999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CA113</f>
        <v>190431.53</v>
      </c>
      <c r="CB26" s="3">
        <f t="shared" si="17"/>
        <v>190431.53</v>
      </c>
      <c r="CC26" s="3">
        <f t="shared" si="17"/>
        <v>0</v>
      </c>
      <c r="CD26" s="3">
        <f t="shared" si="17"/>
        <v>0</v>
      </c>
      <c r="CE26" s="3">
        <f t="shared" si="17"/>
        <v>138151.51999999999</v>
      </c>
      <c r="CF26" s="3">
        <f t="shared" si="17"/>
        <v>138151.51999999999</v>
      </c>
      <c r="CG26" s="3">
        <f t="shared" si="17"/>
        <v>0</v>
      </c>
      <c r="CH26" s="3">
        <f t="shared" si="17"/>
        <v>138151.51999999999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DG113</f>
        <v>977252.72</v>
      </c>
      <c r="DH26" s="4">
        <f t="shared" si="18"/>
        <v>838722.49</v>
      </c>
      <c r="DI26" s="4">
        <f t="shared" si="18"/>
        <v>26057.58</v>
      </c>
      <c r="DJ26" s="4">
        <f t="shared" si="18"/>
        <v>2689.86</v>
      </c>
      <c r="DK26" s="4">
        <f t="shared" si="18"/>
        <v>112472.65</v>
      </c>
      <c r="DL26" s="4">
        <f t="shared" si="18"/>
        <v>0</v>
      </c>
      <c r="DM26" s="4">
        <f t="shared" si="18"/>
        <v>2063.4745019999991</v>
      </c>
      <c r="DN26" s="4">
        <f t="shared" si="18"/>
        <v>39.692574999999998</v>
      </c>
      <c r="DO26" s="4">
        <f t="shared" si="18"/>
        <v>0</v>
      </c>
      <c r="DP26" s="4">
        <f t="shared" si="18"/>
        <v>116689</v>
      </c>
      <c r="DQ26" s="4">
        <f t="shared" si="18"/>
        <v>62416.6</v>
      </c>
      <c r="DR26" s="4">
        <f t="shared" si="18"/>
        <v>0</v>
      </c>
      <c r="DS26" s="4">
        <f t="shared" si="18"/>
        <v>0</v>
      </c>
      <c r="DT26" s="4">
        <f t="shared" si="18"/>
        <v>977252.72</v>
      </c>
      <c r="DU26" s="4">
        <f t="shared" si="18"/>
        <v>838722.49</v>
      </c>
      <c r="DV26" s="4">
        <f t="shared" si="18"/>
        <v>26057.58</v>
      </c>
      <c r="DW26" s="4">
        <f t="shared" si="18"/>
        <v>2689.86</v>
      </c>
      <c r="DX26" s="4">
        <f t="shared" si="18"/>
        <v>112472.65</v>
      </c>
      <c r="DY26" s="4">
        <f t="shared" si="18"/>
        <v>0</v>
      </c>
      <c r="DZ26" s="4">
        <f t="shared" si="18"/>
        <v>2063.4745019999991</v>
      </c>
      <c r="EA26" s="4">
        <f t="shared" si="18"/>
        <v>39.692574999999998</v>
      </c>
      <c r="EB26" s="4">
        <f t="shared" si="18"/>
        <v>0</v>
      </c>
      <c r="EC26" s="4">
        <f t="shared" si="18"/>
        <v>116689</v>
      </c>
      <c r="ED26" s="4">
        <f t="shared" si="18"/>
        <v>62416.6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1156358.32</v>
      </c>
      <c r="EK26" s="4">
        <f t="shared" si="18"/>
        <v>1156358.32</v>
      </c>
      <c r="EL26" s="4">
        <f t="shared" si="18"/>
        <v>0</v>
      </c>
      <c r="EM26" s="4">
        <f t="shared" ref="EM26:FR26" si="19">EM113</f>
        <v>0</v>
      </c>
      <c r="EN26" s="4">
        <f t="shared" si="19"/>
        <v>838722.49</v>
      </c>
      <c r="EO26" s="4">
        <f t="shared" si="19"/>
        <v>838722.49</v>
      </c>
      <c r="EP26" s="4">
        <f t="shared" si="19"/>
        <v>0</v>
      </c>
      <c r="EQ26" s="4">
        <f t="shared" si="19"/>
        <v>838722.49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FS113</f>
        <v>1156358.32</v>
      </c>
      <c r="FT26" s="4">
        <f t="shared" si="20"/>
        <v>1156358.32</v>
      </c>
      <c r="FU26" s="4">
        <f t="shared" si="20"/>
        <v>0</v>
      </c>
      <c r="FV26" s="4">
        <f t="shared" si="20"/>
        <v>0</v>
      </c>
      <c r="FW26" s="4">
        <f t="shared" si="20"/>
        <v>838722.49</v>
      </c>
      <c r="FX26" s="4">
        <f t="shared" si="20"/>
        <v>838722.49</v>
      </c>
      <c r="FY26" s="4">
        <f t="shared" si="20"/>
        <v>0</v>
      </c>
      <c r="FZ26" s="4">
        <f t="shared" si="20"/>
        <v>838722.49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ROW(SmtRes!A4)</f>
        <v>4</v>
      </c>
      <c r="D28" s="2">
        <f>ROW(EtalonRes!A6)</f>
        <v>6</v>
      </c>
      <c r="E28" s="2" t="s">
        <v>234</v>
      </c>
      <c r="F28" s="2" t="s">
        <v>235</v>
      </c>
      <c r="G28" s="2" t="s">
        <v>236</v>
      </c>
      <c r="H28" s="2" t="s">
        <v>237</v>
      </c>
      <c r="I28" s="2">
        <f>ROUND(291/100,9)</f>
        <v>2.91</v>
      </c>
      <c r="J28" s="2">
        <v>0</v>
      </c>
      <c r="K28" s="2"/>
      <c r="L28" s="2"/>
      <c r="M28" s="2"/>
      <c r="N28" s="2"/>
      <c r="O28" s="2">
        <f t="shared" ref="O28:O59" si="21">ROUND(CP28,2)</f>
        <v>1622.95</v>
      </c>
      <c r="P28" s="2">
        <f t="shared" ref="P28:P59" si="22">ROUND(CQ28*I28,2)</f>
        <v>348.47</v>
      </c>
      <c r="Q28" s="2">
        <f t="shared" ref="Q28:Q59" si="23">ROUND(CR28*I28,2)</f>
        <v>16.73</v>
      </c>
      <c r="R28" s="2">
        <f t="shared" ref="R28:R59" si="24">ROUND(CS28*I28,2)</f>
        <v>2.95</v>
      </c>
      <c r="S28" s="2">
        <f t="shared" ref="S28:S59" si="25">ROUND(CT28*I28,2)</f>
        <v>1257.75</v>
      </c>
      <c r="T28" s="2">
        <f t="shared" ref="T28:T59" si="26">ROUND(CU28*I28,2)</f>
        <v>0</v>
      </c>
      <c r="U28" s="2">
        <f t="shared" ref="U28:U59" si="27">CV28*I28</f>
        <v>145.57275000000001</v>
      </c>
      <c r="V28" s="2">
        <f t="shared" ref="V28:V59" si="28">CW28*I28</f>
        <v>0.25462500000000005</v>
      </c>
      <c r="W28" s="2">
        <f t="shared" ref="W28:W59" si="29">ROUND(CX28*I28,2)</f>
        <v>0</v>
      </c>
      <c r="X28" s="2">
        <f t="shared" ref="X28:X59" si="30">ROUND(CY28,2)</f>
        <v>1386.77</v>
      </c>
      <c r="Y28" s="2">
        <f t="shared" ref="Y28:Y59" si="31">ROUND(CZ28,2)</f>
        <v>857.28</v>
      </c>
      <c r="Z28" s="2"/>
      <c r="AA28" s="2">
        <v>16499835</v>
      </c>
      <c r="AB28" s="2">
        <f t="shared" ref="AB28:AB59" si="32">ROUND((AC28+AD28+AF28),6)</f>
        <v>557.71600000000001</v>
      </c>
      <c r="AC28" s="2">
        <f t="shared" ref="AC28:AC39" si="33">ROUND((ES28),6)</f>
        <v>119.75</v>
      </c>
      <c r="AD28" s="2">
        <f>ROUND(((((ET28*1.25))-((EU28*1.25)))+AE28),6)</f>
        <v>5.75</v>
      </c>
      <c r="AE28" s="2">
        <f>ROUND(((EU28*1.25)),6)</f>
        <v>1.0125</v>
      </c>
      <c r="AF28" s="2">
        <f>ROUND(((EV28*1.15)),6)</f>
        <v>432.21600000000001</v>
      </c>
      <c r="AG28" s="2">
        <f t="shared" ref="AG28:AG59" si="34">ROUND((AP28),6)</f>
        <v>0</v>
      </c>
      <c r="AH28" s="2">
        <f>((EW28*1.15))</f>
        <v>50.024999999999999</v>
      </c>
      <c r="AI28" s="2">
        <f>((EX28*1.25))</f>
        <v>8.7500000000000008E-2</v>
      </c>
      <c r="AJ28" s="2">
        <f t="shared" ref="AJ28:AJ59" si="35">ROUND((AS28),6)</f>
        <v>0</v>
      </c>
      <c r="AK28" s="2">
        <v>500.19</v>
      </c>
      <c r="AL28" s="2">
        <v>119.75</v>
      </c>
      <c r="AM28" s="2">
        <v>4.5999999999999996</v>
      </c>
      <c r="AN28" s="2">
        <v>0.81</v>
      </c>
      <c r="AO28" s="2">
        <v>375.84</v>
      </c>
      <c r="AP28" s="2">
        <v>0</v>
      </c>
      <c r="AQ28" s="2">
        <v>43.5</v>
      </c>
      <c r="AR28" s="2">
        <v>7.0000000000000007E-2</v>
      </c>
      <c r="AS28" s="2">
        <v>0</v>
      </c>
      <c r="AT28" s="2">
        <v>110</v>
      </c>
      <c r="AU28" s="2">
        <v>68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224</v>
      </c>
      <c r="BE28" s="2" t="s">
        <v>224</v>
      </c>
      <c r="BF28" s="2" t="s">
        <v>224</v>
      </c>
      <c r="BG28" s="2" t="s">
        <v>224</v>
      </c>
      <c r="BH28" s="2">
        <v>0</v>
      </c>
      <c r="BI28" s="2">
        <v>1</v>
      </c>
      <c r="BJ28" s="2" t="s">
        <v>238</v>
      </c>
      <c r="BK28" s="2"/>
      <c r="BL28" s="2"/>
      <c r="BM28" s="2">
        <v>8001</v>
      </c>
      <c r="BN28" s="2">
        <v>0</v>
      </c>
      <c r="BO28" s="2" t="s">
        <v>224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224</v>
      </c>
      <c r="BZ28" s="2">
        <v>122</v>
      </c>
      <c r="CA28" s="2">
        <v>80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123</v>
      </c>
      <c r="CO28" s="2">
        <v>0</v>
      </c>
      <c r="CP28" s="2">
        <f t="shared" ref="CP28:CP59" si="36">(P28+Q28+S28)</f>
        <v>1622.95</v>
      </c>
      <c r="CQ28" s="2">
        <f t="shared" ref="CQ28:CQ59" si="37">AC28*BC28</f>
        <v>119.75</v>
      </c>
      <c r="CR28" s="2">
        <f t="shared" ref="CR28:CR59" si="38">AD28*BB28</f>
        <v>5.75</v>
      </c>
      <c r="CS28" s="2">
        <f t="shared" ref="CS28:CS59" si="39">AE28*BS28</f>
        <v>1.0125</v>
      </c>
      <c r="CT28" s="2">
        <f t="shared" ref="CT28:CT59" si="40">AF28*BA28</f>
        <v>432.21600000000001</v>
      </c>
      <c r="CU28" s="2">
        <f t="shared" ref="CU28:CU59" si="41">AG28</f>
        <v>0</v>
      </c>
      <c r="CV28" s="2">
        <f t="shared" ref="CV28:CV59" si="42">AH28</f>
        <v>50.024999999999999</v>
      </c>
      <c r="CW28" s="2">
        <f t="shared" ref="CW28:CW59" si="43">AI28</f>
        <v>8.7500000000000008E-2</v>
      </c>
      <c r="CX28" s="2">
        <f t="shared" ref="CX28:CX59" si="44">AJ28</f>
        <v>0</v>
      </c>
      <c r="CY28" s="2">
        <f t="shared" ref="CY28:CY59" si="45">(((S28+R28)*AT28)/100)</f>
        <v>1386.77</v>
      </c>
      <c r="CZ28" s="2">
        <f t="shared" ref="CZ28:CZ59" si="46">(((S28+R28)*AU28)/100)</f>
        <v>857.27600000000007</v>
      </c>
      <c r="DA28" s="2"/>
      <c r="DB28" s="2"/>
      <c r="DC28" s="2" t="s">
        <v>224</v>
      </c>
      <c r="DD28" s="2" t="s">
        <v>224</v>
      </c>
      <c r="DE28" s="2" t="s">
        <v>239</v>
      </c>
      <c r="DF28" s="2" t="s">
        <v>239</v>
      </c>
      <c r="DG28" s="2" t="s">
        <v>240</v>
      </c>
      <c r="DH28" s="2" t="s">
        <v>224</v>
      </c>
      <c r="DI28" s="2" t="s">
        <v>240</v>
      </c>
      <c r="DJ28" s="2" t="s">
        <v>239</v>
      </c>
      <c r="DK28" s="2" t="s">
        <v>224</v>
      </c>
      <c r="DL28" s="2" t="s">
        <v>224</v>
      </c>
      <c r="DM28" s="2" t="s">
        <v>224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237</v>
      </c>
      <c r="DW28" s="2" t="s">
        <v>237</v>
      </c>
      <c r="DX28" s="2">
        <v>100</v>
      </c>
      <c r="DY28" s="2"/>
      <c r="DZ28" s="2"/>
      <c r="EA28" s="2"/>
      <c r="EB28" s="2"/>
      <c r="EC28" s="2"/>
      <c r="ED28" s="2"/>
      <c r="EE28" s="2">
        <v>15139098</v>
      </c>
      <c r="EF28" s="2">
        <v>2</v>
      </c>
      <c r="EG28" s="2" t="s">
        <v>233</v>
      </c>
      <c r="EH28" s="2">
        <v>0</v>
      </c>
      <c r="EI28" s="2" t="s">
        <v>224</v>
      </c>
      <c r="EJ28" s="2">
        <v>1</v>
      </c>
      <c r="EK28" s="2">
        <v>8001</v>
      </c>
      <c r="EL28" s="2" t="s">
        <v>241</v>
      </c>
      <c r="EM28" s="2" t="s">
        <v>242</v>
      </c>
      <c r="EN28" s="2"/>
      <c r="EO28" s="2" t="s">
        <v>243</v>
      </c>
      <c r="EP28" s="2"/>
      <c r="EQ28" s="2">
        <v>0</v>
      </c>
      <c r="ER28" s="2">
        <v>500.19</v>
      </c>
      <c r="ES28" s="2">
        <v>119.75</v>
      </c>
      <c r="ET28" s="2">
        <v>4.5999999999999996</v>
      </c>
      <c r="EU28" s="2">
        <v>0.81</v>
      </c>
      <c r="EV28" s="2">
        <v>375.84</v>
      </c>
      <c r="EW28" s="2">
        <v>43.5</v>
      </c>
      <c r="EX28" s="2">
        <v>7.0000000000000007E-2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7">ROUND(IF(AND(BH28=3,BI28=3),P28,0),2)</f>
        <v>0</v>
      </c>
      <c r="FS28" s="2">
        <v>0</v>
      </c>
      <c r="FT28" s="2" t="s">
        <v>244</v>
      </c>
      <c r="FU28" s="2" t="s">
        <v>245</v>
      </c>
      <c r="FV28" s="2"/>
      <c r="FW28" s="2"/>
      <c r="FX28" s="2">
        <v>109.8</v>
      </c>
      <c r="FY28" s="2">
        <v>68</v>
      </c>
      <c r="FZ28" s="2"/>
      <c r="GA28" s="2" t="s">
        <v>224</v>
      </c>
      <c r="GB28" s="2"/>
      <c r="GC28" s="2"/>
      <c r="GD28" s="2">
        <v>0</v>
      </c>
      <c r="GE28" s="2"/>
      <c r="GF28" s="2">
        <v>1648279235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8">ROUND(IF(AND(BH28=3,BI28=3,FS28&lt;&gt;0),P28,0),2)</f>
        <v>0</v>
      </c>
      <c r="GM28" s="2">
        <f t="shared" ref="GM28:GM59" si="49">ROUND(O28+X28+Y28+GK28,2)+GX28</f>
        <v>3867</v>
      </c>
      <c r="GN28" s="2">
        <f t="shared" ref="GN28:GN59" si="50">IF(OR(BI28=0,BI28=1),ROUND(O28+X28+Y28+GK28,2),0)</f>
        <v>3867</v>
      </c>
      <c r="GO28" s="2">
        <f t="shared" ref="GO28:GO59" si="51">IF(BI28=2,ROUND(O28+X28+Y28+GK28,2),0)</f>
        <v>0</v>
      </c>
      <c r="GP28" s="2">
        <f t="shared" ref="GP28:GP59" si="52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224</v>
      </c>
      <c r="GV28" s="2">
        <f t="shared" ref="GV28:GV59" si="53">ROUND(GT28,6)</f>
        <v>0</v>
      </c>
      <c r="GW28" s="2">
        <v>1</v>
      </c>
      <c r="GX28" s="2">
        <f t="shared" ref="GX28:GX59" si="54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ROW(SmtRes!A8)</f>
        <v>8</v>
      </c>
      <c r="D29">
        <f>ROW(EtalonRes!A12)</f>
        <v>12</v>
      </c>
      <c r="E29" t="s">
        <v>234</v>
      </c>
      <c r="F29" t="s">
        <v>235</v>
      </c>
      <c r="G29" t="s">
        <v>236</v>
      </c>
      <c r="H29" t="s">
        <v>237</v>
      </c>
      <c r="I29">
        <f>ROUND(291/100,9)</f>
        <v>2.91</v>
      </c>
      <c r="J29">
        <v>0</v>
      </c>
      <c r="O29">
        <f t="shared" si="21"/>
        <v>9867.5499999999993</v>
      </c>
      <c r="P29">
        <f t="shared" si="22"/>
        <v>2118.71</v>
      </c>
      <c r="Q29">
        <f t="shared" si="23"/>
        <v>101.73</v>
      </c>
      <c r="R29">
        <f t="shared" si="24"/>
        <v>17.91</v>
      </c>
      <c r="S29">
        <f t="shared" si="25"/>
        <v>7647.11</v>
      </c>
      <c r="T29">
        <f t="shared" si="26"/>
        <v>0</v>
      </c>
      <c r="U29">
        <f t="shared" si="27"/>
        <v>145.57275000000001</v>
      </c>
      <c r="V29">
        <f t="shared" si="28"/>
        <v>0.25462500000000005</v>
      </c>
      <c r="W29">
        <f t="shared" si="29"/>
        <v>0</v>
      </c>
      <c r="X29">
        <f t="shared" si="30"/>
        <v>8431.52</v>
      </c>
      <c r="Y29">
        <f t="shared" si="31"/>
        <v>5212.21</v>
      </c>
      <c r="AA29">
        <v>16499878</v>
      </c>
      <c r="AB29">
        <f t="shared" si="32"/>
        <v>557.71600000000001</v>
      </c>
      <c r="AC29">
        <f t="shared" si="33"/>
        <v>119.75</v>
      </c>
      <c r="AD29">
        <f>ROUND(((((ET29*1.25))-((EU29*1.25)))+AE29),6)</f>
        <v>5.75</v>
      </c>
      <c r="AE29">
        <f>ROUND(((EU29*1.25)),6)</f>
        <v>1.0125</v>
      </c>
      <c r="AF29">
        <f>ROUND(((EV29*1.15)),6)</f>
        <v>432.21600000000001</v>
      </c>
      <c r="AG29">
        <f t="shared" si="34"/>
        <v>0</v>
      </c>
      <c r="AH29">
        <f>((EW29*1.15))</f>
        <v>50.024999999999999</v>
      </c>
      <c r="AI29">
        <f>((EX29*1.25))</f>
        <v>8.7500000000000008E-2</v>
      </c>
      <c r="AJ29">
        <f t="shared" si="35"/>
        <v>0</v>
      </c>
      <c r="AK29">
        <v>500.19</v>
      </c>
      <c r="AL29">
        <v>119.75</v>
      </c>
      <c r="AM29">
        <v>4.5999999999999996</v>
      </c>
      <c r="AN29">
        <v>0.81</v>
      </c>
      <c r="AO29">
        <v>375.84</v>
      </c>
      <c r="AP29">
        <v>0</v>
      </c>
      <c r="AQ29">
        <v>43.5</v>
      </c>
      <c r="AR29">
        <v>7.0000000000000007E-2</v>
      </c>
      <c r="AS29">
        <v>0</v>
      </c>
      <c r="AT29">
        <v>110</v>
      </c>
      <c r="AU29">
        <v>68</v>
      </c>
      <c r="AV29">
        <v>1</v>
      </c>
      <c r="AW29">
        <v>1</v>
      </c>
      <c r="AZ29">
        <v>6.08</v>
      </c>
      <c r="BA29">
        <v>6.08</v>
      </c>
      <c r="BB29">
        <v>6.08</v>
      </c>
      <c r="BC29">
        <v>6.08</v>
      </c>
      <c r="BD29" t="s">
        <v>224</v>
      </c>
      <c r="BE29" t="s">
        <v>224</v>
      </c>
      <c r="BF29" t="s">
        <v>224</v>
      </c>
      <c r="BG29" t="s">
        <v>224</v>
      </c>
      <c r="BH29">
        <v>0</v>
      </c>
      <c r="BI29">
        <v>1</v>
      </c>
      <c r="BJ29" t="s">
        <v>238</v>
      </c>
      <c r="BM29">
        <v>8001</v>
      </c>
      <c r="BN29">
        <v>0</v>
      </c>
      <c r="BO29" t="s">
        <v>224</v>
      </c>
      <c r="BP29">
        <v>0</v>
      </c>
      <c r="BQ29">
        <v>2</v>
      </c>
      <c r="BR29">
        <v>0</v>
      </c>
      <c r="BS29">
        <v>6.08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224</v>
      </c>
      <c r="BZ29">
        <v>122</v>
      </c>
      <c r="CA29">
        <v>80</v>
      </c>
      <c r="CF29">
        <v>0</v>
      </c>
      <c r="CG29">
        <v>0</v>
      </c>
      <c r="CM29">
        <v>0</v>
      </c>
      <c r="CN29" t="s">
        <v>123</v>
      </c>
      <c r="CO29">
        <v>0</v>
      </c>
      <c r="CP29">
        <f t="shared" si="36"/>
        <v>9867.5499999999993</v>
      </c>
      <c r="CQ29">
        <f t="shared" si="37"/>
        <v>728.08</v>
      </c>
      <c r="CR29">
        <f t="shared" si="38"/>
        <v>34.96</v>
      </c>
      <c r="CS29">
        <f t="shared" si="39"/>
        <v>6.1559999999999997</v>
      </c>
      <c r="CT29">
        <f t="shared" si="40"/>
        <v>2627.8732800000002</v>
      </c>
      <c r="CU29">
        <f t="shared" si="41"/>
        <v>0</v>
      </c>
      <c r="CV29">
        <f t="shared" si="42"/>
        <v>50.024999999999999</v>
      </c>
      <c r="CW29">
        <f t="shared" si="43"/>
        <v>8.7500000000000008E-2</v>
      </c>
      <c r="CX29">
        <f t="shared" si="44"/>
        <v>0</v>
      </c>
      <c r="CY29">
        <f t="shared" si="45"/>
        <v>8431.521999999999</v>
      </c>
      <c r="CZ29">
        <f t="shared" si="46"/>
        <v>5212.2136</v>
      </c>
      <c r="DC29" t="s">
        <v>224</v>
      </c>
      <c r="DD29" t="s">
        <v>224</v>
      </c>
      <c r="DE29" t="s">
        <v>239</v>
      </c>
      <c r="DF29" t="s">
        <v>239</v>
      </c>
      <c r="DG29" t="s">
        <v>240</v>
      </c>
      <c r="DH29" t="s">
        <v>224</v>
      </c>
      <c r="DI29" t="s">
        <v>240</v>
      </c>
      <c r="DJ29" t="s">
        <v>239</v>
      </c>
      <c r="DK29" t="s">
        <v>224</v>
      </c>
      <c r="DL29" t="s">
        <v>224</v>
      </c>
      <c r="DM29" t="s">
        <v>224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237</v>
      </c>
      <c r="DW29" t="s">
        <v>237</v>
      </c>
      <c r="DX29">
        <v>100</v>
      </c>
      <c r="EE29">
        <v>15139098</v>
      </c>
      <c r="EF29">
        <v>2</v>
      </c>
      <c r="EG29" t="s">
        <v>233</v>
      </c>
      <c r="EH29">
        <v>0</v>
      </c>
      <c r="EI29" t="s">
        <v>224</v>
      </c>
      <c r="EJ29">
        <v>1</v>
      </c>
      <c r="EK29">
        <v>8001</v>
      </c>
      <c r="EL29" t="s">
        <v>241</v>
      </c>
      <c r="EM29" t="s">
        <v>242</v>
      </c>
      <c r="EO29" t="s">
        <v>243</v>
      </c>
      <c r="EQ29">
        <v>0</v>
      </c>
      <c r="ER29">
        <v>500.19</v>
      </c>
      <c r="ES29">
        <v>119.75</v>
      </c>
      <c r="ET29">
        <v>4.5999999999999996</v>
      </c>
      <c r="EU29">
        <v>0.81</v>
      </c>
      <c r="EV29">
        <v>375.84</v>
      </c>
      <c r="EW29">
        <v>43.5</v>
      </c>
      <c r="EX29">
        <v>7.0000000000000007E-2</v>
      </c>
      <c r="EY29">
        <v>0</v>
      </c>
      <c r="FQ29">
        <v>0</v>
      </c>
      <c r="FR29">
        <f t="shared" si="47"/>
        <v>0</v>
      </c>
      <c r="FS29">
        <v>0</v>
      </c>
      <c r="FT29" t="s">
        <v>244</v>
      </c>
      <c r="FU29" t="s">
        <v>245</v>
      </c>
      <c r="FX29">
        <v>109.8</v>
      </c>
      <c r="FY29">
        <v>68</v>
      </c>
      <c r="GA29" t="s">
        <v>224</v>
      </c>
      <c r="GD29">
        <v>0</v>
      </c>
      <c r="GF29">
        <v>1648279235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8"/>
        <v>0</v>
      </c>
      <c r="GM29">
        <f t="shared" si="49"/>
        <v>23511.279999999999</v>
      </c>
      <c r="GN29">
        <f t="shared" si="50"/>
        <v>23511.279999999999</v>
      </c>
      <c r="GO29">
        <f t="shared" si="51"/>
        <v>0</v>
      </c>
      <c r="GP29">
        <f t="shared" si="52"/>
        <v>0</v>
      </c>
      <c r="GR29">
        <v>0</v>
      </c>
      <c r="GS29">
        <v>3</v>
      </c>
      <c r="GT29">
        <v>0</v>
      </c>
      <c r="GU29" t="s">
        <v>224</v>
      </c>
      <c r="GV29">
        <f t="shared" si="53"/>
        <v>0</v>
      </c>
      <c r="GW29">
        <v>1</v>
      </c>
      <c r="GX29">
        <f t="shared" si="54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ROW(SmtRes!A11)</f>
        <v>11</v>
      </c>
      <c r="D30" s="2">
        <f>ROW(EtalonRes!A16)</f>
        <v>16</v>
      </c>
      <c r="E30" s="2" t="s">
        <v>246</v>
      </c>
      <c r="F30" s="2" t="s">
        <v>247</v>
      </c>
      <c r="G30" s="2" t="s">
        <v>248</v>
      </c>
      <c r="H30" s="2" t="s">
        <v>237</v>
      </c>
      <c r="I30" s="2">
        <f>ROUND(20.4/100,9)</f>
        <v>0.20399999999999999</v>
      </c>
      <c r="J30" s="2">
        <v>0</v>
      </c>
      <c r="K30" s="2"/>
      <c r="L30" s="2"/>
      <c r="M30" s="2"/>
      <c r="N30" s="2"/>
      <c r="O30" s="2">
        <f t="shared" si="21"/>
        <v>18.95</v>
      </c>
      <c r="P30" s="2">
        <f t="shared" si="22"/>
        <v>0</v>
      </c>
      <c r="Q30" s="2">
        <f t="shared" si="23"/>
        <v>0.83</v>
      </c>
      <c r="R30" s="2">
        <f t="shared" si="24"/>
        <v>0.36</v>
      </c>
      <c r="S30" s="2">
        <f t="shared" si="25"/>
        <v>18.12</v>
      </c>
      <c r="T30" s="2">
        <f t="shared" si="26"/>
        <v>0</v>
      </c>
      <c r="U30" s="2">
        <f t="shared" si="27"/>
        <v>2.3235600000000001</v>
      </c>
      <c r="V30" s="2">
        <f t="shared" si="28"/>
        <v>2.6519999999999998E-2</v>
      </c>
      <c r="W30" s="2">
        <f t="shared" si="29"/>
        <v>0</v>
      </c>
      <c r="X30" s="2">
        <f t="shared" si="30"/>
        <v>14.78</v>
      </c>
      <c r="Y30" s="2">
        <f t="shared" si="31"/>
        <v>12.57</v>
      </c>
      <c r="Z30" s="2"/>
      <c r="AA30" s="2">
        <v>16499835</v>
      </c>
      <c r="AB30" s="2">
        <f t="shared" si="32"/>
        <v>92.9</v>
      </c>
      <c r="AC30" s="2">
        <f t="shared" si="33"/>
        <v>0</v>
      </c>
      <c r="AD30" s="2">
        <f t="shared" ref="AD30:AD39" si="55">ROUND((((ET30)-(EU30))+AE30),6)</f>
        <v>4.0599999999999996</v>
      </c>
      <c r="AE30" s="2">
        <f t="shared" ref="AE30:AE39" si="56">ROUND((EU30),6)</f>
        <v>1.76</v>
      </c>
      <c r="AF30" s="2">
        <f t="shared" ref="AF30:AF39" si="57">ROUND((EV30),6)</f>
        <v>88.84</v>
      </c>
      <c r="AG30" s="2">
        <f t="shared" si="34"/>
        <v>0</v>
      </c>
      <c r="AH30" s="2">
        <f t="shared" ref="AH30:AH39" si="58">(EW30)</f>
        <v>11.39</v>
      </c>
      <c r="AI30" s="2">
        <f t="shared" ref="AI30:AI39" si="59">(EX30)</f>
        <v>0.13</v>
      </c>
      <c r="AJ30" s="2">
        <f t="shared" si="35"/>
        <v>0</v>
      </c>
      <c r="AK30" s="2">
        <v>92.9</v>
      </c>
      <c r="AL30" s="2">
        <v>0</v>
      </c>
      <c r="AM30" s="2">
        <v>4.0599999999999996</v>
      </c>
      <c r="AN30" s="2">
        <v>1.76</v>
      </c>
      <c r="AO30" s="2">
        <v>88.84</v>
      </c>
      <c r="AP30" s="2">
        <v>0</v>
      </c>
      <c r="AQ30" s="2">
        <v>11.39</v>
      </c>
      <c r="AR30" s="2">
        <v>0.13</v>
      </c>
      <c r="AS30" s="2">
        <v>0</v>
      </c>
      <c r="AT30" s="2">
        <v>80</v>
      </c>
      <c r="AU30" s="2">
        <v>68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224</v>
      </c>
      <c r="BE30" s="2" t="s">
        <v>224</v>
      </c>
      <c r="BF30" s="2" t="s">
        <v>224</v>
      </c>
      <c r="BG30" s="2" t="s">
        <v>224</v>
      </c>
      <c r="BH30" s="2">
        <v>0</v>
      </c>
      <c r="BI30" s="2">
        <v>1</v>
      </c>
      <c r="BJ30" s="2" t="s">
        <v>249</v>
      </c>
      <c r="BK30" s="2"/>
      <c r="BL30" s="2"/>
      <c r="BM30" s="2">
        <v>57001</v>
      </c>
      <c r="BN30" s="2">
        <v>0</v>
      </c>
      <c r="BO30" s="2" t="s">
        <v>224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224</v>
      </c>
      <c r="BZ30" s="2">
        <v>80</v>
      </c>
      <c r="CA30" s="2">
        <v>68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224</v>
      </c>
      <c r="CO30" s="2">
        <v>0</v>
      </c>
      <c r="CP30" s="2">
        <f t="shared" si="36"/>
        <v>18.95</v>
      </c>
      <c r="CQ30" s="2">
        <f t="shared" si="37"/>
        <v>0</v>
      </c>
      <c r="CR30" s="2">
        <f t="shared" si="38"/>
        <v>4.0599999999999996</v>
      </c>
      <c r="CS30" s="2">
        <f t="shared" si="39"/>
        <v>1.76</v>
      </c>
      <c r="CT30" s="2">
        <f t="shared" si="40"/>
        <v>88.84</v>
      </c>
      <c r="CU30" s="2">
        <f t="shared" si="41"/>
        <v>0</v>
      </c>
      <c r="CV30" s="2">
        <f t="shared" si="42"/>
        <v>11.39</v>
      </c>
      <c r="CW30" s="2">
        <f t="shared" si="43"/>
        <v>0.13</v>
      </c>
      <c r="CX30" s="2">
        <f t="shared" si="44"/>
        <v>0</v>
      </c>
      <c r="CY30" s="2">
        <f t="shared" si="45"/>
        <v>14.784000000000001</v>
      </c>
      <c r="CZ30" s="2">
        <f t="shared" si="46"/>
        <v>12.566400000000002</v>
      </c>
      <c r="DA30" s="2"/>
      <c r="DB30" s="2"/>
      <c r="DC30" s="2" t="s">
        <v>224</v>
      </c>
      <c r="DD30" s="2" t="s">
        <v>224</v>
      </c>
      <c r="DE30" s="2" t="s">
        <v>224</v>
      </c>
      <c r="DF30" s="2" t="s">
        <v>224</v>
      </c>
      <c r="DG30" s="2" t="s">
        <v>224</v>
      </c>
      <c r="DH30" s="2" t="s">
        <v>224</v>
      </c>
      <c r="DI30" s="2" t="s">
        <v>224</v>
      </c>
      <c r="DJ30" s="2" t="s">
        <v>224</v>
      </c>
      <c r="DK30" s="2" t="s">
        <v>224</v>
      </c>
      <c r="DL30" s="2" t="s">
        <v>224</v>
      </c>
      <c r="DM30" s="2" t="s">
        <v>224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237</v>
      </c>
      <c r="DW30" s="2" t="s">
        <v>237</v>
      </c>
      <c r="DX30" s="2">
        <v>100</v>
      </c>
      <c r="DY30" s="2"/>
      <c r="DZ30" s="2"/>
      <c r="EA30" s="2"/>
      <c r="EB30" s="2"/>
      <c r="EC30" s="2"/>
      <c r="ED30" s="2"/>
      <c r="EE30" s="2">
        <v>15139179</v>
      </c>
      <c r="EF30" s="2">
        <v>6</v>
      </c>
      <c r="EG30" s="2" t="s">
        <v>250</v>
      </c>
      <c r="EH30" s="2">
        <v>0</v>
      </c>
      <c r="EI30" s="2" t="s">
        <v>224</v>
      </c>
      <c r="EJ30" s="2">
        <v>1</v>
      </c>
      <c r="EK30" s="2">
        <v>57001</v>
      </c>
      <c r="EL30" s="2" t="s">
        <v>251</v>
      </c>
      <c r="EM30" s="2" t="s">
        <v>252</v>
      </c>
      <c r="EN30" s="2"/>
      <c r="EO30" s="2" t="s">
        <v>224</v>
      </c>
      <c r="EP30" s="2"/>
      <c r="EQ30" s="2">
        <v>0</v>
      </c>
      <c r="ER30" s="2">
        <v>92.9</v>
      </c>
      <c r="ES30" s="2">
        <v>0</v>
      </c>
      <c r="ET30" s="2">
        <v>4.0599999999999996</v>
      </c>
      <c r="EU30" s="2">
        <v>1.76</v>
      </c>
      <c r="EV30" s="2">
        <v>88.84</v>
      </c>
      <c r="EW30" s="2">
        <v>11.39</v>
      </c>
      <c r="EX30" s="2">
        <v>0.13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7"/>
        <v>0</v>
      </c>
      <c r="FS30" s="2">
        <v>0</v>
      </c>
      <c r="FT30" s="2"/>
      <c r="FU30" s="2"/>
      <c r="FV30" s="2"/>
      <c r="FW30" s="2"/>
      <c r="FX30" s="2">
        <v>80</v>
      </c>
      <c r="FY30" s="2">
        <v>68</v>
      </c>
      <c r="FZ30" s="2"/>
      <c r="GA30" s="2" t="s">
        <v>224</v>
      </c>
      <c r="GB30" s="2"/>
      <c r="GC30" s="2"/>
      <c r="GD30" s="2">
        <v>0</v>
      </c>
      <c r="GE30" s="2"/>
      <c r="GF30" s="2">
        <v>-1228944231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8"/>
        <v>0</v>
      </c>
      <c r="GM30" s="2">
        <f t="shared" si="49"/>
        <v>46.3</v>
      </c>
      <c r="GN30" s="2">
        <f t="shared" si="50"/>
        <v>46.3</v>
      </c>
      <c r="GO30" s="2">
        <f t="shared" si="51"/>
        <v>0</v>
      </c>
      <c r="GP30" s="2">
        <f t="shared" si="52"/>
        <v>0</v>
      </c>
      <c r="GQ30" s="2"/>
      <c r="GR30" s="2">
        <v>0</v>
      </c>
      <c r="GS30" s="2">
        <v>3</v>
      </c>
      <c r="GT30" s="2">
        <v>0</v>
      </c>
      <c r="GU30" s="2" t="s">
        <v>224</v>
      </c>
      <c r="GV30" s="2">
        <f t="shared" si="53"/>
        <v>0</v>
      </c>
      <c r="GW30" s="2">
        <v>1</v>
      </c>
      <c r="GX30" s="2">
        <f t="shared" si="54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ROW(SmtRes!A14)</f>
        <v>14</v>
      </c>
      <c r="D31">
        <f>ROW(EtalonRes!A20)</f>
        <v>20</v>
      </c>
      <c r="E31" t="s">
        <v>246</v>
      </c>
      <c r="F31" t="s">
        <v>247</v>
      </c>
      <c r="G31" t="s">
        <v>248</v>
      </c>
      <c r="H31" t="s">
        <v>237</v>
      </c>
      <c r="I31">
        <f>ROUND(20.4/100,9)</f>
        <v>0.20399999999999999</v>
      </c>
      <c r="J31">
        <v>0</v>
      </c>
      <c r="O31">
        <f t="shared" si="21"/>
        <v>115.23</v>
      </c>
      <c r="P31">
        <f t="shared" si="22"/>
        <v>0</v>
      </c>
      <c r="Q31">
        <f t="shared" si="23"/>
        <v>5.04</v>
      </c>
      <c r="R31">
        <f t="shared" si="24"/>
        <v>2.1800000000000002</v>
      </c>
      <c r="S31">
        <f t="shared" si="25"/>
        <v>110.19</v>
      </c>
      <c r="T31">
        <f t="shared" si="26"/>
        <v>0</v>
      </c>
      <c r="U31">
        <f t="shared" si="27"/>
        <v>2.3235600000000001</v>
      </c>
      <c r="V31">
        <f t="shared" si="28"/>
        <v>2.6519999999999998E-2</v>
      </c>
      <c r="W31">
        <f t="shared" si="29"/>
        <v>0</v>
      </c>
      <c r="X31">
        <f t="shared" si="30"/>
        <v>89.9</v>
      </c>
      <c r="Y31">
        <f t="shared" si="31"/>
        <v>76.41</v>
      </c>
      <c r="AA31">
        <v>16499878</v>
      </c>
      <c r="AB31">
        <f t="shared" si="32"/>
        <v>92.9</v>
      </c>
      <c r="AC31">
        <f t="shared" si="33"/>
        <v>0</v>
      </c>
      <c r="AD31">
        <f t="shared" si="55"/>
        <v>4.0599999999999996</v>
      </c>
      <c r="AE31">
        <f t="shared" si="56"/>
        <v>1.76</v>
      </c>
      <c r="AF31">
        <f t="shared" si="57"/>
        <v>88.84</v>
      </c>
      <c r="AG31">
        <f t="shared" si="34"/>
        <v>0</v>
      </c>
      <c r="AH31">
        <f t="shared" si="58"/>
        <v>11.39</v>
      </c>
      <c r="AI31">
        <f t="shared" si="59"/>
        <v>0.13</v>
      </c>
      <c r="AJ31">
        <f t="shared" si="35"/>
        <v>0</v>
      </c>
      <c r="AK31">
        <v>92.9</v>
      </c>
      <c r="AL31">
        <v>0</v>
      </c>
      <c r="AM31">
        <v>4.0599999999999996</v>
      </c>
      <c r="AN31">
        <v>1.76</v>
      </c>
      <c r="AO31">
        <v>88.84</v>
      </c>
      <c r="AP31">
        <v>0</v>
      </c>
      <c r="AQ31">
        <v>11.39</v>
      </c>
      <c r="AR31">
        <v>0.13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6.08</v>
      </c>
      <c r="BA31">
        <v>6.08</v>
      </c>
      <c r="BB31">
        <v>6.08</v>
      </c>
      <c r="BC31">
        <v>6.08</v>
      </c>
      <c r="BD31" t="s">
        <v>224</v>
      </c>
      <c r="BE31" t="s">
        <v>224</v>
      </c>
      <c r="BF31" t="s">
        <v>224</v>
      </c>
      <c r="BG31" t="s">
        <v>224</v>
      </c>
      <c r="BH31">
        <v>0</v>
      </c>
      <c r="BI31">
        <v>1</v>
      </c>
      <c r="BJ31" t="s">
        <v>249</v>
      </c>
      <c r="BM31">
        <v>57001</v>
      </c>
      <c r="BN31">
        <v>0</v>
      </c>
      <c r="BO31" t="s">
        <v>224</v>
      </c>
      <c r="BP31">
        <v>0</v>
      </c>
      <c r="BQ31">
        <v>6</v>
      </c>
      <c r="BR31">
        <v>0</v>
      </c>
      <c r="BS31">
        <v>6.08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224</v>
      </c>
      <c r="BZ31">
        <v>80</v>
      </c>
      <c r="CA31">
        <v>68</v>
      </c>
      <c r="CF31">
        <v>0</v>
      </c>
      <c r="CG31">
        <v>0</v>
      </c>
      <c r="CM31">
        <v>0</v>
      </c>
      <c r="CN31" t="s">
        <v>224</v>
      </c>
      <c r="CO31">
        <v>0</v>
      </c>
      <c r="CP31">
        <f t="shared" si="36"/>
        <v>115.23</v>
      </c>
      <c r="CQ31">
        <f t="shared" si="37"/>
        <v>0</v>
      </c>
      <c r="CR31">
        <f t="shared" si="38"/>
        <v>24.684799999999999</v>
      </c>
      <c r="CS31">
        <f t="shared" si="39"/>
        <v>10.700800000000001</v>
      </c>
      <c r="CT31">
        <f t="shared" si="40"/>
        <v>540.1472</v>
      </c>
      <c r="CU31">
        <f t="shared" si="41"/>
        <v>0</v>
      </c>
      <c r="CV31">
        <f t="shared" si="42"/>
        <v>11.39</v>
      </c>
      <c r="CW31">
        <f t="shared" si="43"/>
        <v>0.13</v>
      </c>
      <c r="CX31">
        <f t="shared" si="44"/>
        <v>0</v>
      </c>
      <c r="CY31">
        <f t="shared" si="45"/>
        <v>89.896000000000001</v>
      </c>
      <c r="CZ31">
        <f t="shared" si="46"/>
        <v>76.411599999999993</v>
      </c>
      <c r="DC31" t="s">
        <v>224</v>
      </c>
      <c r="DD31" t="s">
        <v>224</v>
      </c>
      <c r="DE31" t="s">
        <v>224</v>
      </c>
      <c r="DF31" t="s">
        <v>224</v>
      </c>
      <c r="DG31" t="s">
        <v>224</v>
      </c>
      <c r="DH31" t="s">
        <v>224</v>
      </c>
      <c r="DI31" t="s">
        <v>224</v>
      </c>
      <c r="DJ31" t="s">
        <v>224</v>
      </c>
      <c r="DK31" t="s">
        <v>224</v>
      </c>
      <c r="DL31" t="s">
        <v>224</v>
      </c>
      <c r="DM31" t="s">
        <v>224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237</v>
      </c>
      <c r="DW31" t="s">
        <v>237</v>
      </c>
      <c r="DX31">
        <v>100</v>
      </c>
      <c r="EE31">
        <v>15139179</v>
      </c>
      <c r="EF31">
        <v>6</v>
      </c>
      <c r="EG31" t="s">
        <v>250</v>
      </c>
      <c r="EH31">
        <v>0</v>
      </c>
      <c r="EI31" t="s">
        <v>224</v>
      </c>
      <c r="EJ31">
        <v>1</v>
      </c>
      <c r="EK31">
        <v>57001</v>
      </c>
      <c r="EL31" t="s">
        <v>251</v>
      </c>
      <c r="EM31" t="s">
        <v>252</v>
      </c>
      <c r="EO31" t="s">
        <v>224</v>
      </c>
      <c r="EQ31">
        <v>0</v>
      </c>
      <c r="ER31">
        <v>92.9</v>
      </c>
      <c r="ES31">
        <v>0</v>
      </c>
      <c r="ET31">
        <v>4.0599999999999996</v>
      </c>
      <c r="EU31">
        <v>1.76</v>
      </c>
      <c r="EV31">
        <v>88.84</v>
      </c>
      <c r="EW31">
        <v>11.39</v>
      </c>
      <c r="EX31">
        <v>0.13</v>
      </c>
      <c r="EY31">
        <v>0</v>
      </c>
      <c r="FQ31">
        <v>0</v>
      </c>
      <c r="FR31">
        <f t="shared" si="47"/>
        <v>0</v>
      </c>
      <c r="FS31">
        <v>0</v>
      </c>
      <c r="FX31">
        <v>80</v>
      </c>
      <c r="FY31">
        <v>68</v>
      </c>
      <c r="GA31" t="s">
        <v>224</v>
      </c>
      <c r="GD31">
        <v>0</v>
      </c>
      <c r="GF31">
        <v>-1228944231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8"/>
        <v>0</v>
      </c>
      <c r="GM31">
        <f t="shared" si="49"/>
        <v>281.54000000000002</v>
      </c>
      <c r="GN31">
        <f t="shared" si="50"/>
        <v>281.54000000000002</v>
      </c>
      <c r="GO31">
        <f t="shared" si="51"/>
        <v>0</v>
      </c>
      <c r="GP31">
        <f t="shared" si="52"/>
        <v>0</v>
      </c>
      <c r="GR31">
        <v>0</v>
      </c>
      <c r="GS31">
        <v>3</v>
      </c>
      <c r="GT31">
        <v>0</v>
      </c>
      <c r="GU31" t="s">
        <v>224</v>
      </c>
      <c r="GV31">
        <f t="shared" si="53"/>
        <v>0</v>
      </c>
      <c r="GW31">
        <v>1</v>
      </c>
      <c r="GX31">
        <f t="shared" si="54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ROW(SmtRes!A15)</f>
        <v>15</v>
      </c>
      <c r="D32" s="2">
        <f>ROW(EtalonRes!A22)</f>
        <v>22</v>
      </c>
      <c r="E32" s="2" t="s">
        <v>253</v>
      </c>
      <c r="F32" s="2" t="s">
        <v>254</v>
      </c>
      <c r="G32" s="2" t="s">
        <v>255</v>
      </c>
      <c r="H32" s="2" t="s">
        <v>256</v>
      </c>
      <c r="I32" s="2">
        <f>ROUND(20/100,9)</f>
        <v>0.2</v>
      </c>
      <c r="J32" s="2">
        <v>0</v>
      </c>
      <c r="K32" s="2"/>
      <c r="L32" s="2"/>
      <c r="M32" s="2"/>
      <c r="N32" s="2"/>
      <c r="O32" s="2">
        <f t="shared" si="21"/>
        <v>5.88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5.88</v>
      </c>
      <c r="T32" s="2">
        <f t="shared" si="26"/>
        <v>0</v>
      </c>
      <c r="U32" s="2">
        <f t="shared" si="27"/>
        <v>0.754</v>
      </c>
      <c r="V32" s="2">
        <f t="shared" si="28"/>
        <v>0</v>
      </c>
      <c r="W32" s="2">
        <f t="shared" si="29"/>
        <v>0</v>
      </c>
      <c r="X32" s="2">
        <f t="shared" si="30"/>
        <v>4.7</v>
      </c>
      <c r="Y32" s="2">
        <f t="shared" si="31"/>
        <v>4</v>
      </c>
      <c r="Z32" s="2"/>
      <c r="AA32" s="2">
        <v>16499835</v>
      </c>
      <c r="AB32" s="2">
        <f t="shared" si="32"/>
        <v>29.41</v>
      </c>
      <c r="AC32" s="2">
        <f t="shared" si="33"/>
        <v>0</v>
      </c>
      <c r="AD32" s="2">
        <f t="shared" si="55"/>
        <v>0</v>
      </c>
      <c r="AE32" s="2">
        <f t="shared" si="56"/>
        <v>0</v>
      </c>
      <c r="AF32" s="2">
        <f t="shared" si="57"/>
        <v>29.41</v>
      </c>
      <c r="AG32" s="2">
        <f t="shared" si="34"/>
        <v>0</v>
      </c>
      <c r="AH32" s="2">
        <f t="shared" si="58"/>
        <v>3.77</v>
      </c>
      <c r="AI32" s="2">
        <f t="shared" si="59"/>
        <v>0</v>
      </c>
      <c r="AJ32" s="2">
        <f t="shared" si="35"/>
        <v>0</v>
      </c>
      <c r="AK32" s="2">
        <v>29.41</v>
      </c>
      <c r="AL32" s="2">
        <v>0</v>
      </c>
      <c r="AM32" s="2">
        <v>0</v>
      </c>
      <c r="AN32" s="2">
        <v>0</v>
      </c>
      <c r="AO32" s="2">
        <v>29.41</v>
      </c>
      <c r="AP32" s="2">
        <v>0</v>
      </c>
      <c r="AQ32" s="2">
        <v>3.77</v>
      </c>
      <c r="AR32" s="2">
        <v>0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224</v>
      </c>
      <c r="BE32" s="2" t="s">
        <v>224</v>
      </c>
      <c r="BF32" s="2" t="s">
        <v>224</v>
      </c>
      <c r="BG32" s="2" t="s">
        <v>224</v>
      </c>
      <c r="BH32" s="2">
        <v>0</v>
      </c>
      <c r="BI32" s="2">
        <v>1</v>
      </c>
      <c r="BJ32" s="2" t="s">
        <v>257</v>
      </c>
      <c r="BK32" s="2"/>
      <c r="BL32" s="2"/>
      <c r="BM32" s="2">
        <v>57001</v>
      </c>
      <c r="BN32" s="2">
        <v>0</v>
      </c>
      <c r="BO32" s="2" t="s">
        <v>224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224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224</v>
      </c>
      <c r="CO32" s="2">
        <v>0</v>
      </c>
      <c r="CP32" s="2">
        <f t="shared" si="36"/>
        <v>5.88</v>
      </c>
      <c r="CQ32" s="2">
        <f t="shared" si="37"/>
        <v>0</v>
      </c>
      <c r="CR32" s="2">
        <f t="shared" si="38"/>
        <v>0</v>
      </c>
      <c r="CS32" s="2">
        <f t="shared" si="39"/>
        <v>0</v>
      </c>
      <c r="CT32" s="2">
        <f t="shared" si="40"/>
        <v>29.41</v>
      </c>
      <c r="CU32" s="2">
        <f t="shared" si="41"/>
        <v>0</v>
      </c>
      <c r="CV32" s="2">
        <f t="shared" si="42"/>
        <v>3.77</v>
      </c>
      <c r="CW32" s="2">
        <f t="shared" si="43"/>
        <v>0</v>
      </c>
      <c r="CX32" s="2">
        <f t="shared" si="44"/>
        <v>0</v>
      </c>
      <c r="CY32" s="2">
        <f t="shared" si="45"/>
        <v>4.7039999999999997</v>
      </c>
      <c r="CZ32" s="2">
        <f t="shared" si="46"/>
        <v>3.9983999999999997</v>
      </c>
      <c r="DA32" s="2"/>
      <c r="DB32" s="2"/>
      <c r="DC32" s="2" t="s">
        <v>224</v>
      </c>
      <c r="DD32" s="2" t="s">
        <v>224</v>
      </c>
      <c r="DE32" s="2" t="s">
        <v>224</v>
      </c>
      <c r="DF32" s="2" t="s">
        <v>224</v>
      </c>
      <c r="DG32" s="2" t="s">
        <v>224</v>
      </c>
      <c r="DH32" s="2" t="s">
        <v>224</v>
      </c>
      <c r="DI32" s="2" t="s">
        <v>224</v>
      </c>
      <c r="DJ32" s="2" t="s">
        <v>224</v>
      </c>
      <c r="DK32" s="2" t="s">
        <v>224</v>
      </c>
      <c r="DL32" s="2" t="s">
        <v>224</v>
      </c>
      <c r="DM32" s="2" t="s">
        <v>224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256</v>
      </c>
      <c r="DW32" s="2" t="s">
        <v>256</v>
      </c>
      <c r="DX32" s="2">
        <v>100</v>
      </c>
      <c r="DY32" s="2"/>
      <c r="DZ32" s="2"/>
      <c r="EA32" s="2"/>
      <c r="EB32" s="2"/>
      <c r="EC32" s="2"/>
      <c r="ED32" s="2"/>
      <c r="EE32" s="2">
        <v>15139179</v>
      </c>
      <c r="EF32" s="2">
        <v>6</v>
      </c>
      <c r="EG32" s="2" t="s">
        <v>250</v>
      </c>
      <c r="EH32" s="2">
        <v>0</v>
      </c>
      <c r="EI32" s="2" t="s">
        <v>224</v>
      </c>
      <c r="EJ32" s="2">
        <v>1</v>
      </c>
      <c r="EK32" s="2">
        <v>57001</v>
      </c>
      <c r="EL32" s="2" t="s">
        <v>251</v>
      </c>
      <c r="EM32" s="2" t="s">
        <v>252</v>
      </c>
      <c r="EN32" s="2"/>
      <c r="EO32" s="2" t="s">
        <v>224</v>
      </c>
      <c r="EP32" s="2"/>
      <c r="EQ32" s="2">
        <v>0</v>
      </c>
      <c r="ER32" s="2">
        <v>29.41</v>
      </c>
      <c r="ES32" s="2">
        <v>0</v>
      </c>
      <c r="ET32" s="2">
        <v>0</v>
      </c>
      <c r="EU32" s="2">
        <v>0</v>
      </c>
      <c r="EV32" s="2">
        <v>29.41</v>
      </c>
      <c r="EW32" s="2">
        <v>3.77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7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224</v>
      </c>
      <c r="GB32" s="2"/>
      <c r="GC32" s="2"/>
      <c r="GD32" s="2">
        <v>0</v>
      </c>
      <c r="GE32" s="2"/>
      <c r="GF32" s="2">
        <v>-1431764135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8"/>
        <v>0</v>
      </c>
      <c r="GM32" s="2">
        <f t="shared" si="49"/>
        <v>14.58</v>
      </c>
      <c r="GN32" s="2">
        <f t="shared" si="50"/>
        <v>14.58</v>
      </c>
      <c r="GO32" s="2">
        <f t="shared" si="51"/>
        <v>0</v>
      </c>
      <c r="GP32" s="2">
        <f t="shared" si="52"/>
        <v>0</v>
      </c>
      <c r="GQ32" s="2"/>
      <c r="GR32" s="2">
        <v>0</v>
      </c>
      <c r="GS32" s="2">
        <v>3</v>
      </c>
      <c r="GT32" s="2">
        <v>0</v>
      </c>
      <c r="GU32" s="2" t="s">
        <v>224</v>
      </c>
      <c r="GV32" s="2">
        <f t="shared" si="53"/>
        <v>0</v>
      </c>
      <c r="GW32" s="2">
        <v>1</v>
      </c>
      <c r="GX32" s="2">
        <f t="shared" si="54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ROW(SmtRes!A16)</f>
        <v>16</v>
      </c>
      <c r="D33">
        <f>ROW(EtalonRes!A24)</f>
        <v>24</v>
      </c>
      <c r="E33" t="s">
        <v>253</v>
      </c>
      <c r="F33" t="s">
        <v>254</v>
      </c>
      <c r="G33" t="s">
        <v>255</v>
      </c>
      <c r="H33" t="s">
        <v>256</v>
      </c>
      <c r="I33">
        <f>ROUND(20/100,9)</f>
        <v>0.2</v>
      </c>
      <c r="J33">
        <v>0</v>
      </c>
      <c r="O33">
        <f t="shared" si="21"/>
        <v>35.76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35.76</v>
      </c>
      <c r="T33">
        <f t="shared" si="26"/>
        <v>0</v>
      </c>
      <c r="U33">
        <f t="shared" si="27"/>
        <v>0.754</v>
      </c>
      <c r="V33">
        <f t="shared" si="28"/>
        <v>0</v>
      </c>
      <c r="W33">
        <f t="shared" si="29"/>
        <v>0</v>
      </c>
      <c r="X33">
        <f t="shared" si="30"/>
        <v>28.61</v>
      </c>
      <c r="Y33">
        <f t="shared" si="31"/>
        <v>24.32</v>
      </c>
      <c r="AA33">
        <v>16499878</v>
      </c>
      <c r="AB33">
        <f t="shared" si="32"/>
        <v>29.41</v>
      </c>
      <c r="AC33">
        <f t="shared" si="33"/>
        <v>0</v>
      </c>
      <c r="AD33">
        <f t="shared" si="55"/>
        <v>0</v>
      </c>
      <c r="AE33">
        <f t="shared" si="56"/>
        <v>0</v>
      </c>
      <c r="AF33">
        <f t="shared" si="57"/>
        <v>29.41</v>
      </c>
      <c r="AG33">
        <f t="shared" si="34"/>
        <v>0</v>
      </c>
      <c r="AH33">
        <f t="shared" si="58"/>
        <v>3.77</v>
      </c>
      <c r="AI33">
        <f t="shared" si="59"/>
        <v>0</v>
      </c>
      <c r="AJ33">
        <f t="shared" si="35"/>
        <v>0</v>
      </c>
      <c r="AK33">
        <v>29.41</v>
      </c>
      <c r="AL33">
        <v>0</v>
      </c>
      <c r="AM33">
        <v>0</v>
      </c>
      <c r="AN33">
        <v>0</v>
      </c>
      <c r="AO33">
        <v>29.41</v>
      </c>
      <c r="AP33">
        <v>0</v>
      </c>
      <c r="AQ33">
        <v>3.77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224</v>
      </c>
      <c r="BE33" t="s">
        <v>224</v>
      </c>
      <c r="BF33" t="s">
        <v>224</v>
      </c>
      <c r="BG33" t="s">
        <v>224</v>
      </c>
      <c r="BH33">
        <v>0</v>
      </c>
      <c r="BI33">
        <v>1</v>
      </c>
      <c r="BJ33" t="s">
        <v>257</v>
      </c>
      <c r="BM33">
        <v>57001</v>
      </c>
      <c r="BN33">
        <v>0</v>
      </c>
      <c r="BO33" t="s">
        <v>224</v>
      </c>
      <c r="BP33">
        <v>0</v>
      </c>
      <c r="BQ33">
        <v>6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224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224</v>
      </c>
      <c r="CO33">
        <v>0</v>
      </c>
      <c r="CP33">
        <f t="shared" si="36"/>
        <v>35.76</v>
      </c>
      <c r="CQ33">
        <f t="shared" si="37"/>
        <v>0</v>
      </c>
      <c r="CR33">
        <f t="shared" si="38"/>
        <v>0</v>
      </c>
      <c r="CS33">
        <f t="shared" si="39"/>
        <v>0</v>
      </c>
      <c r="CT33">
        <f t="shared" si="40"/>
        <v>178.81280000000001</v>
      </c>
      <c r="CU33">
        <f t="shared" si="41"/>
        <v>0</v>
      </c>
      <c r="CV33">
        <f t="shared" si="42"/>
        <v>3.77</v>
      </c>
      <c r="CW33">
        <f t="shared" si="43"/>
        <v>0</v>
      </c>
      <c r="CX33">
        <f t="shared" si="44"/>
        <v>0</v>
      </c>
      <c r="CY33">
        <f t="shared" si="45"/>
        <v>28.607999999999997</v>
      </c>
      <c r="CZ33">
        <f t="shared" si="46"/>
        <v>24.316799999999997</v>
      </c>
      <c r="DC33" t="s">
        <v>224</v>
      </c>
      <c r="DD33" t="s">
        <v>224</v>
      </c>
      <c r="DE33" t="s">
        <v>224</v>
      </c>
      <c r="DF33" t="s">
        <v>224</v>
      </c>
      <c r="DG33" t="s">
        <v>224</v>
      </c>
      <c r="DH33" t="s">
        <v>224</v>
      </c>
      <c r="DI33" t="s">
        <v>224</v>
      </c>
      <c r="DJ33" t="s">
        <v>224</v>
      </c>
      <c r="DK33" t="s">
        <v>224</v>
      </c>
      <c r="DL33" t="s">
        <v>224</v>
      </c>
      <c r="DM33" t="s">
        <v>224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256</v>
      </c>
      <c r="DW33" t="s">
        <v>256</v>
      </c>
      <c r="DX33">
        <v>100</v>
      </c>
      <c r="EE33">
        <v>15139179</v>
      </c>
      <c r="EF33">
        <v>6</v>
      </c>
      <c r="EG33" t="s">
        <v>250</v>
      </c>
      <c r="EH33">
        <v>0</v>
      </c>
      <c r="EI33" t="s">
        <v>224</v>
      </c>
      <c r="EJ33">
        <v>1</v>
      </c>
      <c r="EK33">
        <v>57001</v>
      </c>
      <c r="EL33" t="s">
        <v>251</v>
      </c>
      <c r="EM33" t="s">
        <v>252</v>
      </c>
      <c r="EO33" t="s">
        <v>224</v>
      </c>
      <c r="EQ33">
        <v>0</v>
      </c>
      <c r="ER33">
        <v>29.41</v>
      </c>
      <c r="ES33">
        <v>0</v>
      </c>
      <c r="ET33">
        <v>0</v>
      </c>
      <c r="EU33">
        <v>0</v>
      </c>
      <c r="EV33">
        <v>29.41</v>
      </c>
      <c r="EW33">
        <v>3.77</v>
      </c>
      <c r="EX33">
        <v>0</v>
      </c>
      <c r="EY33">
        <v>0</v>
      </c>
      <c r="FQ33">
        <v>0</v>
      </c>
      <c r="FR33">
        <f t="shared" si="47"/>
        <v>0</v>
      </c>
      <c r="FS33">
        <v>0</v>
      </c>
      <c r="FX33">
        <v>80</v>
      </c>
      <c r="FY33">
        <v>68</v>
      </c>
      <c r="GA33" t="s">
        <v>224</v>
      </c>
      <c r="GD33">
        <v>0</v>
      </c>
      <c r="GF33">
        <v>-1431764135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8"/>
        <v>0</v>
      </c>
      <c r="GM33">
        <f t="shared" si="49"/>
        <v>88.69</v>
      </c>
      <c r="GN33">
        <f t="shared" si="50"/>
        <v>88.69</v>
      </c>
      <c r="GO33">
        <f t="shared" si="51"/>
        <v>0</v>
      </c>
      <c r="GP33">
        <f t="shared" si="52"/>
        <v>0</v>
      </c>
      <c r="GR33">
        <v>0</v>
      </c>
      <c r="GS33">
        <v>3</v>
      </c>
      <c r="GT33">
        <v>0</v>
      </c>
      <c r="GU33" t="s">
        <v>224</v>
      </c>
      <c r="GV33">
        <f t="shared" si="53"/>
        <v>0</v>
      </c>
      <c r="GW33">
        <v>1</v>
      </c>
      <c r="GX33">
        <f t="shared" si="54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ROW(SmtRes!A18)</f>
        <v>18</v>
      </c>
      <c r="D34" s="2">
        <f>ROW(EtalonRes!A26)</f>
        <v>26</v>
      </c>
      <c r="E34" s="2" t="s">
        <v>258</v>
      </c>
      <c r="F34" s="2" t="s">
        <v>259</v>
      </c>
      <c r="G34" s="2" t="s">
        <v>260</v>
      </c>
      <c r="H34" s="2" t="s">
        <v>237</v>
      </c>
      <c r="I34" s="2">
        <f>ROUND(355/100,9)</f>
        <v>3.55</v>
      </c>
      <c r="J34" s="2">
        <v>0</v>
      </c>
      <c r="K34" s="2"/>
      <c r="L34" s="2"/>
      <c r="M34" s="2"/>
      <c r="N34" s="2"/>
      <c r="O34" s="2">
        <f t="shared" si="21"/>
        <v>1837.62</v>
      </c>
      <c r="P34" s="2">
        <f t="shared" si="22"/>
        <v>0</v>
      </c>
      <c r="Q34" s="2">
        <f t="shared" si="23"/>
        <v>300.26</v>
      </c>
      <c r="R34" s="2">
        <f t="shared" si="24"/>
        <v>0</v>
      </c>
      <c r="S34" s="2">
        <f t="shared" si="25"/>
        <v>1537.36</v>
      </c>
      <c r="T34" s="2">
        <f t="shared" si="26"/>
        <v>0</v>
      </c>
      <c r="U34" s="2">
        <f t="shared" si="27"/>
        <v>197.096</v>
      </c>
      <c r="V34" s="2">
        <f t="shared" si="28"/>
        <v>0</v>
      </c>
      <c r="W34" s="2">
        <f t="shared" si="29"/>
        <v>0</v>
      </c>
      <c r="X34" s="2">
        <f t="shared" si="30"/>
        <v>1521.99</v>
      </c>
      <c r="Y34" s="2">
        <f t="shared" si="31"/>
        <v>922.42</v>
      </c>
      <c r="Z34" s="2"/>
      <c r="AA34" s="2">
        <v>16499835</v>
      </c>
      <c r="AB34" s="2">
        <f t="shared" si="32"/>
        <v>517.64</v>
      </c>
      <c r="AC34" s="2">
        <f t="shared" si="33"/>
        <v>0</v>
      </c>
      <c r="AD34" s="2">
        <f t="shared" si="55"/>
        <v>84.58</v>
      </c>
      <c r="AE34" s="2">
        <f t="shared" si="56"/>
        <v>0</v>
      </c>
      <c r="AF34" s="2">
        <f t="shared" si="57"/>
        <v>433.06</v>
      </c>
      <c r="AG34" s="2">
        <f t="shared" si="34"/>
        <v>0</v>
      </c>
      <c r="AH34" s="2">
        <f t="shared" si="58"/>
        <v>55.52</v>
      </c>
      <c r="AI34" s="2">
        <f t="shared" si="59"/>
        <v>0</v>
      </c>
      <c r="AJ34" s="2">
        <f t="shared" si="35"/>
        <v>0</v>
      </c>
      <c r="AK34" s="2">
        <v>517.64</v>
      </c>
      <c r="AL34" s="2">
        <v>0</v>
      </c>
      <c r="AM34" s="2">
        <v>84.58</v>
      </c>
      <c r="AN34" s="2">
        <v>0</v>
      </c>
      <c r="AO34" s="2">
        <v>433.06</v>
      </c>
      <c r="AP34" s="2">
        <v>0</v>
      </c>
      <c r="AQ34" s="2">
        <v>55.52</v>
      </c>
      <c r="AR34" s="2">
        <v>0</v>
      </c>
      <c r="AS34" s="2">
        <v>0</v>
      </c>
      <c r="AT34" s="2">
        <v>99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224</v>
      </c>
      <c r="BE34" s="2" t="s">
        <v>224</v>
      </c>
      <c r="BF34" s="2" t="s">
        <v>224</v>
      </c>
      <c r="BG34" s="2" t="s">
        <v>224</v>
      </c>
      <c r="BH34" s="2">
        <v>0</v>
      </c>
      <c r="BI34" s="2">
        <v>1</v>
      </c>
      <c r="BJ34" s="2" t="s">
        <v>261</v>
      </c>
      <c r="BK34" s="2"/>
      <c r="BL34" s="2"/>
      <c r="BM34" s="2">
        <v>46001</v>
      </c>
      <c r="BN34" s="2">
        <v>0</v>
      </c>
      <c r="BO34" s="2" t="s">
        <v>224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224</v>
      </c>
      <c r="BZ34" s="2">
        <v>110</v>
      </c>
      <c r="CA34" s="2">
        <v>70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224</v>
      </c>
      <c r="CO34" s="2">
        <v>0</v>
      </c>
      <c r="CP34" s="2">
        <f t="shared" si="36"/>
        <v>1837.62</v>
      </c>
      <c r="CQ34" s="2">
        <f t="shared" si="37"/>
        <v>0</v>
      </c>
      <c r="CR34" s="2">
        <f t="shared" si="38"/>
        <v>84.58</v>
      </c>
      <c r="CS34" s="2">
        <f t="shared" si="39"/>
        <v>0</v>
      </c>
      <c r="CT34" s="2">
        <f t="shared" si="40"/>
        <v>433.06</v>
      </c>
      <c r="CU34" s="2">
        <f t="shared" si="41"/>
        <v>0</v>
      </c>
      <c r="CV34" s="2">
        <f t="shared" si="42"/>
        <v>55.52</v>
      </c>
      <c r="CW34" s="2">
        <f t="shared" si="43"/>
        <v>0</v>
      </c>
      <c r="CX34" s="2">
        <f t="shared" si="44"/>
        <v>0</v>
      </c>
      <c r="CY34" s="2">
        <f t="shared" si="45"/>
        <v>1521.9863999999998</v>
      </c>
      <c r="CZ34" s="2">
        <f t="shared" si="46"/>
        <v>922.41599999999994</v>
      </c>
      <c r="DA34" s="2"/>
      <c r="DB34" s="2"/>
      <c r="DC34" s="2" t="s">
        <v>224</v>
      </c>
      <c r="DD34" s="2" t="s">
        <v>224</v>
      </c>
      <c r="DE34" s="2" t="s">
        <v>224</v>
      </c>
      <c r="DF34" s="2" t="s">
        <v>224</v>
      </c>
      <c r="DG34" s="2" t="s">
        <v>224</v>
      </c>
      <c r="DH34" s="2" t="s">
        <v>224</v>
      </c>
      <c r="DI34" s="2" t="s">
        <v>224</v>
      </c>
      <c r="DJ34" s="2" t="s">
        <v>224</v>
      </c>
      <c r="DK34" s="2" t="s">
        <v>224</v>
      </c>
      <c r="DL34" s="2" t="s">
        <v>224</v>
      </c>
      <c r="DM34" s="2" t="s">
        <v>224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237</v>
      </c>
      <c r="DW34" s="2" t="s">
        <v>237</v>
      </c>
      <c r="DX34" s="2">
        <v>100</v>
      </c>
      <c r="DY34" s="2"/>
      <c r="DZ34" s="2"/>
      <c r="EA34" s="2"/>
      <c r="EB34" s="2"/>
      <c r="EC34" s="2"/>
      <c r="ED34" s="2"/>
      <c r="EE34" s="2">
        <v>15139168</v>
      </c>
      <c r="EF34" s="2">
        <v>2</v>
      </c>
      <c r="EG34" s="2" t="s">
        <v>233</v>
      </c>
      <c r="EH34" s="2">
        <v>0</v>
      </c>
      <c r="EI34" s="2" t="s">
        <v>224</v>
      </c>
      <c r="EJ34" s="2">
        <v>1</v>
      </c>
      <c r="EK34" s="2">
        <v>46001</v>
      </c>
      <c r="EL34" s="2" t="s">
        <v>262</v>
      </c>
      <c r="EM34" s="2" t="s">
        <v>263</v>
      </c>
      <c r="EN34" s="2"/>
      <c r="EO34" s="2" t="s">
        <v>224</v>
      </c>
      <c r="EP34" s="2"/>
      <c r="EQ34" s="2">
        <v>0</v>
      </c>
      <c r="ER34" s="2">
        <v>517.64</v>
      </c>
      <c r="ES34" s="2">
        <v>0</v>
      </c>
      <c r="ET34" s="2">
        <v>84.58</v>
      </c>
      <c r="EU34" s="2">
        <v>0</v>
      </c>
      <c r="EV34" s="2">
        <v>433.06</v>
      </c>
      <c r="EW34" s="2">
        <v>55.52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7"/>
        <v>0</v>
      </c>
      <c r="FS34" s="2">
        <v>0</v>
      </c>
      <c r="FT34" s="2" t="s">
        <v>244</v>
      </c>
      <c r="FU34" s="2" t="s">
        <v>245</v>
      </c>
      <c r="FV34" s="2"/>
      <c r="FW34" s="2"/>
      <c r="FX34" s="2">
        <v>99</v>
      </c>
      <c r="FY34" s="2">
        <v>59.5</v>
      </c>
      <c r="FZ34" s="2"/>
      <c r="GA34" s="2" t="s">
        <v>224</v>
      </c>
      <c r="GB34" s="2"/>
      <c r="GC34" s="2"/>
      <c r="GD34" s="2">
        <v>0</v>
      </c>
      <c r="GE34" s="2"/>
      <c r="GF34" s="2">
        <v>-120198824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8"/>
        <v>0</v>
      </c>
      <c r="GM34" s="2">
        <f t="shared" si="49"/>
        <v>4282.03</v>
      </c>
      <c r="GN34" s="2">
        <f t="shared" si="50"/>
        <v>4282.03</v>
      </c>
      <c r="GO34" s="2">
        <f t="shared" si="51"/>
        <v>0</v>
      </c>
      <c r="GP34" s="2">
        <f t="shared" si="52"/>
        <v>0</v>
      </c>
      <c r="GQ34" s="2"/>
      <c r="GR34" s="2">
        <v>0</v>
      </c>
      <c r="GS34" s="2">
        <v>3</v>
      </c>
      <c r="GT34" s="2">
        <v>0</v>
      </c>
      <c r="GU34" s="2" t="s">
        <v>224</v>
      </c>
      <c r="GV34" s="2">
        <f t="shared" si="53"/>
        <v>0</v>
      </c>
      <c r="GW34" s="2">
        <v>1</v>
      </c>
      <c r="GX34" s="2">
        <f t="shared" si="54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ROW(SmtRes!A20)</f>
        <v>20</v>
      </c>
      <c r="D35">
        <f>ROW(EtalonRes!A28)</f>
        <v>28</v>
      </c>
      <c r="E35" t="s">
        <v>258</v>
      </c>
      <c r="F35" t="s">
        <v>259</v>
      </c>
      <c r="G35" t="s">
        <v>260</v>
      </c>
      <c r="H35" t="s">
        <v>237</v>
      </c>
      <c r="I35">
        <f>ROUND(355/100,9)</f>
        <v>3.55</v>
      </c>
      <c r="J35">
        <v>0</v>
      </c>
      <c r="O35">
        <f t="shared" si="21"/>
        <v>11172.74</v>
      </c>
      <c r="P35">
        <f t="shared" si="22"/>
        <v>0</v>
      </c>
      <c r="Q35">
        <f t="shared" si="23"/>
        <v>1825.57</v>
      </c>
      <c r="R35">
        <f t="shared" si="24"/>
        <v>0</v>
      </c>
      <c r="S35">
        <f t="shared" si="25"/>
        <v>9347.17</v>
      </c>
      <c r="T35">
        <f t="shared" si="26"/>
        <v>0</v>
      </c>
      <c r="U35">
        <f t="shared" si="27"/>
        <v>197.096</v>
      </c>
      <c r="V35">
        <f t="shared" si="28"/>
        <v>0</v>
      </c>
      <c r="W35">
        <f t="shared" si="29"/>
        <v>0</v>
      </c>
      <c r="X35">
        <f t="shared" si="30"/>
        <v>9253.7000000000007</v>
      </c>
      <c r="Y35">
        <f t="shared" si="31"/>
        <v>5608.3</v>
      </c>
      <c r="AA35">
        <v>16499878</v>
      </c>
      <c r="AB35">
        <f t="shared" si="32"/>
        <v>517.64</v>
      </c>
      <c r="AC35">
        <f t="shared" si="33"/>
        <v>0</v>
      </c>
      <c r="AD35">
        <f t="shared" si="55"/>
        <v>84.58</v>
      </c>
      <c r="AE35">
        <f t="shared" si="56"/>
        <v>0</v>
      </c>
      <c r="AF35">
        <f t="shared" si="57"/>
        <v>433.06</v>
      </c>
      <c r="AG35">
        <f t="shared" si="34"/>
        <v>0</v>
      </c>
      <c r="AH35">
        <f t="shared" si="58"/>
        <v>55.52</v>
      </c>
      <c r="AI35">
        <f t="shared" si="59"/>
        <v>0</v>
      </c>
      <c r="AJ35">
        <f t="shared" si="35"/>
        <v>0</v>
      </c>
      <c r="AK35">
        <v>517.64</v>
      </c>
      <c r="AL35">
        <v>0</v>
      </c>
      <c r="AM35">
        <v>84.58</v>
      </c>
      <c r="AN35">
        <v>0</v>
      </c>
      <c r="AO35">
        <v>433.06</v>
      </c>
      <c r="AP35">
        <v>0</v>
      </c>
      <c r="AQ35">
        <v>55.52</v>
      </c>
      <c r="AR35">
        <v>0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6.08</v>
      </c>
      <c r="BA35">
        <v>6.08</v>
      </c>
      <c r="BB35">
        <v>6.08</v>
      </c>
      <c r="BC35">
        <v>6.08</v>
      </c>
      <c r="BD35" t="s">
        <v>224</v>
      </c>
      <c r="BE35" t="s">
        <v>224</v>
      </c>
      <c r="BF35" t="s">
        <v>224</v>
      </c>
      <c r="BG35" t="s">
        <v>224</v>
      </c>
      <c r="BH35">
        <v>0</v>
      </c>
      <c r="BI35">
        <v>1</v>
      </c>
      <c r="BJ35" t="s">
        <v>261</v>
      </c>
      <c r="BM35">
        <v>46001</v>
      </c>
      <c r="BN35">
        <v>0</v>
      </c>
      <c r="BO35" t="s">
        <v>224</v>
      </c>
      <c r="BP35">
        <v>0</v>
      </c>
      <c r="BQ35">
        <v>2</v>
      </c>
      <c r="BR35">
        <v>0</v>
      </c>
      <c r="BS35">
        <v>6.08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224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224</v>
      </c>
      <c r="CO35">
        <v>0</v>
      </c>
      <c r="CP35">
        <f t="shared" si="36"/>
        <v>11172.74</v>
      </c>
      <c r="CQ35">
        <f t="shared" si="37"/>
        <v>0</v>
      </c>
      <c r="CR35">
        <f t="shared" si="38"/>
        <v>514.24639999999999</v>
      </c>
      <c r="CS35">
        <f t="shared" si="39"/>
        <v>0</v>
      </c>
      <c r="CT35">
        <f t="shared" si="40"/>
        <v>2633.0048000000002</v>
      </c>
      <c r="CU35">
        <f t="shared" si="41"/>
        <v>0</v>
      </c>
      <c r="CV35">
        <f t="shared" si="42"/>
        <v>55.52</v>
      </c>
      <c r="CW35">
        <f t="shared" si="43"/>
        <v>0</v>
      </c>
      <c r="CX35">
        <f t="shared" si="44"/>
        <v>0</v>
      </c>
      <c r="CY35">
        <f t="shared" si="45"/>
        <v>9253.6983</v>
      </c>
      <c r="CZ35">
        <f t="shared" si="46"/>
        <v>5608.3019999999997</v>
      </c>
      <c r="DC35" t="s">
        <v>224</v>
      </c>
      <c r="DD35" t="s">
        <v>224</v>
      </c>
      <c r="DE35" t="s">
        <v>224</v>
      </c>
      <c r="DF35" t="s">
        <v>224</v>
      </c>
      <c r="DG35" t="s">
        <v>224</v>
      </c>
      <c r="DH35" t="s">
        <v>224</v>
      </c>
      <c r="DI35" t="s">
        <v>224</v>
      </c>
      <c r="DJ35" t="s">
        <v>224</v>
      </c>
      <c r="DK35" t="s">
        <v>224</v>
      </c>
      <c r="DL35" t="s">
        <v>224</v>
      </c>
      <c r="DM35" t="s">
        <v>224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237</v>
      </c>
      <c r="DW35" t="s">
        <v>237</v>
      </c>
      <c r="DX35">
        <v>100</v>
      </c>
      <c r="EE35">
        <v>15139168</v>
      </c>
      <c r="EF35">
        <v>2</v>
      </c>
      <c r="EG35" t="s">
        <v>233</v>
      </c>
      <c r="EH35">
        <v>0</v>
      </c>
      <c r="EI35" t="s">
        <v>224</v>
      </c>
      <c r="EJ35">
        <v>1</v>
      </c>
      <c r="EK35">
        <v>46001</v>
      </c>
      <c r="EL35" t="s">
        <v>262</v>
      </c>
      <c r="EM35" t="s">
        <v>263</v>
      </c>
      <c r="EO35" t="s">
        <v>224</v>
      </c>
      <c r="EQ35">
        <v>0</v>
      </c>
      <c r="ER35">
        <v>517.64</v>
      </c>
      <c r="ES35">
        <v>0</v>
      </c>
      <c r="ET35">
        <v>84.58</v>
      </c>
      <c r="EU35">
        <v>0</v>
      </c>
      <c r="EV35">
        <v>433.06</v>
      </c>
      <c r="EW35">
        <v>55.52</v>
      </c>
      <c r="EX35">
        <v>0</v>
      </c>
      <c r="EY35">
        <v>0</v>
      </c>
      <c r="FQ35">
        <v>0</v>
      </c>
      <c r="FR35">
        <f t="shared" si="47"/>
        <v>0</v>
      </c>
      <c r="FS35">
        <v>0</v>
      </c>
      <c r="FT35" t="s">
        <v>244</v>
      </c>
      <c r="FU35" t="s">
        <v>245</v>
      </c>
      <c r="FX35">
        <v>99</v>
      </c>
      <c r="FY35">
        <v>59.5</v>
      </c>
      <c r="GA35" t="s">
        <v>224</v>
      </c>
      <c r="GD35">
        <v>0</v>
      </c>
      <c r="GF35">
        <v>-120198824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8"/>
        <v>0</v>
      </c>
      <c r="GM35">
        <f t="shared" si="49"/>
        <v>26034.74</v>
      </c>
      <c r="GN35">
        <f t="shared" si="50"/>
        <v>26034.74</v>
      </c>
      <c r="GO35">
        <f t="shared" si="51"/>
        <v>0</v>
      </c>
      <c r="GP35">
        <f t="shared" si="52"/>
        <v>0</v>
      </c>
      <c r="GR35">
        <v>0</v>
      </c>
      <c r="GS35">
        <v>3</v>
      </c>
      <c r="GT35">
        <v>0</v>
      </c>
      <c r="GU35" t="s">
        <v>224</v>
      </c>
      <c r="GV35">
        <f t="shared" si="53"/>
        <v>0</v>
      </c>
      <c r="GW35">
        <v>1</v>
      </c>
      <c r="GX35">
        <f t="shared" si="54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ROW(SmtRes!A22)</f>
        <v>22</v>
      </c>
      <c r="D36" s="2">
        <f>ROW(EtalonRes!A31)</f>
        <v>31</v>
      </c>
      <c r="E36" s="2" t="s">
        <v>264</v>
      </c>
      <c r="F36" s="2" t="s">
        <v>265</v>
      </c>
      <c r="G36" s="2" t="s">
        <v>266</v>
      </c>
      <c r="H36" s="2" t="s">
        <v>256</v>
      </c>
      <c r="I36" s="2">
        <f>ROUND(30/100,9)</f>
        <v>0.3</v>
      </c>
      <c r="J36" s="2">
        <v>0</v>
      </c>
      <c r="K36" s="2"/>
      <c r="L36" s="2"/>
      <c r="M36" s="2"/>
      <c r="N36" s="2"/>
      <c r="O36" s="2">
        <f t="shared" si="21"/>
        <v>21.35</v>
      </c>
      <c r="P36" s="2">
        <f t="shared" si="22"/>
        <v>0</v>
      </c>
      <c r="Q36" s="2">
        <f t="shared" si="23"/>
        <v>0.06</v>
      </c>
      <c r="R36" s="2">
        <f t="shared" si="24"/>
        <v>0</v>
      </c>
      <c r="S36" s="2">
        <f t="shared" si="25"/>
        <v>21.29</v>
      </c>
      <c r="T36" s="2">
        <f t="shared" si="26"/>
        <v>0</v>
      </c>
      <c r="U36" s="2">
        <f t="shared" si="27"/>
        <v>2.73</v>
      </c>
      <c r="V36" s="2">
        <f t="shared" si="28"/>
        <v>0</v>
      </c>
      <c r="W36" s="2">
        <f t="shared" si="29"/>
        <v>0</v>
      </c>
      <c r="X36" s="2">
        <f t="shared" si="30"/>
        <v>17.670000000000002</v>
      </c>
      <c r="Y36" s="2">
        <f t="shared" si="31"/>
        <v>13.84</v>
      </c>
      <c r="Z36" s="2"/>
      <c r="AA36" s="2">
        <v>16499835</v>
      </c>
      <c r="AB36" s="2">
        <f t="shared" si="32"/>
        <v>71.180000000000007</v>
      </c>
      <c r="AC36" s="2">
        <f t="shared" si="33"/>
        <v>0</v>
      </c>
      <c r="AD36" s="2">
        <f t="shared" si="55"/>
        <v>0.2</v>
      </c>
      <c r="AE36" s="2">
        <f t="shared" si="56"/>
        <v>0</v>
      </c>
      <c r="AF36" s="2">
        <f t="shared" si="57"/>
        <v>70.98</v>
      </c>
      <c r="AG36" s="2">
        <f t="shared" si="34"/>
        <v>0</v>
      </c>
      <c r="AH36" s="2">
        <f t="shared" si="58"/>
        <v>9.1</v>
      </c>
      <c r="AI36" s="2">
        <f t="shared" si="59"/>
        <v>0</v>
      </c>
      <c r="AJ36" s="2">
        <f t="shared" si="35"/>
        <v>0</v>
      </c>
      <c r="AK36" s="2">
        <v>71.180000000000007</v>
      </c>
      <c r="AL36" s="2">
        <v>0</v>
      </c>
      <c r="AM36" s="2">
        <v>0.2</v>
      </c>
      <c r="AN36" s="2">
        <v>0</v>
      </c>
      <c r="AO36" s="2">
        <v>70.98</v>
      </c>
      <c r="AP36" s="2">
        <v>0</v>
      </c>
      <c r="AQ36" s="2">
        <v>9.1</v>
      </c>
      <c r="AR36" s="2">
        <v>0</v>
      </c>
      <c r="AS36" s="2">
        <v>0</v>
      </c>
      <c r="AT36" s="2">
        <v>83</v>
      </c>
      <c r="AU36" s="2">
        <v>65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224</v>
      </c>
      <c r="BE36" s="2" t="s">
        <v>224</v>
      </c>
      <c r="BF36" s="2" t="s">
        <v>224</v>
      </c>
      <c r="BG36" s="2" t="s">
        <v>224</v>
      </c>
      <c r="BH36" s="2">
        <v>0</v>
      </c>
      <c r="BI36" s="2">
        <v>1</v>
      </c>
      <c r="BJ36" s="2" t="s">
        <v>267</v>
      </c>
      <c r="BK36" s="2"/>
      <c r="BL36" s="2"/>
      <c r="BM36" s="2">
        <v>58001</v>
      </c>
      <c r="BN36" s="2">
        <v>0</v>
      </c>
      <c r="BO36" s="2" t="s">
        <v>224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224</v>
      </c>
      <c r="BZ36" s="2">
        <v>83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224</v>
      </c>
      <c r="CO36" s="2">
        <v>0</v>
      </c>
      <c r="CP36" s="2">
        <f t="shared" si="36"/>
        <v>21.349999999999998</v>
      </c>
      <c r="CQ36" s="2">
        <f t="shared" si="37"/>
        <v>0</v>
      </c>
      <c r="CR36" s="2">
        <f t="shared" si="38"/>
        <v>0.2</v>
      </c>
      <c r="CS36" s="2">
        <f t="shared" si="39"/>
        <v>0</v>
      </c>
      <c r="CT36" s="2">
        <f t="shared" si="40"/>
        <v>70.98</v>
      </c>
      <c r="CU36" s="2">
        <f t="shared" si="41"/>
        <v>0</v>
      </c>
      <c r="CV36" s="2">
        <f t="shared" si="42"/>
        <v>9.1</v>
      </c>
      <c r="CW36" s="2">
        <f t="shared" si="43"/>
        <v>0</v>
      </c>
      <c r="CX36" s="2">
        <f t="shared" si="44"/>
        <v>0</v>
      </c>
      <c r="CY36" s="2">
        <f t="shared" si="45"/>
        <v>17.6707</v>
      </c>
      <c r="CZ36" s="2">
        <f t="shared" si="46"/>
        <v>13.8385</v>
      </c>
      <c r="DA36" s="2"/>
      <c r="DB36" s="2"/>
      <c r="DC36" s="2" t="s">
        <v>224</v>
      </c>
      <c r="DD36" s="2" t="s">
        <v>224</v>
      </c>
      <c r="DE36" s="2" t="s">
        <v>224</v>
      </c>
      <c r="DF36" s="2" t="s">
        <v>224</v>
      </c>
      <c r="DG36" s="2" t="s">
        <v>224</v>
      </c>
      <c r="DH36" s="2" t="s">
        <v>224</v>
      </c>
      <c r="DI36" s="2" t="s">
        <v>224</v>
      </c>
      <c r="DJ36" s="2" t="s">
        <v>224</v>
      </c>
      <c r="DK36" s="2" t="s">
        <v>224</v>
      </c>
      <c r="DL36" s="2" t="s">
        <v>224</v>
      </c>
      <c r="DM36" s="2" t="s">
        <v>224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256</v>
      </c>
      <c r="DW36" s="2" t="s">
        <v>256</v>
      </c>
      <c r="DX36" s="2">
        <v>100</v>
      </c>
      <c r="DY36" s="2"/>
      <c r="DZ36" s="2"/>
      <c r="EA36" s="2"/>
      <c r="EB36" s="2"/>
      <c r="EC36" s="2"/>
      <c r="ED36" s="2"/>
      <c r="EE36" s="2">
        <v>15139180</v>
      </c>
      <c r="EF36" s="2">
        <v>6</v>
      </c>
      <c r="EG36" s="2" t="s">
        <v>250</v>
      </c>
      <c r="EH36" s="2">
        <v>0</v>
      </c>
      <c r="EI36" s="2" t="s">
        <v>224</v>
      </c>
      <c r="EJ36" s="2">
        <v>1</v>
      </c>
      <c r="EK36" s="2">
        <v>58001</v>
      </c>
      <c r="EL36" s="2" t="s">
        <v>268</v>
      </c>
      <c r="EM36" s="2" t="s">
        <v>269</v>
      </c>
      <c r="EN36" s="2"/>
      <c r="EO36" s="2" t="s">
        <v>224</v>
      </c>
      <c r="EP36" s="2"/>
      <c r="EQ36" s="2">
        <v>0</v>
      </c>
      <c r="ER36" s="2">
        <v>71.180000000000007</v>
      </c>
      <c r="ES36" s="2">
        <v>0</v>
      </c>
      <c r="ET36" s="2">
        <v>0.2</v>
      </c>
      <c r="EU36" s="2">
        <v>0</v>
      </c>
      <c r="EV36" s="2">
        <v>70.98</v>
      </c>
      <c r="EW36" s="2">
        <v>9.1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7"/>
        <v>0</v>
      </c>
      <c r="FS36" s="2">
        <v>0</v>
      </c>
      <c r="FT36" s="2"/>
      <c r="FU36" s="2"/>
      <c r="FV36" s="2"/>
      <c r="FW36" s="2"/>
      <c r="FX36" s="2">
        <v>83</v>
      </c>
      <c r="FY36" s="2">
        <v>65</v>
      </c>
      <c r="FZ36" s="2"/>
      <c r="GA36" s="2" t="s">
        <v>224</v>
      </c>
      <c r="GB36" s="2"/>
      <c r="GC36" s="2"/>
      <c r="GD36" s="2">
        <v>0</v>
      </c>
      <c r="GE36" s="2"/>
      <c r="GF36" s="2">
        <v>-1944869968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8"/>
        <v>0</v>
      </c>
      <c r="GM36" s="2">
        <f t="shared" si="49"/>
        <v>52.86</v>
      </c>
      <c r="GN36" s="2">
        <f t="shared" si="50"/>
        <v>52.86</v>
      </c>
      <c r="GO36" s="2">
        <f t="shared" si="51"/>
        <v>0</v>
      </c>
      <c r="GP36" s="2">
        <f t="shared" si="52"/>
        <v>0</v>
      </c>
      <c r="GQ36" s="2"/>
      <c r="GR36" s="2">
        <v>0</v>
      </c>
      <c r="GS36" s="2">
        <v>3</v>
      </c>
      <c r="GT36" s="2">
        <v>0</v>
      </c>
      <c r="GU36" s="2" t="s">
        <v>224</v>
      </c>
      <c r="GV36" s="2">
        <f t="shared" si="53"/>
        <v>0</v>
      </c>
      <c r="GW36" s="2">
        <v>1</v>
      </c>
      <c r="GX36" s="2">
        <f t="shared" si="54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ROW(SmtRes!A24)</f>
        <v>24</v>
      </c>
      <c r="D37">
        <f>ROW(EtalonRes!A34)</f>
        <v>34</v>
      </c>
      <c r="E37" t="s">
        <v>264</v>
      </c>
      <c r="F37" t="s">
        <v>265</v>
      </c>
      <c r="G37" t="s">
        <v>266</v>
      </c>
      <c r="H37" t="s">
        <v>256</v>
      </c>
      <c r="I37">
        <f>ROUND(30/100,9)</f>
        <v>0.3</v>
      </c>
      <c r="J37">
        <v>0</v>
      </c>
      <c r="O37">
        <f t="shared" si="21"/>
        <v>129.83000000000001</v>
      </c>
      <c r="P37">
        <f t="shared" si="22"/>
        <v>0</v>
      </c>
      <c r="Q37">
        <f t="shared" si="23"/>
        <v>0.36</v>
      </c>
      <c r="R37">
        <f t="shared" si="24"/>
        <v>0</v>
      </c>
      <c r="S37">
        <f t="shared" si="25"/>
        <v>129.47</v>
      </c>
      <c r="T37">
        <f t="shared" si="26"/>
        <v>0</v>
      </c>
      <c r="U37">
        <f t="shared" si="27"/>
        <v>2.73</v>
      </c>
      <c r="V37">
        <f t="shared" si="28"/>
        <v>0</v>
      </c>
      <c r="W37">
        <f t="shared" si="29"/>
        <v>0</v>
      </c>
      <c r="X37">
        <f t="shared" si="30"/>
        <v>107.46</v>
      </c>
      <c r="Y37">
        <f t="shared" si="31"/>
        <v>84.16</v>
      </c>
      <c r="AA37">
        <v>16499878</v>
      </c>
      <c r="AB37">
        <f t="shared" si="32"/>
        <v>71.180000000000007</v>
      </c>
      <c r="AC37">
        <f t="shared" si="33"/>
        <v>0</v>
      </c>
      <c r="AD37">
        <f t="shared" si="55"/>
        <v>0.2</v>
      </c>
      <c r="AE37">
        <f t="shared" si="56"/>
        <v>0</v>
      </c>
      <c r="AF37">
        <f t="shared" si="57"/>
        <v>70.98</v>
      </c>
      <c r="AG37">
        <f t="shared" si="34"/>
        <v>0</v>
      </c>
      <c r="AH37">
        <f t="shared" si="58"/>
        <v>9.1</v>
      </c>
      <c r="AI37">
        <f t="shared" si="59"/>
        <v>0</v>
      </c>
      <c r="AJ37">
        <f t="shared" si="35"/>
        <v>0</v>
      </c>
      <c r="AK37">
        <v>71.180000000000007</v>
      </c>
      <c r="AL37">
        <v>0</v>
      </c>
      <c r="AM37">
        <v>0.2</v>
      </c>
      <c r="AN37">
        <v>0</v>
      </c>
      <c r="AO37">
        <v>70.98</v>
      </c>
      <c r="AP37">
        <v>0</v>
      </c>
      <c r="AQ37">
        <v>9.1</v>
      </c>
      <c r="AR37">
        <v>0</v>
      </c>
      <c r="AS37">
        <v>0</v>
      </c>
      <c r="AT37">
        <v>83</v>
      </c>
      <c r="AU37">
        <v>65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224</v>
      </c>
      <c r="BE37" t="s">
        <v>224</v>
      </c>
      <c r="BF37" t="s">
        <v>224</v>
      </c>
      <c r="BG37" t="s">
        <v>224</v>
      </c>
      <c r="BH37">
        <v>0</v>
      </c>
      <c r="BI37">
        <v>1</v>
      </c>
      <c r="BJ37" t="s">
        <v>267</v>
      </c>
      <c r="BM37">
        <v>58001</v>
      </c>
      <c r="BN37">
        <v>0</v>
      </c>
      <c r="BO37" t="s">
        <v>224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224</v>
      </c>
      <c r="BZ37">
        <v>83</v>
      </c>
      <c r="CA37">
        <v>65</v>
      </c>
      <c r="CF37">
        <v>0</v>
      </c>
      <c r="CG37">
        <v>0</v>
      </c>
      <c r="CM37">
        <v>0</v>
      </c>
      <c r="CN37" t="s">
        <v>224</v>
      </c>
      <c r="CO37">
        <v>0</v>
      </c>
      <c r="CP37">
        <f t="shared" si="36"/>
        <v>129.83000000000001</v>
      </c>
      <c r="CQ37">
        <f t="shared" si="37"/>
        <v>0</v>
      </c>
      <c r="CR37">
        <f t="shared" si="38"/>
        <v>1.2160000000000002</v>
      </c>
      <c r="CS37">
        <f t="shared" si="39"/>
        <v>0</v>
      </c>
      <c r="CT37">
        <f t="shared" si="40"/>
        <v>431.55840000000001</v>
      </c>
      <c r="CU37">
        <f t="shared" si="41"/>
        <v>0</v>
      </c>
      <c r="CV37">
        <f t="shared" si="42"/>
        <v>9.1</v>
      </c>
      <c r="CW37">
        <f t="shared" si="43"/>
        <v>0</v>
      </c>
      <c r="CX37">
        <f t="shared" si="44"/>
        <v>0</v>
      </c>
      <c r="CY37">
        <f t="shared" si="45"/>
        <v>107.4601</v>
      </c>
      <c r="CZ37">
        <f t="shared" si="46"/>
        <v>84.155499999999989</v>
      </c>
      <c r="DC37" t="s">
        <v>224</v>
      </c>
      <c r="DD37" t="s">
        <v>224</v>
      </c>
      <c r="DE37" t="s">
        <v>224</v>
      </c>
      <c r="DF37" t="s">
        <v>224</v>
      </c>
      <c r="DG37" t="s">
        <v>224</v>
      </c>
      <c r="DH37" t="s">
        <v>224</v>
      </c>
      <c r="DI37" t="s">
        <v>224</v>
      </c>
      <c r="DJ37" t="s">
        <v>224</v>
      </c>
      <c r="DK37" t="s">
        <v>224</v>
      </c>
      <c r="DL37" t="s">
        <v>224</v>
      </c>
      <c r="DM37" t="s">
        <v>224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256</v>
      </c>
      <c r="DW37" t="s">
        <v>256</v>
      </c>
      <c r="DX37">
        <v>100</v>
      </c>
      <c r="EE37">
        <v>15139180</v>
      </c>
      <c r="EF37">
        <v>6</v>
      </c>
      <c r="EG37" t="s">
        <v>250</v>
      </c>
      <c r="EH37">
        <v>0</v>
      </c>
      <c r="EI37" t="s">
        <v>224</v>
      </c>
      <c r="EJ37">
        <v>1</v>
      </c>
      <c r="EK37">
        <v>58001</v>
      </c>
      <c r="EL37" t="s">
        <v>268</v>
      </c>
      <c r="EM37" t="s">
        <v>269</v>
      </c>
      <c r="EO37" t="s">
        <v>224</v>
      </c>
      <c r="EQ37">
        <v>0</v>
      </c>
      <c r="ER37">
        <v>71.180000000000007</v>
      </c>
      <c r="ES37">
        <v>0</v>
      </c>
      <c r="ET37">
        <v>0.2</v>
      </c>
      <c r="EU37">
        <v>0</v>
      </c>
      <c r="EV37">
        <v>70.98</v>
      </c>
      <c r="EW37">
        <v>9.1</v>
      </c>
      <c r="EX37">
        <v>0</v>
      </c>
      <c r="EY37">
        <v>0</v>
      </c>
      <c r="FQ37">
        <v>0</v>
      </c>
      <c r="FR37">
        <f t="shared" si="47"/>
        <v>0</v>
      </c>
      <c r="FS37">
        <v>0</v>
      </c>
      <c r="FX37">
        <v>83</v>
      </c>
      <c r="FY37">
        <v>65</v>
      </c>
      <c r="GA37" t="s">
        <v>224</v>
      </c>
      <c r="GD37">
        <v>0</v>
      </c>
      <c r="GF37">
        <v>-1944869968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8"/>
        <v>0</v>
      </c>
      <c r="GM37">
        <f t="shared" si="49"/>
        <v>321.45</v>
      </c>
      <c r="GN37">
        <f t="shared" si="50"/>
        <v>321.45</v>
      </c>
      <c r="GO37">
        <f t="shared" si="51"/>
        <v>0</v>
      </c>
      <c r="GP37">
        <f t="shared" si="52"/>
        <v>0</v>
      </c>
      <c r="GR37">
        <v>0</v>
      </c>
      <c r="GS37">
        <v>3</v>
      </c>
      <c r="GT37">
        <v>0</v>
      </c>
      <c r="GU37" t="s">
        <v>224</v>
      </c>
      <c r="GV37">
        <f t="shared" si="53"/>
        <v>0</v>
      </c>
      <c r="GW37">
        <v>1</v>
      </c>
      <c r="GX37">
        <f t="shared" si="54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ROW(SmtRes!A27)</f>
        <v>27</v>
      </c>
      <c r="D38" s="2">
        <f>ROW(EtalonRes!A37)</f>
        <v>37</v>
      </c>
      <c r="E38" s="2" t="s">
        <v>270</v>
      </c>
      <c r="F38" s="2" t="s">
        <v>271</v>
      </c>
      <c r="G38" s="2" t="s">
        <v>272</v>
      </c>
      <c r="H38" s="2" t="s">
        <v>237</v>
      </c>
      <c r="I38" s="2">
        <f>ROUND(7.65/100,9)</f>
        <v>7.6499999999999999E-2</v>
      </c>
      <c r="J38" s="2">
        <v>0</v>
      </c>
      <c r="K38" s="2"/>
      <c r="L38" s="2"/>
      <c r="M38" s="2"/>
      <c r="N38" s="2"/>
      <c r="O38" s="2">
        <f t="shared" si="21"/>
        <v>82.82</v>
      </c>
      <c r="P38" s="2">
        <f t="shared" si="22"/>
        <v>0</v>
      </c>
      <c r="Q38" s="2">
        <f t="shared" si="23"/>
        <v>18.510000000000002</v>
      </c>
      <c r="R38" s="2">
        <f t="shared" si="24"/>
        <v>7.99</v>
      </c>
      <c r="S38" s="2">
        <f t="shared" si="25"/>
        <v>64.31</v>
      </c>
      <c r="T38" s="2">
        <f t="shared" si="26"/>
        <v>0</v>
      </c>
      <c r="U38" s="2">
        <f t="shared" si="27"/>
        <v>7.9491149999999999</v>
      </c>
      <c r="V38" s="2">
        <f t="shared" si="28"/>
        <v>0.59211000000000003</v>
      </c>
      <c r="W38" s="2">
        <f t="shared" si="29"/>
        <v>0</v>
      </c>
      <c r="X38" s="2">
        <f t="shared" si="30"/>
        <v>71.58</v>
      </c>
      <c r="Y38" s="2">
        <f t="shared" si="31"/>
        <v>43.38</v>
      </c>
      <c r="Z38" s="2"/>
      <c r="AA38" s="2">
        <v>16499835</v>
      </c>
      <c r="AB38" s="2">
        <f t="shared" si="32"/>
        <v>1082.58</v>
      </c>
      <c r="AC38" s="2">
        <f t="shared" si="33"/>
        <v>0</v>
      </c>
      <c r="AD38" s="2">
        <f t="shared" si="55"/>
        <v>241.95</v>
      </c>
      <c r="AE38" s="2">
        <f t="shared" si="56"/>
        <v>104.49</v>
      </c>
      <c r="AF38" s="2">
        <f t="shared" si="57"/>
        <v>840.63</v>
      </c>
      <c r="AG38" s="2">
        <f t="shared" si="34"/>
        <v>0</v>
      </c>
      <c r="AH38" s="2">
        <f t="shared" si="58"/>
        <v>103.91</v>
      </c>
      <c r="AI38" s="2">
        <f t="shared" si="59"/>
        <v>7.74</v>
      </c>
      <c r="AJ38" s="2">
        <f t="shared" si="35"/>
        <v>0</v>
      </c>
      <c r="AK38" s="2">
        <v>1082.58</v>
      </c>
      <c r="AL38" s="2">
        <v>0</v>
      </c>
      <c r="AM38" s="2">
        <v>241.95</v>
      </c>
      <c r="AN38" s="2">
        <v>104.49</v>
      </c>
      <c r="AO38" s="2">
        <v>840.63</v>
      </c>
      <c r="AP38" s="2">
        <v>0</v>
      </c>
      <c r="AQ38" s="2">
        <v>103.91</v>
      </c>
      <c r="AR38" s="2">
        <v>7.74</v>
      </c>
      <c r="AS38" s="2">
        <v>0</v>
      </c>
      <c r="AT38" s="2">
        <v>99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224</v>
      </c>
      <c r="BE38" s="2" t="s">
        <v>224</v>
      </c>
      <c r="BF38" s="2" t="s">
        <v>224</v>
      </c>
      <c r="BG38" s="2" t="s">
        <v>224</v>
      </c>
      <c r="BH38" s="2">
        <v>0</v>
      </c>
      <c r="BI38" s="2">
        <v>1</v>
      </c>
      <c r="BJ38" s="2" t="s">
        <v>273</v>
      </c>
      <c r="BK38" s="2"/>
      <c r="BL38" s="2"/>
      <c r="BM38" s="2">
        <v>46001</v>
      </c>
      <c r="BN38" s="2">
        <v>0</v>
      </c>
      <c r="BO38" s="2" t="s">
        <v>224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224</v>
      </c>
      <c r="BZ38" s="2">
        <v>110</v>
      </c>
      <c r="CA38" s="2">
        <v>70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224</v>
      </c>
      <c r="CO38" s="2">
        <v>0</v>
      </c>
      <c r="CP38" s="2">
        <f t="shared" si="36"/>
        <v>82.820000000000007</v>
      </c>
      <c r="CQ38" s="2">
        <f t="shared" si="37"/>
        <v>0</v>
      </c>
      <c r="CR38" s="2">
        <f t="shared" si="38"/>
        <v>241.95</v>
      </c>
      <c r="CS38" s="2">
        <f t="shared" si="39"/>
        <v>104.49</v>
      </c>
      <c r="CT38" s="2">
        <f t="shared" si="40"/>
        <v>840.63</v>
      </c>
      <c r="CU38" s="2">
        <f t="shared" si="41"/>
        <v>0</v>
      </c>
      <c r="CV38" s="2">
        <f t="shared" si="42"/>
        <v>103.91</v>
      </c>
      <c r="CW38" s="2">
        <f t="shared" si="43"/>
        <v>7.74</v>
      </c>
      <c r="CX38" s="2">
        <f t="shared" si="44"/>
        <v>0</v>
      </c>
      <c r="CY38" s="2">
        <f t="shared" si="45"/>
        <v>71.576999999999998</v>
      </c>
      <c r="CZ38" s="2">
        <f t="shared" si="46"/>
        <v>43.38</v>
      </c>
      <c r="DA38" s="2"/>
      <c r="DB38" s="2"/>
      <c r="DC38" s="2" t="s">
        <v>224</v>
      </c>
      <c r="DD38" s="2" t="s">
        <v>224</v>
      </c>
      <c r="DE38" s="2" t="s">
        <v>224</v>
      </c>
      <c r="DF38" s="2" t="s">
        <v>224</v>
      </c>
      <c r="DG38" s="2" t="s">
        <v>224</v>
      </c>
      <c r="DH38" s="2" t="s">
        <v>224</v>
      </c>
      <c r="DI38" s="2" t="s">
        <v>224</v>
      </c>
      <c r="DJ38" s="2" t="s">
        <v>224</v>
      </c>
      <c r="DK38" s="2" t="s">
        <v>224</v>
      </c>
      <c r="DL38" s="2" t="s">
        <v>224</v>
      </c>
      <c r="DM38" s="2" t="s">
        <v>224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237</v>
      </c>
      <c r="DW38" s="2" t="s">
        <v>237</v>
      </c>
      <c r="DX38" s="2">
        <v>100</v>
      </c>
      <c r="DY38" s="2"/>
      <c r="DZ38" s="2"/>
      <c r="EA38" s="2"/>
      <c r="EB38" s="2"/>
      <c r="EC38" s="2"/>
      <c r="ED38" s="2"/>
      <c r="EE38" s="2">
        <v>15139168</v>
      </c>
      <c r="EF38" s="2">
        <v>2</v>
      </c>
      <c r="EG38" s="2" t="s">
        <v>233</v>
      </c>
      <c r="EH38" s="2">
        <v>0</v>
      </c>
      <c r="EI38" s="2" t="s">
        <v>224</v>
      </c>
      <c r="EJ38" s="2">
        <v>1</v>
      </c>
      <c r="EK38" s="2">
        <v>46001</v>
      </c>
      <c r="EL38" s="2" t="s">
        <v>262</v>
      </c>
      <c r="EM38" s="2" t="s">
        <v>263</v>
      </c>
      <c r="EN38" s="2"/>
      <c r="EO38" s="2" t="s">
        <v>224</v>
      </c>
      <c r="EP38" s="2"/>
      <c r="EQ38" s="2">
        <v>0</v>
      </c>
      <c r="ER38" s="2">
        <v>1082.58</v>
      </c>
      <c r="ES38" s="2">
        <v>0</v>
      </c>
      <c r="ET38" s="2">
        <v>241.95</v>
      </c>
      <c r="EU38" s="2">
        <v>104.49</v>
      </c>
      <c r="EV38" s="2">
        <v>840.63</v>
      </c>
      <c r="EW38" s="2">
        <v>103.91</v>
      </c>
      <c r="EX38" s="2">
        <v>7.74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7"/>
        <v>0</v>
      </c>
      <c r="FS38" s="2">
        <v>0</v>
      </c>
      <c r="FT38" s="2" t="s">
        <v>244</v>
      </c>
      <c r="FU38" s="2" t="s">
        <v>245</v>
      </c>
      <c r="FV38" s="2"/>
      <c r="FW38" s="2"/>
      <c r="FX38" s="2">
        <v>99</v>
      </c>
      <c r="FY38" s="2">
        <v>59.5</v>
      </c>
      <c r="FZ38" s="2"/>
      <c r="GA38" s="2" t="s">
        <v>224</v>
      </c>
      <c r="GB38" s="2"/>
      <c r="GC38" s="2"/>
      <c r="GD38" s="2">
        <v>0</v>
      </c>
      <c r="GE38" s="2"/>
      <c r="GF38" s="2">
        <v>-96754396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8"/>
        <v>0</v>
      </c>
      <c r="GM38" s="2">
        <f t="shared" si="49"/>
        <v>197.78</v>
      </c>
      <c r="GN38" s="2">
        <f t="shared" si="50"/>
        <v>197.78</v>
      </c>
      <c r="GO38" s="2">
        <f t="shared" si="51"/>
        <v>0</v>
      </c>
      <c r="GP38" s="2">
        <f t="shared" si="52"/>
        <v>0</v>
      </c>
      <c r="GQ38" s="2"/>
      <c r="GR38" s="2">
        <v>0</v>
      </c>
      <c r="GS38" s="2">
        <v>3</v>
      </c>
      <c r="GT38" s="2">
        <v>0</v>
      </c>
      <c r="GU38" s="2" t="s">
        <v>224</v>
      </c>
      <c r="GV38" s="2">
        <f t="shared" si="53"/>
        <v>0</v>
      </c>
      <c r="GW38" s="2">
        <v>1</v>
      </c>
      <c r="GX38" s="2">
        <f t="shared" si="54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ROW(SmtRes!A30)</f>
        <v>30</v>
      </c>
      <c r="D39">
        <f>ROW(EtalonRes!A40)</f>
        <v>40</v>
      </c>
      <c r="E39" t="s">
        <v>270</v>
      </c>
      <c r="F39" t="s">
        <v>271</v>
      </c>
      <c r="G39" t="s">
        <v>272</v>
      </c>
      <c r="H39" t="s">
        <v>237</v>
      </c>
      <c r="I39">
        <f>ROUND(7.65/100,9)</f>
        <v>7.6499999999999999E-2</v>
      </c>
      <c r="J39">
        <v>0</v>
      </c>
      <c r="O39">
        <f t="shared" si="21"/>
        <v>503.53</v>
      </c>
      <c r="P39">
        <f t="shared" si="22"/>
        <v>0</v>
      </c>
      <c r="Q39">
        <f t="shared" si="23"/>
        <v>112.54</v>
      </c>
      <c r="R39">
        <f t="shared" si="24"/>
        <v>48.6</v>
      </c>
      <c r="S39">
        <f t="shared" si="25"/>
        <v>390.99</v>
      </c>
      <c r="T39">
        <f t="shared" si="26"/>
        <v>0</v>
      </c>
      <c r="U39">
        <f t="shared" si="27"/>
        <v>7.9491149999999999</v>
      </c>
      <c r="V39">
        <f t="shared" si="28"/>
        <v>0.59211000000000003</v>
      </c>
      <c r="W39">
        <f t="shared" si="29"/>
        <v>0</v>
      </c>
      <c r="X39">
        <f t="shared" si="30"/>
        <v>435.19</v>
      </c>
      <c r="Y39">
        <f t="shared" si="31"/>
        <v>263.75</v>
      </c>
      <c r="AA39">
        <v>16499878</v>
      </c>
      <c r="AB39">
        <f t="shared" si="32"/>
        <v>1082.58</v>
      </c>
      <c r="AC39">
        <f t="shared" si="33"/>
        <v>0</v>
      </c>
      <c r="AD39">
        <f t="shared" si="55"/>
        <v>241.95</v>
      </c>
      <c r="AE39">
        <f t="shared" si="56"/>
        <v>104.49</v>
      </c>
      <c r="AF39">
        <f t="shared" si="57"/>
        <v>840.63</v>
      </c>
      <c r="AG39">
        <f t="shared" si="34"/>
        <v>0</v>
      </c>
      <c r="AH39">
        <f t="shared" si="58"/>
        <v>103.91</v>
      </c>
      <c r="AI39">
        <f t="shared" si="59"/>
        <v>7.74</v>
      </c>
      <c r="AJ39">
        <f t="shared" si="35"/>
        <v>0</v>
      </c>
      <c r="AK39">
        <v>1082.58</v>
      </c>
      <c r="AL39">
        <v>0</v>
      </c>
      <c r="AM39">
        <v>241.95</v>
      </c>
      <c r="AN39">
        <v>104.49</v>
      </c>
      <c r="AO39">
        <v>840.63</v>
      </c>
      <c r="AP39">
        <v>0</v>
      </c>
      <c r="AQ39">
        <v>103.91</v>
      </c>
      <c r="AR39">
        <v>7.74</v>
      </c>
      <c r="AS39">
        <v>0</v>
      </c>
      <c r="AT39">
        <v>99</v>
      </c>
      <c r="AU39">
        <v>60</v>
      </c>
      <c r="AV39">
        <v>1</v>
      </c>
      <c r="AW39">
        <v>1</v>
      </c>
      <c r="AZ39">
        <v>6.08</v>
      </c>
      <c r="BA39">
        <v>6.08</v>
      </c>
      <c r="BB39">
        <v>6.08</v>
      </c>
      <c r="BC39">
        <v>6.08</v>
      </c>
      <c r="BD39" t="s">
        <v>224</v>
      </c>
      <c r="BE39" t="s">
        <v>224</v>
      </c>
      <c r="BF39" t="s">
        <v>224</v>
      </c>
      <c r="BG39" t="s">
        <v>224</v>
      </c>
      <c r="BH39">
        <v>0</v>
      </c>
      <c r="BI39">
        <v>1</v>
      </c>
      <c r="BJ39" t="s">
        <v>273</v>
      </c>
      <c r="BM39">
        <v>46001</v>
      </c>
      <c r="BN39">
        <v>0</v>
      </c>
      <c r="BO39" t="s">
        <v>224</v>
      </c>
      <c r="BP39">
        <v>0</v>
      </c>
      <c r="BQ39">
        <v>2</v>
      </c>
      <c r="BR39">
        <v>0</v>
      </c>
      <c r="BS39">
        <v>6.08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224</v>
      </c>
      <c r="BZ39">
        <v>110</v>
      </c>
      <c r="CA39">
        <v>70</v>
      </c>
      <c r="CF39">
        <v>0</v>
      </c>
      <c r="CG39">
        <v>0</v>
      </c>
      <c r="CM39">
        <v>0</v>
      </c>
      <c r="CN39" t="s">
        <v>224</v>
      </c>
      <c r="CO39">
        <v>0</v>
      </c>
      <c r="CP39">
        <f t="shared" si="36"/>
        <v>503.53000000000003</v>
      </c>
      <c r="CQ39">
        <f t="shared" si="37"/>
        <v>0</v>
      </c>
      <c r="CR39">
        <f t="shared" si="38"/>
        <v>1471.056</v>
      </c>
      <c r="CS39">
        <f t="shared" si="39"/>
        <v>635.29919999999993</v>
      </c>
      <c r="CT39">
        <f t="shared" si="40"/>
        <v>5111.0303999999996</v>
      </c>
      <c r="CU39">
        <f t="shared" si="41"/>
        <v>0</v>
      </c>
      <c r="CV39">
        <f t="shared" si="42"/>
        <v>103.91</v>
      </c>
      <c r="CW39">
        <f t="shared" si="43"/>
        <v>7.74</v>
      </c>
      <c r="CX39">
        <f t="shared" si="44"/>
        <v>0</v>
      </c>
      <c r="CY39">
        <f t="shared" si="45"/>
        <v>435.19410000000005</v>
      </c>
      <c r="CZ39">
        <f t="shared" si="46"/>
        <v>263.75400000000002</v>
      </c>
      <c r="DC39" t="s">
        <v>224</v>
      </c>
      <c r="DD39" t="s">
        <v>224</v>
      </c>
      <c r="DE39" t="s">
        <v>224</v>
      </c>
      <c r="DF39" t="s">
        <v>224</v>
      </c>
      <c r="DG39" t="s">
        <v>224</v>
      </c>
      <c r="DH39" t="s">
        <v>224</v>
      </c>
      <c r="DI39" t="s">
        <v>224</v>
      </c>
      <c r="DJ39" t="s">
        <v>224</v>
      </c>
      <c r="DK39" t="s">
        <v>224</v>
      </c>
      <c r="DL39" t="s">
        <v>224</v>
      </c>
      <c r="DM39" t="s">
        <v>224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237</v>
      </c>
      <c r="DW39" t="s">
        <v>237</v>
      </c>
      <c r="DX39">
        <v>100</v>
      </c>
      <c r="EE39">
        <v>15139168</v>
      </c>
      <c r="EF39">
        <v>2</v>
      </c>
      <c r="EG39" t="s">
        <v>233</v>
      </c>
      <c r="EH39">
        <v>0</v>
      </c>
      <c r="EI39" t="s">
        <v>224</v>
      </c>
      <c r="EJ39">
        <v>1</v>
      </c>
      <c r="EK39">
        <v>46001</v>
      </c>
      <c r="EL39" t="s">
        <v>262</v>
      </c>
      <c r="EM39" t="s">
        <v>263</v>
      </c>
      <c r="EO39" t="s">
        <v>224</v>
      </c>
      <c r="EQ39">
        <v>0</v>
      </c>
      <c r="ER39">
        <v>1082.58</v>
      </c>
      <c r="ES39">
        <v>0</v>
      </c>
      <c r="ET39">
        <v>241.95</v>
      </c>
      <c r="EU39">
        <v>104.49</v>
      </c>
      <c r="EV39">
        <v>840.63</v>
      </c>
      <c r="EW39">
        <v>103.91</v>
      </c>
      <c r="EX39">
        <v>7.74</v>
      </c>
      <c r="EY39">
        <v>0</v>
      </c>
      <c r="FQ39">
        <v>0</v>
      </c>
      <c r="FR39">
        <f t="shared" si="47"/>
        <v>0</v>
      </c>
      <c r="FS39">
        <v>0</v>
      </c>
      <c r="FT39" t="s">
        <v>244</v>
      </c>
      <c r="FU39" t="s">
        <v>245</v>
      </c>
      <c r="FX39">
        <v>99</v>
      </c>
      <c r="FY39">
        <v>59.5</v>
      </c>
      <c r="GA39" t="s">
        <v>224</v>
      </c>
      <c r="GD39">
        <v>0</v>
      </c>
      <c r="GF39">
        <v>-96754396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8"/>
        <v>0</v>
      </c>
      <c r="GM39">
        <f t="shared" si="49"/>
        <v>1202.47</v>
      </c>
      <c r="GN39">
        <f t="shared" si="50"/>
        <v>1202.47</v>
      </c>
      <c r="GO39">
        <f t="shared" si="51"/>
        <v>0</v>
      </c>
      <c r="GP39">
        <f t="shared" si="52"/>
        <v>0</v>
      </c>
      <c r="GR39">
        <v>0</v>
      </c>
      <c r="GS39">
        <v>3</v>
      </c>
      <c r="GT39">
        <v>0</v>
      </c>
      <c r="GU39" t="s">
        <v>224</v>
      </c>
      <c r="GV39">
        <f t="shared" si="53"/>
        <v>0</v>
      </c>
      <c r="GW39">
        <v>1</v>
      </c>
      <c r="GX39">
        <f t="shared" si="54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ROW(SmtRes!A37)</f>
        <v>37</v>
      </c>
      <c r="D40" s="2">
        <f>ROW(EtalonRes!A49)</f>
        <v>49</v>
      </c>
      <c r="E40" s="2" t="s">
        <v>274</v>
      </c>
      <c r="F40" s="2" t="s">
        <v>275</v>
      </c>
      <c r="G40" s="2" t="s">
        <v>276</v>
      </c>
      <c r="H40" s="2" t="s">
        <v>277</v>
      </c>
      <c r="I40" s="2">
        <v>2.66</v>
      </c>
      <c r="J40" s="2">
        <v>0</v>
      </c>
      <c r="K40" s="2"/>
      <c r="L40" s="2"/>
      <c r="M40" s="2"/>
      <c r="N40" s="2"/>
      <c r="O40" s="2">
        <f t="shared" si="21"/>
        <v>71.16</v>
      </c>
      <c r="P40" s="2">
        <f t="shared" si="22"/>
        <v>0</v>
      </c>
      <c r="Q40" s="2">
        <f t="shared" si="23"/>
        <v>26.83</v>
      </c>
      <c r="R40" s="2">
        <f t="shared" si="24"/>
        <v>3.67</v>
      </c>
      <c r="S40" s="2">
        <f t="shared" si="25"/>
        <v>44.33</v>
      </c>
      <c r="T40" s="2">
        <f t="shared" si="26"/>
        <v>0</v>
      </c>
      <c r="U40" s="2">
        <f t="shared" si="27"/>
        <v>4.4687999999999999</v>
      </c>
      <c r="V40" s="2">
        <f t="shared" si="28"/>
        <v>0.31653999999999999</v>
      </c>
      <c r="W40" s="2">
        <f t="shared" si="29"/>
        <v>0</v>
      </c>
      <c r="X40" s="2">
        <f t="shared" si="30"/>
        <v>38.880000000000003</v>
      </c>
      <c r="Y40" s="2">
        <f t="shared" si="31"/>
        <v>34.56</v>
      </c>
      <c r="Z40" s="2"/>
      <c r="AA40" s="2">
        <v>16499835</v>
      </c>
      <c r="AB40" s="2">
        <f t="shared" si="32"/>
        <v>26.754000000000001</v>
      </c>
      <c r="AC40" s="2">
        <f>ROUND(((ES40*0)),6)</f>
        <v>0</v>
      </c>
      <c r="AD40" s="2">
        <f>ROUND(((((ET40*0.7))-((EU40*0.7)))+AE40),6)</f>
        <v>10.087</v>
      </c>
      <c r="AE40" s="2">
        <f t="shared" ref="AE40:AF43" si="60">ROUND(((EU40*0.7)),6)</f>
        <v>1.379</v>
      </c>
      <c r="AF40" s="2">
        <f t="shared" si="60"/>
        <v>16.667000000000002</v>
      </c>
      <c r="AG40" s="2">
        <f t="shared" si="34"/>
        <v>0</v>
      </c>
      <c r="AH40" s="2">
        <f t="shared" ref="AH40:AI43" si="61">((EW40*0.7))</f>
        <v>1.68</v>
      </c>
      <c r="AI40" s="2">
        <f t="shared" si="61"/>
        <v>0.11899999999999999</v>
      </c>
      <c r="AJ40" s="2">
        <f t="shared" si="35"/>
        <v>0</v>
      </c>
      <c r="AK40" s="2">
        <v>63.94</v>
      </c>
      <c r="AL40" s="2">
        <v>25.72</v>
      </c>
      <c r="AM40" s="2">
        <v>14.41</v>
      </c>
      <c r="AN40" s="2">
        <v>1.97</v>
      </c>
      <c r="AO40" s="2">
        <v>23.81</v>
      </c>
      <c r="AP40" s="2">
        <v>0</v>
      </c>
      <c r="AQ40" s="2">
        <v>2.4</v>
      </c>
      <c r="AR40" s="2">
        <v>0.17</v>
      </c>
      <c r="AS40" s="2">
        <v>0</v>
      </c>
      <c r="AT40" s="2">
        <v>81</v>
      </c>
      <c r="AU40" s="2">
        <v>72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224</v>
      </c>
      <c r="BE40" s="2" t="s">
        <v>224</v>
      </c>
      <c r="BF40" s="2" t="s">
        <v>224</v>
      </c>
      <c r="BG40" s="2" t="s">
        <v>224</v>
      </c>
      <c r="BH40" s="2">
        <v>0</v>
      </c>
      <c r="BI40" s="2">
        <v>1</v>
      </c>
      <c r="BJ40" s="2" t="s">
        <v>278</v>
      </c>
      <c r="BK40" s="2"/>
      <c r="BL40" s="2"/>
      <c r="BM40" s="2">
        <v>9001</v>
      </c>
      <c r="BN40" s="2">
        <v>0</v>
      </c>
      <c r="BO40" s="2" t="s">
        <v>224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224</v>
      </c>
      <c r="BZ40" s="2">
        <v>90</v>
      </c>
      <c r="CA40" s="2">
        <v>85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279</v>
      </c>
      <c r="CO40" s="2">
        <v>0</v>
      </c>
      <c r="CP40" s="2">
        <f t="shared" si="36"/>
        <v>71.16</v>
      </c>
      <c r="CQ40" s="2">
        <f t="shared" si="37"/>
        <v>0</v>
      </c>
      <c r="CR40" s="2">
        <f t="shared" si="38"/>
        <v>10.087</v>
      </c>
      <c r="CS40" s="2">
        <f t="shared" si="39"/>
        <v>1.379</v>
      </c>
      <c r="CT40" s="2">
        <f t="shared" si="40"/>
        <v>16.667000000000002</v>
      </c>
      <c r="CU40" s="2">
        <f t="shared" si="41"/>
        <v>0</v>
      </c>
      <c r="CV40" s="2">
        <f t="shared" si="42"/>
        <v>1.68</v>
      </c>
      <c r="CW40" s="2">
        <f t="shared" si="43"/>
        <v>0.11899999999999999</v>
      </c>
      <c r="CX40" s="2">
        <f t="shared" si="44"/>
        <v>0</v>
      </c>
      <c r="CY40" s="2">
        <f t="shared" si="45"/>
        <v>38.880000000000003</v>
      </c>
      <c r="CZ40" s="2">
        <f t="shared" si="46"/>
        <v>34.56</v>
      </c>
      <c r="DA40" s="2"/>
      <c r="DB40" s="2"/>
      <c r="DC40" s="2" t="s">
        <v>224</v>
      </c>
      <c r="DD40" s="2" t="s">
        <v>280</v>
      </c>
      <c r="DE40" s="2" t="s">
        <v>281</v>
      </c>
      <c r="DF40" s="2" t="s">
        <v>281</v>
      </c>
      <c r="DG40" s="2" t="s">
        <v>281</v>
      </c>
      <c r="DH40" s="2" t="s">
        <v>224</v>
      </c>
      <c r="DI40" s="2" t="s">
        <v>281</v>
      </c>
      <c r="DJ40" s="2" t="s">
        <v>281</v>
      </c>
      <c r="DK40" s="2" t="s">
        <v>224</v>
      </c>
      <c r="DL40" s="2" t="s">
        <v>224</v>
      </c>
      <c r="DM40" s="2" t="s">
        <v>224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277</v>
      </c>
      <c r="DW40" s="2" t="s">
        <v>277</v>
      </c>
      <c r="DX40" s="2">
        <v>1</v>
      </c>
      <c r="DY40" s="2"/>
      <c r="DZ40" s="2"/>
      <c r="EA40" s="2"/>
      <c r="EB40" s="2"/>
      <c r="EC40" s="2"/>
      <c r="ED40" s="2"/>
      <c r="EE40" s="2">
        <v>15139099</v>
      </c>
      <c r="EF40" s="2">
        <v>2</v>
      </c>
      <c r="EG40" s="2" t="s">
        <v>233</v>
      </c>
      <c r="EH40" s="2">
        <v>0</v>
      </c>
      <c r="EI40" s="2" t="s">
        <v>224</v>
      </c>
      <c r="EJ40" s="2">
        <v>1</v>
      </c>
      <c r="EK40" s="2">
        <v>9001</v>
      </c>
      <c r="EL40" s="2" t="s">
        <v>282</v>
      </c>
      <c r="EM40" s="2" t="s">
        <v>283</v>
      </c>
      <c r="EN40" s="2"/>
      <c r="EO40" s="2" t="s">
        <v>284</v>
      </c>
      <c r="EP40" s="2"/>
      <c r="EQ40" s="2">
        <v>0</v>
      </c>
      <c r="ER40" s="2">
        <v>63.94</v>
      </c>
      <c r="ES40" s="2">
        <v>25.72</v>
      </c>
      <c r="ET40" s="2">
        <v>14.41</v>
      </c>
      <c r="EU40" s="2">
        <v>1.97</v>
      </c>
      <c r="EV40" s="2">
        <v>23.81</v>
      </c>
      <c r="EW40" s="2">
        <v>2.4</v>
      </c>
      <c r="EX40" s="2">
        <v>0.17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7"/>
        <v>0</v>
      </c>
      <c r="FS40" s="2">
        <v>0</v>
      </c>
      <c r="FT40" s="2" t="s">
        <v>244</v>
      </c>
      <c r="FU40" s="2" t="s">
        <v>245</v>
      </c>
      <c r="FV40" s="2"/>
      <c r="FW40" s="2"/>
      <c r="FX40" s="2">
        <v>81</v>
      </c>
      <c r="FY40" s="2">
        <v>72.25</v>
      </c>
      <c r="FZ40" s="2"/>
      <c r="GA40" s="2" t="s">
        <v>224</v>
      </c>
      <c r="GB40" s="2"/>
      <c r="GC40" s="2"/>
      <c r="GD40" s="2">
        <v>0</v>
      </c>
      <c r="GE40" s="2"/>
      <c r="GF40" s="2">
        <v>324845280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8"/>
        <v>0</v>
      </c>
      <c r="GM40" s="2">
        <f t="shared" si="49"/>
        <v>144.6</v>
      </c>
      <c r="GN40" s="2">
        <f t="shared" si="50"/>
        <v>144.6</v>
      </c>
      <c r="GO40" s="2">
        <f t="shared" si="51"/>
        <v>0</v>
      </c>
      <c r="GP40" s="2">
        <f t="shared" si="52"/>
        <v>0</v>
      </c>
      <c r="GQ40" s="2"/>
      <c r="GR40" s="2">
        <v>0</v>
      </c>
      <c r="GS40" s="2">
        <v>3</v>
      </c>
      <c r="GT40" s="2">
        <v>0</v>
      </c>
      <c r="GU40" s="2" t="s">
        <v>224</v>
      </c>
      <c r="GV40" s="2">
        <f t="shared" si="53"/>
        <v>0</v>
      </c>
      <c r="GW40" s="2">
        <v>1</v>
      </c>
      <c r="GX40" s="2">
        <f t="shared" si="54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ROW(SmtRes!A44)</f>
        <v>44</v>
      </c>
      <c r="D41">
        <f>ROW(EtalonRes!A58)</f>
        <v>58</v>
      </c>
      <c r="E41" t="s">
        <v>274</v>
      </c>
      <c r="F41" t="s">
        <v>275</v>
      </c>
      <c r="G41" t="s">
        <v>276</v>
      </c>
      <c r="H41" t="s">
        <v>277</v>
      </c>
      <c r="I41">
        <v>2.66</v>
      </c>
      <c r="J41">
        <v>0</v>
      </c>
      <c r="O41">
        <f t="shared" si="21"/>
        <v>432.69</v>
      </c>
      <c r="P41">
        <f t="shared" si="22"/>
        <v>0</v>
      </c>
      <c r="Q41">
        <f t="shared" si="23"/>
        <v>163.13999999999999</v>
      </c>
      <c r="R41">
        <f t="shared" si="24"/>
        <v>22.3</v>
      </c>
      <c r="S41">
        <f t="shared" si="25"/>
        <v>269.55</v>
      </c>
      <c r="T41">
        <f t="shared" si="26"/>
        <v>0</v>
      </c>
      <c r="U41">
        <f t="shared" si="27"/>
        <v>4.4687999999999999</v>
      </c>
      <c r="V41">
        <f t="shared" si="28"/>
        <v>0.31653999999999999</v>
      </c>
      <c r="W41">
        <f t="shared" si="29"/>
        <v>0</v>
      </c>
      <c r="X41">
        <f t="shared" si="30"/>
        <v>236.4</v>
      </c>
      <c r="Y41">
        <f t="shared" si="31"/>
        <v>210.13</v>
      </c>
      <c r="AA41">
        <v>16499878</v>
      </c>
      <c r="AB41">
        <f t="shared" si="32"/>
        <v>26.754000000000001</v>
      </c>
      <c r="AC41">
        <f>ROUND(((ES41*0)),6)</f>
        <v>0</v>
      </c>
      <c r="AD41">
        <f>ROUND(((((ET41*0.7))-((EU41*0.7)))+AE41),6)</f>
        <v>10.087</v>
      </c>
      <c r="AE41">
        <f t="shared" si="60"/>
        <v>1.379</v>
      </c>
      <c r="AF41">
        <f t="shared" si="60"/>
        <v>16.667000000000002</v>
      </c>
      <c r="AG41">
        <f t="shared" si="34"/>
        <v>0</v>
      </c>
      <c r="AH41">
        <f t="shared" si="61"/>
        <v>1.68</v>
      </c>
      <c r="AI41">
        <f t="shared" si="61"/>
        <v>0.11899999999999999</v>
      </c>
      <c r="AJ41">
        <f t="shared" si="35"/>
        <v>0</v>
      </c>
      <c r="AK41">
        <v>63.94</v>
      </c>
      <c r="AL41">
        <v>25.72</v>
      </c>
      <c r="AM41">
        <v>14.41</v>
      </c>
      <c r="AN41">
        <v>1.97</v>
      </c>
      <c r="AO41">
        <v>23.81</v>
      </c>
      <c r="AP41">
        <v>0</v>
      </c>
      <c r="AQ41">
        <v>2.4</v>
      </c>
      <c r="AR41">
        <v>0.17</v>
      </c>
      <c r="AS41">
        <v>0</v>
      </c>
      <c r="AT41">
        <v>81</v>
      </c>
      <c r="AU41">
        <v>72</v>
      </c>
      <c r="AV41">
        <v>1</v>
      </c>
      <c r="AW41">
        <v>1</v>
      </c>
      <c r="AZ41">
        <v>6.08</v>
      </c>
      <c r="BA41">
        <v>6.08</v>
      </c>
      <c r="BB41">
        <v>6.08</v>
      </c>
      <c r="BC41">
        <v>6.08</v>
      </c>
      <c r="BD41" t="s">
        <v>224</v>
      </c>
      <c r="BE41" t="s">
        <v>224</v>
      </c>
      <c r="BF41" t="s">
        <v>224</v>
      </c>
      <c r="BG41" t="s">
        <v>224</v>
      </c>
      <c r="BH41">
        <v>0</v>
      </c>
      <c r="BI41">
        <v>1</v>
      </c>
      <c r="BJ41" t="s">
        <v>278</v>
      </c>
      <c r="BM41">
        <v>9001</v>
      </c>
      <c r="BN41">
        <v>0</v>
      </c>
      <c r="BO41" t="s">
        <v>224</v>
      </c>
      <c r="BP41">
        <v>0</v>
      </c>
      <c r="BQ41">
        <v>2</v>
      </c>
      <c r="BR41">
        <v>0</v>
      </c>
      <c r="BS41">
        <v>6.08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224</v>
      </c>
      <c r="BZ41">
        <v>90</v>
      </c>
      <c r="CA41">
        <v>85</v>
      </c>
      <c r="CF41">
        <v>0</v>
      </c>
      <c r="CG41">
        <v>0</v>
      </c>
      <c r="CM41">
        <v>0</v>
      </c>
      <c r="CN41" t="s">
        <v>279</v>
      </c>
      <c r="CO41">
        <v>0</v>
      </c>
      <c r="CP41">
        <f t="shared" si="36"/>
        <v>432.69</v>
      </c>
      <c r="CQ41">
        <f t="shared" si="37"/>
        <v>0</v>
      </c>
      <c r="CR41">
        <f t="shared" si="38"/>
        <v>61.328960000000002</v>
      </c>
      <c r="CS41">
        <f t="shared" si="39"/>
        <v>8.3843200000000007</v>
      </c>
      <c r="CT41">
        <f t="shared" si="40"/>
        <v>101.33536000000001</v>
      </c>
      <c r="CU41">
        <f t="shared" si="41"/>
        <v>0</v>
      </c>
      <c r="CV41">
        <f t="shared" si="42"/>
        <v>1.68</v>
      </c>
      <c r="CW41">
        <f t="shared" si="43"/>
        <v>0.11899999999999999</v>
      </c>
      <c r="CX41">
        <f t="shared" si="44"/>
        <v>0</v>
      </c>
      <c r="CY41">
        <f t="shared" si="45"/>
        <v>236.39850000000001</v>
      </c>
      <c r="CZ41">
        <f t="shared" si="46"/>
        <v>210.13200000000001</v>
      </c>
      <c r="DC41" t="s">
        <v>224</v>
      </c>
      <c r="DD41" t="s">
        <v>280</v>
      </c>
      <c r="DE41" t="s">
        <v>281</v>
      </c>
      <c r="DF41" t="s">
        <v>281</v>
      </c>
      <c r="DG41" t="s">
        <v>281</v>
      </c>
      <c r="DH41" t="s">
        <v>224</v>
      </c>
      <c r="DI41" t="s">
        <v>281</v>
      </c>
      <c r="DJ41" t="s">
        <v>281</v>
      </c>
      <c r="DK41" t="s">
        <v>224</v>
      </c>
      <c r="DL41" t="s">
        <v>224</v>
      </c>
      <c r="DM41" t="s">
        <v>224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277</v>
      </c>
      <c r="DW41" t="s">
        <v>277</v>
      </c>
      <c r="DX41">
        <v>1</v>
      </c>
      <c r="EE41">
        <v>15139099</v>
      </c>
      <c r="EF41">
        <v>2</v>
      </c>
      <c r="EG41" t="s">
        <v>233</v>
      </c>
      <c r="EH41">
        <v>0</v>
      </c>
      <c r="EI41" t="s">
        <v>224</v>
      </c>
      <c r="EJ41">
        <v>1</v>
      </c>
      <c r="EK41">
        <v>9001</v>
      </c>
      <c r="EL41" t="s">
        <v>282</v>
      </c>
      <c r="EM41" t="s">
        <v>283</v>
      </c>
      <c r="EO41" t="s">
        <v>284</v>
      </c>
      <c r="EQ41">
        <v>0</v>
      </c>
      <c r="ER41">
        <v>63.94</v>
      </c>
      <c r="ES41">
        <v>25.72</v>
      </c>
      <c r="ET41">
        <v>14.41</v>
      </c>
      <c r="EU41">
        <v>1.97</v>
      </c>
      <c r="EV41">
        <v>23.81</v>
      </c>
      <c r="EW41">
        <v>2.4</v>
      </c>
      <c r="EX41">
        <v>0.17</v>
      </c>
      <c r="EY41">
        <v>0</v>
      </c>
      <c r="FQ41">
        <v>0</v>
      </c>
      <c r="FR41">
        <f t="shared" si="47"/>
        <v>0</v>
      </c>
      <c r="FS41">
        <v>0</v>
      </c>
      <c r="FT41" t="s">
        <v>244</v>
      </c>
      <c r="FU41" t="s">
        <v>245</v>
      </c>
      <c r="FX41">
        <v>81</v>
      </c>
      <c r="FY41">
        <v>72.25</v>
      </c>
      <c r="GA41" t="s">
        <v>224</v>
      </c>
      <c r="GD41">
        <v>0</v>
      </c>
      <c r="GF41">
        <v>324845280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8"/>
        <v>0</v>
      </c>
      <c r="GM41">
        <f t="shared" si="49"/>
        <v>879.22</v>
      </c>
      <c r="GN41">
        <f t="shared" si="50"/>
        <v>879.22</v>
      </c>
      <c r="GO41">
        <f t="shared" si="51"/>
        <v>0</v>
      </c>
      <c r="GP41">
        <f t="shared" si="52"/>
        <v>0</v>
      </c>
      <c r="GR41">
        <v>0</v>
      </c>
      <c r="GS41">
        <v>3</v>
      </c>
      <c r="GT41">
        <v>0</v>
      </c>
      <c r="GU41" t="s">
        <v>224</v>
      </c>
      <c r="GV41">
        <f t="shared" si="53"/>
        <v>0</v>
      </c>
      <c r="GW41">
        <v>1</v>
      </c>
      <c r="GX41">
        <f t="shared" si="54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ROW(SmtRes!A67)</f>
        <v>67</v>
      </c>
      <c r="D42" s="2">
        <f>ROW(EtalonRes!A83)</f>
        <v>83</v>
      </c>
      <c r="E42" s="2" t="s">
        <v>285</v>
      </c>
      <c r="F42" s="2" t="s">
        <v>286</v>
      </c>
      <c r="G42" s="2" t="s">
        <v>287</v>
      </c>
      <c r="H42" s="2" t="s">
        <v>288</v>
      </c>
      <c r="I42" s="2">
        <v>0.15</v>
      </c>
      <c r="J42" s="2">
        <v>0</v>
      </c>
      <c r="K42" s="2"/>
      <c r="L42" s="2"/>
      <c r="M42" s="2"/>
      <c r="N42" s="2"/>
      <c r="O42" s="2">
        <f t="shared" si="21"/>
        <v>304.72000000000003</v>
      </c>
      <c r="P42" s="2">
        <f t="shared" si="22"/>
        <v>0</v>
      </c>
      <c r="Q42" s="2">
        <f t="shared" si="23"/>
        <v>255.74</v>
      </c>
      <c r="R42" s="2">
        <f t="shared" si="24"/>
        <v>13</v>
      </c>
      <c r="S42" s="2">
        <f t="shared" si="25"/>
        <v>48.98</v>
      </c>
      <c r="T42" s="2">
        <f t="shared" si="26"/>
        <v>0</v>
      </c>
      <c r="U42" s="2">
        <f t="shared" si="27"/>
        <v>4.8688499999999992</v>
      </c>
      <c r="V42" s="2">
        <f t="shared" si="28"/>
        <v>0.93134999999999979</v>
      </c>
      <c r="W42" s="2">
        <f t="shared" si="29"/>
        <v>0</v>
      </c>
      <c r="X42" s="2">
        <f t="shared" si="30"/>
        <v>50.2</v>
      </c>
      <c r="Y42" s="2">
        <f t="shared" si="31"/>
        <v>44.63</v>
      </c>
      <c r="Z42" s="2"/>
      <c r="AA42" s="2">
        <v>16499835</v>
      </c>
      <c r="AB42" s="2">
        <f t="shared" si="32"/>
        <v>2031.442</v>
      </c>
      <c r="AC42" s="2">
        <f>ROUND(((ES42*0)),6)</f>
        <v>0</v>
      </c>
      <c r="AD42" s="2">
        <f>ROUND(((((ET42*0.7))-((EU42*0.7)))+AE42),6)</f>
        <v>1704.9059999999999</v>
      </c>
      <c r="AE42" s="2">
        <f t="shared" si="60"/>
        <v>86.694999999999993</v>
      </c>
      <c r="AF42" s="2">
        <f t="shared" si="60"/>
        <v>326.536</v>
      </c>
      <c r="AG42" s="2">
        <f t="shared" si="34"/>
        <v>0</v>
      </c>
      <c r="AH42" s="2">
        <f t="shared" si="61"/>
        <v>32.458999999999996</v>
      </c>
      <c r="AI42" s="2">
        <f t="shared" si="61"/>
        <v>6.2089999999999987</v>
      </c>
      <c r="AJ42" s="2">
        <f t="shared" si="35"/>
        <v>0</v>
      </c>
      <c r="AK42" s="2">
        <v>3392.28</v>
      </c>
      <c r="AL42" s="2">
        <v>490.22</v>
      </c>
      <c r="AM42" s="2">
        <v>2435.58</v>
      </c>
      <c r="AN42" s="2">
        <v>123.85</v>
      </c>
      <c r="AO42" s="2">
        <v>466.48</v>
      </c>
      <c r="AP42" s="2">
        <v>0</v>
      </c>
      <c r="AQ42" s="2">
        <v>46.37</v>
      </c>
      <c r="AR42" s="2">
        <v>8.8699999999999992</v>
      </c>
      <c r="AS42" s="2">
        <v>0</v>
      </c>
      <c r="AT42" s="2">
        <v>81</v>
      </c>
      <c r="AU42" s="2">
        <v>72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224</v>
      </c>
      <c r="BE42" s="2" t="s">
        <v>224</v>
      </c>
      <c r="BF42" s="2" t="s">
        <v>224</v>
      </c>
      <c r="BG42" s="2" t="s">
        <v>224</v>
      </c>
      <c r="BH42" s="2">
        <v>0</v>
      </c>
      <c r="BI42" s="2">
        <v>1</v>
      </c>
      <c r="BJ42" s="2" t="s">
        <v>289</v>
      </c>
      <c r="BK42" s="2"/>
      <c r="BL42" s="2"/>
      <c r="BM42" s="2">
        <v>9001</v>
      </c>
      <c r="BN42" s="2">
        <v>0</v>
      </c>
      <c r="BO42" s="2" t="s">
        <v>224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224</v>
      </c>
      <c r="BZ42" s="2">
        <v>90</v>
      </c>
      <c r="CA42" s="2">
        <v>85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279</v>
      </c>
      <c r="CO42" s="2">
        <v>0</v>
      </c>
      <c r="CP42" s="2">
        <f t="shared" si="36"/>
        <v>304.72000000000003</v>
      </c>
      <c r="CQ42" s="2">
        <f t="shared" si="37"/>
        <v>0</v>
      </c>
      <c r="CR42" s="2">
        <f t="shared" si="38"/>
        <v>1704.9059999999999</v>
      </c>
      <c r="CS42" s="2">
        <f t="shared" si="39"/>
        <v>86.694999999999993</v>
      </c>
      <c r="CT42" s="2">
        <f t="shared" si="40"/>
        <v>326.536</v>
      </c>
      <c r="CU42" s="2">
        <f t="shared" si="41"/>
        <v>0</v>
      </c>
      <c r="CV42" s="2">
        <f t="shared" si="42"/>
        <v>32.458999999999996</v>
      </c>
      <c r="CW42" s="2">
        <f t="shared" si="43"/>
        <v>6.2089999999999987</v>
      </c>
      <c r="CX42" s="2">
        <f t="shared" si="44"/>
        <v>0</v>
      </c>
      <c r="CY42" s="2">
        <f t="shared" si="45"/>
        <v>50.203800000000001</v>
      </c>
      <c r="CZ42" s="2">
        <f t="shared" si="46"/>
        <v>44.625599999999991</v>
      </c>
      <c r="DA42" s="2"/>
      <c r="DB42" s="2"/>
      <c r="DC42" s="2" t="s">
        <v>224</v>
      </c>
      <c r="DD42" s="2" t="s">
        <v>280</v>
      </c>
      <c r="DE42" s="2" t="s">
        <v>281</v>
      </c>
      <c r="DF42" s="2" t="s">
        <v>281</v>
      </c>
      <c r="DG42" s="2" t="s">
        <v>281</v>
      </c>
      <c r="DH42" s="2" t="s">
        <v>224</v>
      </c>
      <c r="DI42" s="2" t="s">
        <v>281</v>
      </c>
      <c r="DJ42" s="2" t="s">
        <v>281</v>
      </c>
      <c r="DK42" s="2" t="s">
        <v>224</v>
      </c>
      <c r="DL42" s="2" t="s">
        <v>224</v>
      </c>
      <c r="DM42" s="2" t="s">
        <v>224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288</v>
      </c>
      <c r="DW42" s="2" t="s">
        <v>288</v>
      </c>
      <c r="DX42" s="2">
        <v>1000</v>
      </c>
      <c r="DY42" s="2"/>
      <c r="DZ42" s="2"/>
      <c r="EA42" s="2"/>
      <c r="EB42" s="2"/>
      <c r="EC42" s="2"/>
      <c r="ED42" s="2"/>
      <c r="EE42" s="2">
        <v>15139099</v>
      </c>
      <c r="EF42" s="2">
        <v>2</v>
      </c>
      <c r="EG42" s="2" t="s">
        <v>233</v>
      </c>
      <c r="EH42" s="2">
        <v>0</v>
      </c>
      <c r="EI42" s="2" t="s">
        <v>224</v>
      </c>
      <c r="EJ42" s="2">
        <v>1</v>
      </c>
      <c r="EK42" s="2">
        <v>9001</v>
      </c>
      <c r="EL42" s="2" t="s">
        <v>282</v>
      </c>
      <c r="EM42" s="2" t="s">
        <v>283</v>
      </c>
      <c r="EN42" s="2"/>
      <c r="EO42" s="2" t="s">
        <v>284</v>
      </c>
      <c r="EP42" s="2"/>
      <c r="EQ42" s="2">
        <v>0</v>
      </c>
      <c r="ER42" s="2">
        <v>3392.28</v>
      </c>
      <c r="ES42" s="2">
        <v>490.22</v>
      </c>
      <c r="ET42" s="2">
        <v>2435.58</v>
      </c>
      <c r="EU42" s="2">
        <v>123.85</v>
      </c>
      <c r="EV42" s="2">
        <v>466.48</v>
      </c>
      <c r="EW42" s="2">
        <v>46.37</v>
      </c>
      <c r="EX42" s="2">
        <v>8.8699999999999992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7"/>
        <v>0</v>
      </c>
      <c r="FS42" s="2">
        <v>0</v>
      </c>
      <c r="FT42" s="2" t="s">
        <v>244</v>
      </c>
      <c r="FU42" s="2" t="s">
        <v>245</v>
      </c>
      <c r="FV42" s="2"/>
      <c r="FW42" s="2"/>
      <c r="FX42" s="2">
        <v>81</v>
      </c>
      <c r="FY42" s="2">
        <v>72.25</v>
      </c>
      <c r="FZ42" s="2"/>
      <c r="GA42" s="2" t="s">
        <v>224</v>
      </c>
      <c r="GB42" s="2"/>
      <c r="GC42" s="2"/>
      <c r="GD42" s="2">
        <v>0</v>
      </c>
      <c r="GE42" s="2"/>
      <c r="GF42" s="2">
        <v>943301388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8"/>
        <v>0</v>
      </c>
      <c r="GM42" s="2">
        <f t="shared" si="49"/>
        <v>399.55</v>
      </c>
      <c r="GN42" s="2">
        <f t="shared" si="50"/>
        <v>399.55</v>
      </c>
      <c r="GO42" s="2">
        <f t="shared" si="51"/>
        <v>0</v>
      </c>
      <c r="GP42" s="2">
        <f t="shared" si="52"/>
        <v>0</v>
      </c>
      <c r="GQ42" s="2"/>
      <c r="GR42" s="2">
        <v>0</v>
      </c>
      <c r="GS42" s="2">
        <v>3</v>
      </c>
      <c r="GT42" s="2">
        <v>0</v>
      </c>
      <c r="GU42" s="2" t="s">
        <v>224</v>
      </c>
      <c r="GV42" s="2">
        <f t="shared" si="53"/>
        <v>0</v>
      </c>
      <c r="GW42" s="2">
        <v>1</v>
      </c>
      <c r="GX42" s="2">
        <f t="shared" si="54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ROW(SmtRes!A90)</f>
        <v>90</v>
      </c>
      <c r="D43">
        <f>ROW(EtalonRes!A108)</f>
        <v>108</v>
      </c>
      <c r="E43" t="s">
        <v>285</v>
      </c>
      <c r="F43" t="s">
        <v>286</v>
      </c>
      <c r="G43" t="s">
        <v>287</v>
      </c>
      <c r="H43" t="s">
        <v>288</v>
      </c>
      <c r="I43">
        <v>0.15</v>
      </c>
      <c r="J43">
        <v>0</v>
      </c>
      <c r="O43">
        <f t="shared" si="21"/>
        <v>1852.67</v>
      </c>
      <c r="P43">
        <f t="shared" si="22"/>
        <v>0</v>
      </c>
      <c r="Q43">
        <f t="shared" si="23"/>
        <v>1554.87</v>
      </c>
      <c r="R43">
        <f t="shared" si="24"/>
        <v>79.069999999999993</v>
      </c>
      <c r="S43">
        <f t="shared" si="25"/>
        <v>297.8</v>
      </c>
      <c r="T43">
        <f t="shared" si="26"/>
        <v>0</v>
      </c>
      <c r="U43">
        <f t="shared" si="27"/>
        <v>4.8688499999999992</v>
      </c>
      <c r="V43">
        <f t="shared" si="28"/>
        <v>0.93134999999999979</v>
      </c>
      <c r="W43">
        <f t="shared" si="29"/>
        <v>0</v>
      </c>
      <c r="X43">
        <f t="shared" si="30"/>
        <v>305.26</v>
      </c>
      <c r="Y43">
        <f t="shared" si="31"/>
        <v>271.35000000000002</v>
      </c>
      <c r="AA43">
        <v>16499878</v>
      </c>
      <c r="AB43">
        <f t="shared" si="32"/>
        <v>2031.442</v>
      </c>
      <c r="AC43">
        <f>ROUND(((ES43*0)),6)</f>
        <v>0</v>
      </c>
      <c r="AD43">
        <f>ROUND(((((ET43*0.7))-((EU43*0.7)))+AE43),6)</f>
        <v>1704.9059999999999</v>
      </c>
      <c r="AE43">
        <f t="shared" si="60"/>
        <v>86.694999999999993</v>
      </c>
      <c r="AF43">
        <f t="shared" si="60"/>
        <v>326.536</v>
      </c>
      <c r="AG43">
        <f t="shared" si="34"/>
        <v>0</v>
      </c>
      <c r="AH43">
        <f t="shared" si="61"/>
        <v>32.458999999999996</v>
      </c>
      <c r="AI43">
        <f t="shared" si="61"/>
        <v>6.2089999999999987</v>
      </c>
      <c r="AJ43">
        <f t="shared" si="35"/>
        <v>0</v>
      </c>
      <c r="AK43">
        <v>3392.28</v>
      </c>
      <c r="AL43">
        <v>490.22</v>
      </c>
      <c r="AM43">
        <v>2435.58</v>
      </c>
      <c r="AN43">
        <v>123.85</v>
      </c>
      <c r="AO43">
        <v>466.48</v>
      </c>
      <c r="AP43">
        <v>0</v>
      </c>
      <c r="AQ43">
        <v>46.37</v>
      </c>
      <c r="AR43">
        <v>8.8699999999999992</v>
      </c>
      <c r="AS43">
        <v>0</v>
      </c>
      <c r="AT43">
        <v>81</v>
      </c>
      <c r="AU43">
        <v>72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224</v>
      </c>
      <c r="BE43" t="s">
        <v>224</v>
      </c>
      <c r="BF43" t="s">
        <v>224</v>
      </c>
      <c r="BG43" t="s">
        <v>224</v>
      </c>
      <c r="BH43">
        <v>0</v>
      </c>
      <c r="BI43">
        <v>1</v>
      </c>
      <c r="BJ43" t="s">
        <v>289</v>
      </c>
      <c r="BM43">
        <v>9001</v>
      </c>
      <c r="BN43">
        <v>0</v>
      </c>
      <c r="BO43" t="s">
        <v>224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224</v>
      </c>
      <c r="BZ43">
        <v>90</v>
      </c>
      <c r="CA43">
        <v>85</v>
      </c>
      <c r="CF43">
        <v>0</v>
      </c>
      <c r="CG43">
        <v>0</v>
      </c>
      <c r="CM43">
        <v>0</v>
      </c>
      <c r="CN43" t="s">
        <v>279</v>
      </c>
      <c r="CO43">
        <v>0</v>
      </c>
      <c r="CP43">
        <f t="shared" si="36"/>
        <v>1852.6699999999998</v>
      </c>
      <c r="CQ43">
        <f t="shared" si="37"/>
        <v>0</v>
      </c>
      <c r="CR43">
        <f t="shared" si="38"/>
        <v>10365.82848</v>
      </c>
      <c r="CS43">
        <f t="shared" si="39"/>
        <v>527.10559999999998</v>
      </c>
      <c r="CT43">
        <f t="shared" si="40"/>
        <v>1985.33888</v>
      </c>
      <c r="CU43">
        <f t="shared" si="41"/>
        <v>0</v>
      </c>
      <c r="CV43">
        <f t="shared" si="42"/>
        <v>32.458999999999996</v>
      </c>
      <c r="CW43">
        <f t="shared" si="43"/>
        <v>6.2089999999999987</v>
      </c>
      <c r="CX43">
        <f t="shared" si="44"/>
        <v>0</v>
      </c>
      <c r="CY43">
        <f t="shared" si="45"/>
        <v>305.2647</v>
      </c>
      <c r="CZ43">
        <f t="shared" si="46"/>
        <v>271.34640000000002</v>
      </c>
      <c r="DC43" t="s">
        <v>224</v>
      </c>
      <c r="DD43" t="s">
        <v>280</v>
      </c>
      <c r="DE43" t="s">
        <v>281</v>
      </c>
      <c r="DF43" t="s">
        <v>281</v>
      </c>
      <c r="DG43" t="s">
        <v>281</v>
      </c>
      <c r="DH43" t="s">
        <v>224</v>
      </c>
      <c r="DI43" t="s">
        <v>281</v>
      </c>
      <c r="DJ43" t="s">
        <v>281</v>
      </c>
      <c r="DK43" t="s">
        <v>224</v>
      </c>
      <c r="DL43" t="s">
        <v>224</v>
      </c>
      <c r="DM43" t="s">
        <v>224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288</v>
      </c>
      <c r="DW43" t="s">
        <v>288</v>
      </c>
      <c r="DX43">
        <v>1000</v>
      </c>
      <c r="EE43">
        <v>15139099</v>
      </c>
      <c r="EF43">
        <v>2</v>
      </c>
      <c r="EG43" t="s">
        <v>233</v>
      </c>
      <c r="EH43">
        <v>0</v>
      </c>
      <c r="EI43" t="s">
        <v>224</v>
      </c>
      <c r="EJ43">
        <v>1</v>
      </c>
      <c r="EK43">
        <v>9001</v>
      </c>
      <c r="EL43" t="s">
        <v>282</v>
      </c>
      <c r="EM43" t="s">
        <v>283</v>
      </c>
      <c r="EO43" t="s">
        <v>284</v>
      </c>
      <c r="EQ43">
        <v>0</v>
      </c>
      <c r="ER43">
        <v>3392.28</v>
      </c>
      <c r="ES43">
        <v>490.22</v>
      </c>
      <c r="ET43">
        <v>2435.58</v>
      </c>
      <c r="EU43">
        <v>123.85</v>
      </c>
      <c r="EV43">
        <v>466.48</v>
      </c>
      <c r="EW43">
        <v>46.37</v>
      </c>
      <c r="EX43">
        <v>8.8699999999999992</v>
      </c>
      <c r="EY43">
        <v>0</v>
      </c>
      <c r="FQ43">
        <v>0</v>
      </c>
      <c r="FR43">
        <f t="shared" si="47"/>
        <v>0</v>
      </c>
      <c r="FS43">
        <v>0</v>
      </c>
      <c r="FT43" t="s">
        <v>244</v>
      </c>
      <c r="FU43" t="s">
        <v>245</v>
      </c>
      <c r="FX43">
        <v>81</v>
      </c>
      <c r="FY43">
        <v>72.25</v>
      </c>
      <c r="GA43" t="s">
        <v>224</v>
      </c>
      <c r="GD43">
        <v>0</v>
      </c>
      <c r="GF43">
        <v>943301388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8"/>
        <v>0</v>
      </c>
      <c r="GM43">
        <f t="shared" si="49"/>
        <v>2429.2800000000002</v>
      </c>
      <c r="GN43">
        <f t="shared" si="50"/>
        <v>2429.2800000000002</v>
      </c>
      <c r="GO43">
        <f t="shared" si="51"/>
        <v>0</v>
      </c>
      <c r="GP43">
        <f t="shared" si="52"/>
        <v>0</v>
      </c>
      <c r="GR43">
        <v>0</v>
      </c>
      <c r="GS43">
        <v>3</v>
      </c>
      <c r="GT43">
        <v>0</v>
      </c>
      <c r="GU43" t="s">
        <v>224</v>
      </c>
      <c r="GV43">
        <f t="shared" si="53"/>
        <v>0</v>
      </c>
      <c r="GW43">
        <v>1</v>
      </c>
      <c r="GX43">
        <f t="shared" si="54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ROW(SmtRes!A91)</f>
        <v>91</v>
      </c>
      <c r="D44" s="2">
        <f>ROW(EtalonRes!A109)</f>
        <v>109</v>
      </c>
      <c r="E44" s="2" t="s">
        <v>290</v>
      </c>
      <c r="F44" s="2" t="s">
        <v>291</v>
      </c>
      <c r="G44" s="2" t="s">
        <v>292</v>
      </c>
      <c r="H44" s="2" t="s">
        <v>237</v>
      </c>
      <c r="I44" s="2">
        <f>ROUND(581.4/100,9)</f>
        <v>5.8140000000000001</v>
      </c>
      <c r="J44" s="2">
        <v>0</v>
      </c>
      <c r="K44" s="2"/>
      <c r="L44" s="2"/>
      <c r="M44" s="2"/>
      <c r="N44" s="2"/>
      <c r="O44" s="2">
        <f t="shared" si="21"/>
        <v>1034.8900000000001</v>
      </c>
      <c r="P44" s="2">
        <f t="shared" si="22"/>
        <v>0</v>
      </c>
      <c r="Q44" s="2">
        <f t="shared" si="23"/>
        <v>0</v>
      </c>
      <c r="R44" s="2">
        <f t="shared" si="24"/>
        <v>0</v>
      </c>
      <c r="S44" s="2">
        <f t="shared" si="25"/>
        <v>1034.8900000000001</v>
      </c>
      <c r="T44" s="2">
        <f t="shared" si="26"/>
        <v>0</v>
      </c>
      <c r="U44" s="2">
        <f t="shared" si="27"/>
        <v>132.67547999999999</v>
      </c>
      <c r="V44" s="2">
        <f t="shared" si="28"/>
        <v>0</v>
      </c>
      <c r="W44" s="2">
        <f t="shared" si="29"/>
        <v>0</v>
      </c>
      <c r="X44" s="2">
        <f t="shared" si="30"/>
        <v>1024.54</v>
      </c>
      <c r="Y44" s="2">
        <f t="shared" si="31"/>
        <v>620.92999999999995</v>
      </c>
      <c r="Z44" s="2"/>
      <c r="AA44" s="2">
        <v>16499835</v>
      </c>
      <c r="AB44" s="2">
        <f t="shared" si="32"/>
        <v>178</v>
      </c>
      <c r="AC44" s="2">
        <f t="shared" ref="AC44:AC75" si="62">ROUND((ES44),6)</f>
        <v>0</v>
      </c>
      <c r="AD44" s="2">
        <f>ROUND((((ET44)-(EU44))+AE44),6)</f>
        <v>0</v>
      </c>
      <c r="AE44" s="2">
        <f>ROUND((EU44),6)</f>
        <v>0</v>
      </c>
      <c r="AF44" s="2">
        <f>ROUND((EV44),6)</f>
        <v>178</v>
      </c>
      <c r="AG44" s="2">
        <f t="shared" si="34"/>
        <v>0</v>
      </c>
      <c r="AH44" s="2">
        <f>(EW44)</f>
        <v>22.82</v>
      </c>
      <c r="AI44" s="2">
        <f>(EX44)</f>
        <v>0</v>
      </c>
      <c r="AJ44" s="2">
        <f t="shared" si="35"/>
        <v>0</v>
      </c>
      <c r="AK44" s="2">
        <v>178</v>
      </c>
      <c r="AL44" s="2">
        <v>0</v>
      </c>
      <c r="AM44" s="2">
        <v>0</v>
      </c>
      <c r="AN44" s="2">
        <v>0</v>
      </c>
      <c r="AO44" s="2">
        <v>178</v>
      </c>
      <c r="AP44" s="2">
        <v>0</v>
      </c>
      <c r="AQ44" s="2">
        <v>22.82</v>
      </c>
      <c r="AR44" s="2">
        <v>0</v>
      </c>
      <c r="AS44" s="2">
        <v>0</v>
      </c>
      <c r="AT44" s="2">
        <v>99</v>
      </c>
      <c r="AU44" s="2">
        <v>60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224</v>
      </c>
      <c r="BE44" s="2" t="s">
        <v>224</v>
      </c>
      <c r="BF44" s="2" t="s">
        <v>224</v>
      </c>
      <c r="BG44" s="2" t="s">
        <v>224</v>
      </c>
      <c r="BH44" s="2">
        <v>0</v>
      </c>
      <c r="BI44" s="2">
        <v>1</v>
      </c>
      <c r="BJ44" s="2" t="s">
        <v>293</v>
      </c>
      <c r="BK44" s="2"/>
      <c r="BL44" s="2"/>
      <c r="BM44" s="2">
        <v>46001</v>
      </c>
      <c r="BN44" s="2">
        <v>0</v>
      </c>
      <c r="BO44" s="2" t="s">
        <v>224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224</v>
      </c>
      <c r="BZ44" s="2">
        <v>110</v>
      </c>
      <c r="CA44" s="2">
        <v>70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224</v>
      </c>
      <c r="CO44" s="2">
        <v>0</v>
      </c>
      <c r="CP44" s="2">
        <f t="shared" si="36"/>
        <v>1034.8900000000001</v>
      </c>
      <c r="CQ44" s="2">
        <f t="shared" si="37"/>
        <v>0</v>
      </c>
      <c r="CR44" s="2">
        <f t="shared" si="38"/>
        <v>0</v>
      </c>
      <c r="CS44" s="2">
        <f t="shared" si="39"/>
        <v>0</v>
      </c>
      <c r="CT44" s="2">
        <f t="shared" si="40"/>
        <v>178</v>
      </c>
      <c r="CU44" s="2">
        <f t="shared" si="41"/>
        <v>0</v>
      </c>
      <c r="CV44" s="2">
        <f t="shared" si="42"/>
        <v>22.82</v>
      </c>
      <c r="CW44" s="2">
        <f t="shared" si="43"/>
        <v>0</v>
      </c>
      <c r="CX44" s="2">
        <f t="shared" si="44"/>
        <v>0</v>
      </c>
      <c r="CY44" s="2">
        <f t="shared" si="45"/>
        <v>1024.5411000000001</v>
      </c>
      <c r="CZ44" s="2">
        <f t="shared" si="46"/>
        <v>620.93400000000008</v>
      </c>
      <c r="DA44" s="2"/>
      <c r="DB44" s="2"/>
      <c r="DC44" s="2" t="s">
        <v>224</v>
      </c>
      <c r="DD44" s="2" t="s">
        <v>224</v>
      </c>
      <c r="DE44" s="2" t="s">
        <v>224</v>
      </c>
      <c r="DF44" s="2" t="s">
        <v>224</v>
      </c>
      <c r="DG44" s="2" t="s">
        <v>224</v>
      </c>
      <c r="DH44" s="2" t="s">
        <v>224</v>
      </c>
      <c r="DI44" s="2" t="s">
        <v>224</v>
      </c>
      <c r="DJ44" s="2" t="s">
        <v>224</v>
      </c>
      <c r="DK44" s="2" t="s">
        <v>224</v>
      </c>
      <c r="DL44" s="2" t="s">
        <v>224</v>
      </c>
      <c r="DM44" s="2" t="s">
        <v>224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237</v>
      </c>
      <c r="DW44" s="2" t="s">
        <v>237</v>
      </c>
      <c r="DX44" s="2">
        <v>100</v>
      </c>
      <c r="DY44" s="2"/>
      <c r="DZ44" s="2"/>
      <c r="EA44" s="2"/>
      <c r="EB44" s="2"/>
      <c r="EC44" s="2"/>
      <c r="ED44" s="2"/>
      <c r="EE44" s="2">
        <v>15139168</v>
      </c>
      <c r="EF44" s="2">
        <v>2</v>
      </c>
      <c r="EG44" s="2" t="s">
        <v>233</v>
      </c>
      <c r="EH44" s="2">
        <v>0</v>
      </c>
      <c r="EI44" s="2" t="s">
        <v>224</v>
      </c>
      <c r="EJ44" s="2">
        <v>1</v>
      </c>
      <c r="EK44" s="2">
        <v>46001</v>
      </c>
      <c r="EL44" s="2" t="s">
        <v>262</v>
      </c>
      <c r="EM44" s="2" t="s">
        <v>263</v>
      </c>
      <c r="EN44" s="2"/>
      <c r="EO44" s="2" t="s">
        <v>224</v>
      </c>
      <c r="EP44" s="2"/>
      <c r="EQ44" s="2">
        <v>0</v>
      </c>
      <c r="ER44" s="2">
        <v>178</v>
      </c>
      <c r="ES44" s="2">
        <v>0</v>
      </c>
      <c r="ET44" s="2">
        <v>0</v>
      </c>
      <c r="EU44" s="2">
        <v>0</v>
      </c>
      <c r="EV44" s="2">
        <v>178</v>
      </c>
      <c r="EW44" s="2">
        <v>22.82</v>
      </c>
      <c r="EX44" s="2">
        <v>0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7"/>
        <v>0</v>
      </c>
      <c r="FS44" s="2">
        <v>0</v>
      </c>
      <c r="FT44" s="2" t="s">
        <v>244</v>
      </c>
      <c r="FU44" s="2" t="s">
        <v>245</v>
      </c>
      <c r="FV44" s="2"/>
      <c r="FW44" s="2"/>
      <c r="FX44" s="2">
        <v>99</v>
      </c>
      <c r="FY44" s="2">
        <v>59.5</v>
      </c>
      <c r="FZ44" s="2"/>
      <c r="GA44" s="2" t="s">
        <v>224</v>
      </c>
      <c r="GB44" s="2"/>
      <c r="GC44" s="2"/>
      <c r="GD44" s="2">
        <v>0</v>
      </c>
      <c r="GE44" s="2"/>
      <c r="GF44" s="2">
        <v>1716417608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8"/>
        <v>0</v>
      </c>
      <c r="GM44" s="2">
        <f t="shared" si="49"/>
        <v>2680.36</v>
      </c>
      <c r="GN44" s="2">
        <f t="shared" si="50"/>
        <v>2680.36</v>
      </c>
      <c r="GO44" s="2">
        <f t="shared" si="51"/>
        <v>0</v>
      </c>
      <c r="GP44" s="2">
        <f t="shared" si="52"/>
        <v>0</v>
      </c>
      <c r="GQ44" s="2"/>
      <c r="GR44" s="2">
        <v>0</v>
      </c>
      <c r="GS44" s="2">
        <v>3</v>
      </c>
      <c r="GT44" s="2">
        <v>0</v>
      </c>
      <c r="GU44" s="2" t="s">
        <v>224</v>
      </c>
      <c r="GV44" s="2">
        <f t="shared" si="53"/>
        <v>0</v>
      </c>
      <c r="GW44" s="2">
        <v>1</v>
      </c>
      <c r="GX44" s="2">
        <f t="shared" si="54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ROW(SmtRes!A92)</f>
        <v>92</v>
      </c>
      <c r="D45">
        <f>ROW(EtalonRes!A110)</f>
        <v>110</v>
      </c>
      <c r="E45" t="s">
        <v>290</v>
      </c>
      <c r="F45" t="s">
        <v>291</v>
      </c>
      <c r="G45" t="s">
        <v>292</v>
      </c>
      <c r="H45" t="s">
        <v>237</v>
      </c>
      <c r="I45">
        <f>ROUND(581.4/100,9)</f>
        <v>5.8140000000000001</v>
      </c>
      <c r="J45">
        <v>0</v>
      </c>
      <c r="O45">
        <f t="shared" si="21"/>
        <v>6292.14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6292.14</v>
      </c>
      <c r="T45">
        <f t="shared" si="26"/>
        <v>0</v>
      </c>
      <c r="U45">
        <f t="shared" si="27"/>
        <v>132.67547999999999</v>
      </c>
      <c r="V45">
        <f t="shared" si="28"/>
        <v>0</v>
      </c>
      <c r="W45">
        <f t="shared" si="29"/>
        <v>0</v>
      </c>
      <c r="X45">
        <f t="shared" si="30"/>
        <v>6229.22</v>
      </c>
      <c r="Y45">
        <f t="shared" si="31"/>
        <v>3775.28</v>
      </c>
      <c r="AA45">
        <v>16499878</v>
      </c>
      <c r="AB45">
        <f t="shared" si="32"/>
        <v>178</v>
      </c>
      <c r="AC45">
        <f t="shared" si="62"/>
        <v>0</v>
      </c>
      <c r="AD45">
        <f>ROUND((((ET45)-(EU45))+AE45),6)</f>
        <v>0</v>
      </c>
      <c r="AE45">
        <f>ROUND((EU45),6)</f>
        <v>0</v>
      </c>
      <c r="AF45">
        <f>ROUND((EV45),6)</f>
        <v>178</v>
      </c>
      <c r="AG45">
        <f t="shared" si="34"/>
        <v>0</v>
      </c>
      <c r="AH45">
        <f>(EW45)</f>
        <v>22.82</v>
      </c>
      <c r="AI45">
        <f>(EX45)</f>
        <v>0</v>
      </c>
      <c r="AJ45">
        <f t="shared" si="35"/>
        <v>0</v>
      </c>
      <c r="AK45">
        <v>178</v>
      </c>
      <c r="AL45">
        <v>0</v>
      </c>
      <c r="AM45">
        <v>0</v>
      </c>
      <c r="AN45">
        <v>0</v>
      </c>
      <c r="AO45">
        <v>178</v>
      </c>
      <c r="AP45">
        <v>0</v>
      </c>
      <c r="AQ45">
        <v>22.82</v>
      </c>
      <c r="AR45">
        <v>0</v>
      </c>
      <c r="AS45">
        <v>0</v>
      </c>
      <c r="AT45">
        <v>99</v>
      </c>
      <c r="AU45">
        <v>60</v>
      </c>
      <c r="AV45">
        <v>1</v>
      </c>
      <c r="AW45">
        <v>1</v>
      </c>
      <c r="AZ45">
        <v>6.08</v>
      </c>
      <c r="BA45">
        <v>6.08</v>
      </c>
      <c r="BB45">
        <v>6.08</v>
      </c>
      <c r="BC45">
        <v>6.08</v>
      </c>
      <c r="BD45" t="s">
        <v>224</v>
      </c>
      <c r="BE45" t="s">
        <v>224</v>
      </c>
      <c r="BF45" t="s">
        <v>224</v>
      </c>
      <c r="BG45" t="s">
        <v>224</v>
      </c>
      <c r="BH45">
        <v>0</v>
      </c>
      <c r="BI45">
        <v>1</v>
      </c>
      <c r="BJ45" t="s">
        <v>293</v>
      </c>
      <c r="BM45">
        <v>46001</v>
      </c>
      <c r="BN45">
        <v>0</v>
      </c>
      <c r="BO45" t="s">
        <v>224</v>
      </c>
      <c r="BP45">
        <v>0</v>
      </c>
      <c r="BQ45">
        <v>2</v>
      </c>
      <c r="BR45">
        <v>0</v>
      </c>
      <c r="BS45">
        <v>6.08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224</v>
      </c>
      <c r="BZ45">
        <v>110</v>
      </c>
      <c r="CA45">
        <v>70</v>
      </c>
      <c r="CF45">
        <v>0</v>
      </c>
      <c r="CG45">
        <v>0</v>
      </c>
      <c r="CM45">
        <v>0</v>
      </c>
      <c r="CN45" t="s">
        <v>224</v>
      </c>
      <c r="CO45">
        <v>0</v>
      </c>
      <c r="CP45">
        <f t="shared" si="36"/>
        <v>6292.14</v>
      </c>
      <c r="CQ45">
        <f t="shared" si="37"/>
        <v>0</v>
      </c>
      <c r="CR45">
        <f t="shared" si="38"/>
        <v>0</v>
      </c>
      <c r="CS45">
        <f t="shared" si="39"/>
        <v>0</v>
      </c>
      <c r="CT45">
        <f t="shared" si="40"/>
        <v>1082.24</v>
      </c>
      <c r="CU45">
        <f t="shared" si="41"/>
        <v>0</v>
      </c>
      <c r="CV45">
        <f t="shared" si="42"/>
        <v>22.82</v>
      </c>
      <c r="CW45">
        <f t="shared" si="43"/>
        <v>0</v>
      </c>
      <c r="CX45">
        <f t="shared" si="44"/>
        <v>0</v>
      </c>
      <c r="CY45">
        <f t="shared" si="45"/>
        <v>6229.2186000000002</v>
      </c>
      <c r="CZ45">
        <f t="shared" si="46"/>
        <v>3775.2840000000001</v>
      </c>
      <c r="DC45" t="s">
        <v>224</v>
      </c>
      <c r="DD45" t="s">
        <v>224</v>
      </c>
      <c r="DE45" t="s">
        <v>224</v>
      </c>
      <c r="DF45" t="s">
        <v>224</v>
      </c>
      <c r="DG45" t="s">
        <v>224</v>
      </c>
      <c r="DH45" t="s">
        <v>224</v>
      </c>
      <c r="DI45" t="s">
        <v>224</v>
      </c>
      <c r="DJ45" t="s">
        <v>224</v>
      </c>
      <c r="DK45" t="s">
        <v>224</v>
      </c>
      <c r="DL45" t="s">
        <v>224</v>
      </c>
      <c r="DM45" t="s">
        <v>224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237</v>
      </c>
      <c r="DW45" t="s">
        <v>237</v>
      </c>
      <c r="DX45">
        <v>100</v>
      </c>
      <c r="EE45">
        <v>15139168</v>
      </c>
      <c r="EF45">
        <v>2</v>
      </c>
      <c r="EG45" t="s">
        <v>233</v>
      </c>
      <c r="EH45">
        <v>0</v>
      </c>
      <c r="EI45" t="s">
        <v>224</v>
      </c>
      <c r="EJ45">
        <v>1</v>
      </c>
      <c r="EK45">
        <v>46001</v>
      </c>
      <c r="EL45" t="s">
        <v>262</v>
      </c>
      <c r="EM45" t="s">
        <v>263</v>
      </c>
      <c r="EO45" t="s">
        <v>224</v>
      </c>
      <c r="EQ45">
        <v>0</v>
      </c>
      <c r="ER45">
        <v>178</v>
      </c>
      <c r="ES45">
        <v>0</v>
      </c>
      <c r="ET45">
        <v>0</v>
      </c>
      <c r="EU45">
        <v>0</v>
      </c>
      <c r="EV45">
        <v>178</v>
      </c>
      <c r="EW45">
        <v>22.82</v>
      </c>
      <c r="EX45">
        <v>0</v>
      </c>
      <c r="EY45">
        <v>0</v>
      </c>
      <c r="FQ45">
        <v>0</v>
      </c>
      <c r="FR45">
        <f t="shared" si="47"/>
        <v>0</v>
      </c>
      <c r="FS45">
        <v>0</v>
      </c>
      <c r="FT45" t="s">
        <v>244</v>
      </c>
      <c r="FU45" t="s">
        <v>245</v>
      </c>
      <c r="FX45">
        <v>99</v>
      </c>
      <c r="FY45">
        <v>59.5</v>
      </c>
      <c r="GA45" t="s">
        <v>224</v>
      </c>
      <c r="GD45">
        <v>0</v>
      </c>
      <c r="GF45">
        <v>1716417608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8"/>
        <v>0</v>
      </c>
      <c r="GM45">
        <f t="shared" si="49"/>
        <v>16296.64</v>
      </c>
      <c r="GN45">
        <f t="shared" si="50"/>
        <v>16296.64</v>
      </c>
      <c r="GO45">
        <f t="shared" si="51"/>
        <v>0</v>
      </c>
      <c r="GP45">
        <f t="shared" si="52"/>
        <v>0</v>
      </c>
      <c r="GR45">
        <v>0</v>
      </c>
      <c r="GS45">
        <v>3</v>
      </c>
      <c r="GT45">
        <v>0</v>
      </c>
      <c r="GU45" t="s">
        <v>224</v>
      </c>
      <c r="GV45">
        <f t="shared" si="53"/>
        <v>0</v>
      </c>
      <c r="GW45">
        <v>1</v>
      </c>
      <c r="GX45">
        <f t="shared" si="54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ROW(SmtRes!A98)</f>
        <v>98</v>
      </c>
      <c r="D46" s="2">
        <f>ROW(EtalonRes!A116)</f>
        <v>116</v>
      </c>
      <c r="E46" s="2" t="s">
        <v>294</v>
      </c>
      <c r="F46" s="2" t="s">
        <v>295</v>
      </c>
      <c r="G46" s="2" t="s">
        <v>296</v>
      </c>
      <c r="H46" s="2" t="s">
        <v>237</v>
      </c>
      <c r="I46" s="2">
        <f>ROUND(311.4/100,9)</f>
        <v>3.1139999999999999</v>
      </c>
      <c r="J46" s="2">
        <v>0</v>
      </c>
      <c r="K46" s="2"/>
      <c r="L46" s="2"/>
      <c r="M46" s="2"/>
      <c r="N46" s="2"/>
      <c r="O46" s="2">
        <f t="shared" si="21"/>
        <v>699.67</v>
      </c>
      <c r="P46" s="2">
        <f t="shared" si="22"/>
        <v>1.1200000000000001</v>
      </c>
      <c r="Q46" s="2">
        <f t="shared" si="23"/>
        <v>8.8699999999999992</v>
      </c>
      <c r="R46" s="2">
        <f t="shared" si="24"/>
        <v>1.91</v>
      </c>
      <c r="S46" s="2">
        <f t="shared" si="25"/>
        <v>689.68</v>
      </c>
      <c r="T46" s="2">
        <f t="shared" si="26"/>
        <v>0</v>
      </c>
      <c r="U46" s="2">
        <f t="shared" si="27"/>
        <v>71.693621999999991</v>
      </c>
      <c r="V46" s="2">
        <f t="shared" si="28"/>
        <v>0.15570000000000001</v>
      </c>
      <c r="W46" s="2">
        <f t="shared" si="29"/>
        <v>0</v>
      </c>
      <c r="X46" s="2">
        <f t="shared" si="30"/>
        <v>657.01</v>
      </c>
      <c r="Y46" s="2">
        <f t="shared" si="31"/>
        <v>325.05</v>
      </c>
      <c r="Z46" s="2"/>
      <c r="AA46" s="2">
        <v>16499835</v>
      </c>
      <c r="AB46" s="2">
        <f t="shared" si="32"/>
        <v>224.6885</v>
      </c>
      <c r="AC46" s="2">
        <f t="shared" si="62"/>
        <v>0.36</v>
      </c>
      <c r="AD46" s="2">
        <f>ROUND(((((ET46*1.25))-((EU46*1.25)))+AE46),6)</f>
        <v>2.85</v>
      </c>
      <c r="AE46" s="2">
        <f>ROUND(((EU46*1.25)),6)</f>
        <v>0.61250000000000004</v>
      </c>
      <c r="AF46" s="2">
        <f>ROUND(((EV46*1.15)),6)</f>
        <v>221.4785</v>
      </c>
      <c r="AG46" s="2">
        <f t="shared" si="34"/>
        <v>0</v>
      </c>
      <c r="AH46" s="2">
        <f>((EW46*1.15))</f>
        <v>23.022999999999996</v>
      </c>
      <c r="AI46" s="2">
        <f>((EX46*1.25))</f>
        <v>0.05</v>
      </c>
      <c r="AJ46" s="2">
        <f t="shared" si="35"/>
        <v>0</v>
      </c>
      <c r="AK46" s="2">
        <v>195.23</v>
      </c>
      <c r="AL46" s="2">
        <v>0.36</v>
      </c>
      <c r="AM46" s="2">
        <v>2.2799999999999998</v>
      </c>
      <c r="AN46" s="2">
        <v>0.49</v>
      </c>
      <c r="AO46" s="2">
        <v>192.59</v>
      </c>
      <c r="AP46" s="2">
        <v>0</v>
      </c>
      <c r="AQ46" s="2">
        <v>20.02</v>
      </c>
      <c r="AR46" s="2">
        <v>0.04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224</v>
      </c>
      <c r="BE46" s="2" t="s">
        <v>224</v>
      </c>
      <c r="BF46" s="2" t="s">
        <v>224</v>
      </c>
      <c r="BG46" s="2" t="s">
        <v>224</v>
      </c>
      <c r="BH46" s="2">
        <v>0</v>
      </c>
      <c r="BI46" s="2">
        <v>1</v>
      </c>
      <c r="BJ46" s="2" t="s">
        <v>297</v>
      </c>
      <c r="BK46" s="2"/>
      <c r="BL46" s="2"/>
      <c r="BM46" s="2">
        <v>15001</v>
      </c>
      <c r="BN46" s="2">
        <v>0</v>
      </c>
      <c r="BO46" s="2" t="s">
        <v>224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224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123</v>
      </c>
      <c r="CO46" s="2">
        <v>0</v>
      </c>
      <c r="CP46" s="2">
        <f t="shared" si="36"/>
        <v>699.67</v>
      </c>
      <c r="CQ46" s="2">
        <f t="shared" si="37"/>
        <v>0.36</v>
      </c>
      <c r="CR46" s="2">
        <f t="shared" si="38"/>
        <v>2.85</v>
      </c>
      <c r="CS46" s="2">
        <f t="shared" si="39"/>
        <v>0.61250000000000004</v>
      </c>
      <c r="CT46" s="2">
        <f t="shared" si="40"/>
        <v>221.4785</v>
      </c>
      <c r="CU46" s="2">
        <f t="shared" si="41"/>
        <v>0</v>
      </c>
      <c r="CV46" s="2">
        <f t="shared" si="42"/>
        <v>23.022999999999996</v>
      </c>
      <c r="CW46" s="2">
        <f t="shared" si="43"/>
        <v>0.05</v>
      </c>
      <c r="CX46" s="2">
        <f t="shared" si="44"/>
        <v>0</v>
      </c>
      <c r="CY46" s="2">
        <f t="shared" si="45"/>
        <v>657.01049999999987</v>
      </c>
      <c r="CZ46" s="2">
        <f t="shared" si="46"/>
        <v>325.04729999999995</v>
      </c>
      <c r="DA46" s="2"/>
      <c r="DB46" s="2"/>
      <c r="DC46" s="2" t="s">
        <v>224</v>
      </c>
      <c r="DD46" s="2" t="s">
        <v>224</v>
      </c>
      <c r="DE46" s="2" t="s">
        <v>239</v>
      </c>
      <c r="DF46" s="2" t="s">
        <v>239</v>
      </c>
      <c r="DG46" s="2" t="s">
        <v>240</v>
      </c>
      <c r="DH46" s="2" t="s">
        <v>224</v>
      </c>
      <c r="DI46" s="2" t="s">
        <v>240</v>
      </c>
      <c r="DJ46" s="2" t="s">
        <v>239</v>
      </c>
      <c r="DK46" s="2" t="s">
        <v>224</v>
      </c>
      <c r="DL46" s="2" t="s">
        <v>224</v>
      </c>
      <c r="DM46" s="2" t="s">
        <v>224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237</v>
      </c>
      <c r="DW46" s="2" t="s">
        <v>237</v>
      </c>
      <c r="DX46" s="2">
        <v>100</v>
      </c>
      <c r="DY46" s="2"/>
      <c r="DZ46" s="2"/>
      <c r="EA46" s="2"/>
      <c r="EB46" s="2"/>
      <c r="EC46" s="2"/>
      <c r="ED46" s="2"/>
      <c r="EE46" s="2">
        <v>15139126</v>
      </c>
      <c r="EF46" s="2">
        <v>2</v>
      </c>
      <c r="EG46" s="2" t="s">
        <v>233</v>
      </c>
      <c r="EH46" s="2">
        <v>0</v>
      </c>
      <c r="EI46" s="2" t="s">
        <v>224</v>
      </c>
      <c r="EJ46" s="2">
        <v>1</v>
      </c>
      <c r="EK46" s="2">
        <v>15001</v>
      </c>
      <c r="EL46" s="2" t="s">
        <v>298</v>
      </c>
      <c r="EM46" s="2" t="s">
        <v>299</v>
      </c>
      <c r="EN46" s="2"/>
      <c r="EO46" s="2" t="s">
        <v>243</v>
      </c>
      <c r="EP46" s="2"/>
      <c r="EQ46" s="2">
        <v>0</v>
      </c>
      <c r="ER46" s="2">
        <v>195.23</v>
      </c>
      <c r="ES46" s="2">
        <v>0.36</v>
      </c>
      <c r="ET46" s="2">
        <v>2.2799999999999998</v>
      </c>
      <c r="EU46" s="2">
        <v>0.49</v>
      </c>
      <c r="EV46" s="2">
        <v>192.59</v>
      </c>
      <c r="EW46" s="2">
        <v>20.02</v>
      </c>
      <c r="EX46" s="2">
        <v>0.04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7"/>
        <v>0</v>
      </c>
      <c r="FS46" s="2">
        <v>0</v>
      </c>
      <c r="FT46" s="2" t="s">
        <v>244</v>
      </c>
      <c r="FU46" s="2" t="s">
        <v>245</v>
      </c>
      <c r="FV46" s="2"/>
      <c r="FW46" s="2"/>
      <c r="FX46" s="2">
        <v>94.5</v>
      </c>
      <c r="FY46" s="2">
        <v>46.75</v>
      </c>
      <c r="FZ46" s="2"/>
      <c r="GA46" s="2" t="s">
        <v>224</v>
      </c>
      <c r="GB46" s="2"/>
      <c r="GC46" s="2"/>
      <c r="GD46" s="2">
        <v>0</v>
      </c>
      <c r="GE46" s="2"/>
      <c r="GF46" s="2">
        <v>833545510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8"/>
        <v>0</v>
      </c>
      <c r="GM46" s="2">
        <f t="shared" si="49"/>
        <v>1681.73</v>
      </c>
      <c r="GN46" s="2">
        <f t="shared" si="50"/>
        <v>1681.73</v>
      </c>
      <c r="GO46" s="2">
        <f t="shared" si="51"/>
        <v>0</v>
      </c>
      <c r="GP46" s="2">
        <f t="shared" si="52"/>
        <v>0</v>
      </c>
      <c r="GQ46" s="2"/>
      <c r="GR46" s="2">
        <v>0</v>
      </c>
      <c r="GS46" s="2">
        <v>3</v>
      </c>
      <c r="GT46" s="2">
        <v>0</v>
      </c>
      <c r="GU46" s="2" t="s">
        <v>224</v>
      </c>
      <c r="GV46" s="2">
        <f t="shared" si="53"/>
        <v>0</v>
      </c>
      <c r="GW46" s="2">
        <v>1</v>
      </c>
      <c r="GX46" s="2">
        <f t="shared" si="54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ROW(SmtRes!A104)</f>
        <v>104</v>
      </c>
      <c r="D47">
        <f>ROW(EtalonRes!A122)</f>
        <v>122</v>
      </c>
      <c r="E47" t="s">
        <v>294</v>
      </c>
      <c r="F47" t="s">
        <v>295</v>
      </c>
      <c r="G47" t="s">
        <v>296</v>
      </c>
      <c r="H47" t="s">
        <v>237</v>
      </c>
      <c r="I47">
        <f>ROUND(311.4/100,9)</f>
        <v>3.1139999999999999</v>
      </c>
      <c r="J47">
        <v>0</v>
      </c>
      <c r="O47">
        <f t="shared" si="21"/>
        <v>4254.0600000000004</v>
      </c>
      <c r="P47">
        <f t="shared" si="22"/>
        <v>6.82</v>
      </c>
      <c r="Q47">
        <f t="shared" si="23"/>
        <v>53.96</v>
      </c>
      <c r="R47">
        <f t="shared" si="24"/>
        <v>11.6</v>
      </c>
      <c r="S47">
        <f t="shared" si="25"/>
        <v>4193.28</v>
      </c>
      <c r="T47">
        <f t="shared" si="26"/>
        <v>0</v>
      </c>
      <c r="U47">
        <f t="shared" si="27"/>
        <v>71.693621999999991</v>
      </c>
      <c r="V47">
        <f t="shared" si="28"/>
        <v>0.15570000000000001</v>
      </c>
      <c r="W47">
        <f t="shared" si="29"/>
        <v>0</v>
      </c>
      <c r="X47">
        <f t="shared" si="30"/>
        <v>3994.64</v>
      </c>
      <c r="Y47">
        <f t="shared" si="31"/>
        <v>1976.29</v>
      </c>
      <c r="AA47">
        <v>16499878</v>
      </c>
      <c r="AB47">
        <f t="shared" si="32"/>
        <v>224.6885</v>
      </c>
      <c r="AC47">
        <f t="shared" si="62"/>
        <v>0.36</v>
      </c>
      <c r="AD47">
        <f>ROUND(((((ET47*1.25))-((EU47*1.25)))+AE47),6)</f>
        <v>2.85</v>
      </c>
      <c r="AE47">
        <f>ROUND(((EU47*1.25)),6)</f>
        <v>0.61250000000000004</v>
      </c>
      <c r="AF47">
        <f>ROUND(((EV47*1.15)),6)</f>
        <v>221.4785</v>
      </c>
      <c r="AG47">
        <f t="shared" si="34"/>
        <v>0</v>
      </c>
      <c r="AH47">
        <f>((EW47*1.15))</f>
        <v>23.022999999999996</v>
      </c>
      <c r="AI47">
        <f>((EX47*1.25))</f>
        <v>0.05</v>
      </c>
      <c r="AJ47">
        <f t="shared" si="35"/>
        <v>0</v>
      </c>
      <c r="AK47">
        <v>195.23</v>
      </c>
      <c r="AL47">
        <v>0.36</v>
      </c>
      <c r="AM47">
        <v>2.2799999999999998</v>
      </c>
      <c r="AN47">
        <v>0.49</v>
      </c>
      <c r="AO47">
        <v>192.59</v>
      </c>
      <c r="AP47">
        <v>0</v>
      </c>
      <c r="AQ47">
        <v>20.02</v>
      </c>
      <c r="AR47">
        <v>0.04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6.08</v>
      </c>
      <c r="BB47">
        <v>6.08</v>
      </c>
      <c r="BC47">
        <v>6.08</v>
      </c>
      <c r="BD47" t="s">
        <v>224</v>
      </c>
      <c r="BE47" t="s">
        <v>224</v>
      </c>
      <c r="BF47" t="s">
        <v>224</v>
      </c>
      <c r="BG47" t="s">
        <v>224</v>
      </c>
      <c r="BH47">
        <v>0</v>
      </c>
      <c r="BI47">
        <v>1</v>
      </c>
      <c r="BJ47" t="s">
        <v>297</v>
      </c>
      <c r="BM47">
        <v>15001</v>
      </c>
      <c r="BN47">
        <v>0</v>
      </c>
      <c r="BO47" t="s">
        <v>224</v>
      </c>
      <c r="BP47">
        <v>0</v>
      </c>
      <c r="BQ47">
        <v>2</v>
      </c>
      <c r="BR47">
        <v>0</v>
      </c>
      <c r="BS47">
        <v>6.08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224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123</v>
      </c>
      <c r="CO47">
        <v>0</v>
      </c>
      <c r="CP47">
        <f t="shared" si="36"/>
        <v>4254.0599999999995</v>
      </c>
      <c r="CQ47">
        <f t="shared" si="37"/>
        <v>2.1888000000000001</v>
      </c>
      <c r="CR47">
        <f t="shared" si="38"/>
        <v>17.327999999999999</v>
      </c>
      <c r="CS47">
        <f t="shared" si="39"/>
        <v>3.7240000000000002</v>
      </c>
      <c r="CT47">
        <f t="shared" si="40"/>
        <v>1346.5892799999999</v>
      </c>
      <c r="CU47">
        <f t="shared" si="41"/>
        <v>0</v>
      </c>
      <c r="CV47">
        <f t="shared" si="42"/>
        <v>23.022999999999996</v>
      </c>
      <c r="CW47">
        <f t="shared" si="43"/>
        <v>0.05</v>
      </c>
      <c r="CX47">
        <f t="shared" si="44"/>
        <v>0</v>
      </c>
      <c r="CY47">
        <f t="shared" si="45"/>
        <v>3994.6360000000004</v>
      </c>
      <c r="CZ47">
        <f t="shared" si="46"/>
        <v>1976.2936000000002</v>
      </c>
      <c r="DC47" t="s">
        <v>224</v>
      </c>
      <c r="DD47" t="s">
        <v>224</v>
      </c>
      <c r="DE47" t="s">
        <v>239</v>
      </c>
      <c r="DF47" t="s">
        <v>239</v>
      </c>
      <c r="DG47" t="s">
        <v>240</v>
      </c>
      <c r="DH47" t="s">
        <v>224</v>
      </c>
      <c r="DI47" t="s">
        <v>240</v>
      </c>
      <c r="DJ47" t="s">
        <v>239</v>
      </c>
      <c r="DK47" t="s">
        <v>224</v>
      </c>
      <c r="DL47" t="s">
        <v>224</v>
      </c>
      <c r="DM47" t="s">
        <v>224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237</v>
      </c>
      <c r="DW47" t="s">
        <v>237</v>
      </c>
      <c r="DX47">
        <v>100</v>
      </c>
      <c r="EE47">
        <v>15139126</v>
      </c>
      <c r="EF47">
        <v>2</v>
      </c>
      <c r="EG47" t="s">
        <v>233</v>
      </c>
      <c r="EH47">
        <v>0</v>
      </c>
      <c r="EI47" t="s">
        <v>224</v>
      </c>
      <c r="EJ47">
        <v>1</v>
      </c>
      <c r="EK47">
        <v>15001</v>
      </c>
      <c r="EL47" t="s">
        <v>298</v>
      </c>
      <c r="EM47" t="s">
        <v>299</v>
      </c>
      <c r="EO47" t="s">
        <v>243</v>
      </c>
      <c r="EQ47">
        <v>0</v>
      </c>
      <c r="ER47">
        <v>195.23</v>
      </c>
      <c r="ES47">
        <v>0.36</v>
      </c>
      <c r="ET47">
        <v>2.2799999999999998</v>
      </c>
      <c r="EU47">
        <v>0.49</v>
      </c>
      <c r="EV47">
        <v>192.59</v>
      </c>
      <c r="EW47">
        <v>20.02</v>
      </c>
      <c r="EX47">
        <v>0.04</v>
      </c>
      <c r="EY47">
        <v>0</v>
      </c>
      <c r="FQ47">
        <v>0</v>
      </c>
      <c r="FR47">
        <f t="shared" si="47"/>
        <v>0</v>
      </c>
      <c r="FS47">
        <v>0</v>
      </c>
      <c r="FT47" t="s">
        <v>244</v>
      </c>
      <c r="FU47" t="s">
        <v>245</v>
      </c>
      <c r="FX47">
        <v>94.5</v>
      </c>
      <c r="FY47">
        <v>46.75</v>
      </c>
      <c r="GA47" t="s">
        <v>224</v>
      </c>
      <c r="GD47">
        <v>0</v>
      </c>
      <c r="GF47">
        <v>833545510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8"/>
        <v>0</v>
      </c>
      <c r="GM47">
        <f t="shared" si="49"/>
        <v>10224.99</v>
      </c>
      <c r="GN47">
        <f t="shared" si="50"/>
        <v>10224.99</v>
      </c>
      <c r="GO47">
        <f t="shared" si="51"/>
        <v>0</v>
      </c>
      <c r="GP47">
        <f t="shared" si="52"/>
        <v>0</v>
      </c>
      <c r="GR47">
        <v>0</v>
      </c>
      <c r="GS47">
        <v>3</v>
      </c>
      <c r="GT47">
        <v>0</v>
      </c>
      <c r="GU47" t="s">
        <v>224</v>
      </c>
      <c r="GV47">
        <f t="shared" si="53"/>
        <v>0</v>
      </c>
      <c r="GW47">
        <v>1</v>
      </c>
      <c r="GX47">
        <f t="shared" si="54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98</v>
      </c>
      <c r="D48" s="2"/>
      <c r="E48" s="2" t="s">
        <v>300</v>
      </c>
      <c r="F48" s="2" t="s">
        <v>301</v>
      </c>
      <c r="G48" s="2" t="s">
        <v>302</v>
      </c>
      <c r="H48" s="2" t="s">
        <v>303</v>
      </c>
      <c r="I48" s="2">
        <f>I46*J48</f>
        <v>62.28</v>
      </c>
      <c r="J48" s="2">
        <v>20</v>
      </c>
      <c r="K48" s="2"/>
      <c r="L48" s="2"/>
      <c r="M48" s="2"/>
      <c r="N48" s="2"/>
      <c r="O48" s="2">
        <f t="shared" si="21"/>
        <v>949.77</v>
      </c>
      <c r="P48" s="2">
        <f t="shared" si="22"/>
        <v>949.77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16499835</v>
      </c>
      <c r="AB48" s="2">
        <f t="shared" si="32"/>
        <v>15.25</v>
      </c>
      <c r="AC48" s="2">
        <f t="shared" si="62"/>
        <v>15.25</v>
      </c>
      <c r="AD48" s="2">
        <f>ROUND((((ET48)-(EU48))+AE48),6)</f>
        <v>0</v>
      </c>
      <c r="AE48" s="2">
        <f>ROUND((EU48),6)</f>
        <v>0</v>
      </c>
      <c r="AF48" s="2">
        <f>ROUND((EV48),6)</f>
        <v>0</v>
      </c>
      <c r="AG48" s="2">
        <f t="shared" si="34"/>
        <v>0</v>
      </c>
      <c r="AH48" s="2">
        <f>(EW48)</f>
        <v>0</v>
      </c>
      <c r="AI48" s="2">
        <f>(EX48)</f>
        <v>0</v>
      </c>
      <c r="AJ48" s="2">
        <f t="shared" si="35"/>
        <v>0</v>
      </c>
      <c r="AK48" s="2">
        <v>15.25</v>
      </c>
      <c r="AL48" s="2">
        <v>15.25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95</v>
      </c>
      <c r="AU48" s="2">
        <v>47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224</v>
      </c>
      <c r="BE48" s="2" t="s">
        <v>224</v>
      </c>
      <c r="BF48" s="2" t="s">
        <v>224</v>
      </c>
      <c r="BG48" s="2" t="s">
        <v>224</v>
      </c>
      <c r="BH48" s="2">
        <v>3</v>
      </c>
      <c r="BI48" s="2">
        <v>1</v>
      </c>
      <c r="BJ48" s="2" t="s">
        <v>304</v>
      </c>
      <c r="BK48" s="2"/>
      <c r="BL48" s="2"/>
      <c r="BM48" s="2">
        <v>15001</v>
      </c>
      <c r="BN48" s="2">
        <v>0</v>
      </c>
      <c r="BO48" s="2" t="s">
        <v>224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224</v>
      </c>
      <c r="BZ48" s="2">
        <v>105</v>
      </c>
      <c r="CA48" s="2">
        <v>55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224</v>
      </c>
      <c r="CO48" s="2">
        <v>0</v>
      </c>
      <c r="CP48" s="2">
        <f t="shared" si="36"/>
        <v>949.77</v>
      </c>
      <c r="CQ48" s="2">
        <f t="shared" si="37"/>
        <v>15.25</v>
      </c>
      <c r="CR48" s="2">
        <f t="shared" si="38"/>
        <v>0</v>
      </c>
      <c r="CS48" s="2">
        <f t="shared" si="39"/>
        <v>0</v>
      </c>
      <c r="CT48" s="2">
        <f t="shared" si="40"/>
        <v>0</v>
      </c>
      <c r="CU48" s="2">
        <f t="shared" si="41"/>
        <v>0</v>
      </c>
      <c r="CV48" s="2">
        <f t="shared" si="42"/>
        <v>0</v>
      </c>
      <c r="CW48" s="2">
        <f t="shared" si="43"/>
        <v>0</v>
      </c>
      <c r="CX48" s="2">
        <f t="shared" si="44"/>
        <v>0</v>
      </c>
      <c r="CY48" s="2">
        <f t="shared" si="45"/>
        <v>0</v>
      </c>
      <c r="CZ48" s="2">
        <f t="shared" si="46"/>
        <v>0</v>
      </c>
      <c r="DA48" s="2"/>
      <c r="DB48" s="2"/>
      <c r="DC48" s="2" t="s">
        <v>224</v>
      </c>
      <c r="DD48" s="2" t="s">
        <v>224</v>
      </c>
      <c r="DE48" s="2" t="s">
        <v>224</v>
      </c>
      <c r="DF48" s="2" t="s">
        <v>224</v>
      </c>
      <c r="DG48" s="2" t="s">
        <v>224</v>
      </c>
      <c r="DH48" s="2" t="s">
        <v>224</v>
      </c>
      <c r="DI48" s="2" t="s">
        <v>224</v>
      </c>
      <c r="DJ48" s="2" t="s">
        <v>224</v>
      </c>
      <c r="DK48" s="2" t="s">
        <v>224</v>
      </c>
      <c r="DL48" s="2" t="s">
        <v>224</v>
      </c>
      <c r="DM48" s="2" t="s">
        <v>224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303</v>
      </c>
      <c r="DW48" s="2" t="s">
        <v>303</v>
      </c>
      <c r="DX48" s="2">
        <v>1</v>
      </c>
      <c r="DY48" s="2"/>
      <c r="DZ48" s="2"/>
      <c r="EA48" s="2"/>
      <c r="EB48" s="2"/>
      <c r="EC48" s="2"/>
      <c r="ED48" s="2"/>
      <c r="EE48" s="2">
        <v>15139126</v>
      </c>
      <c r="EF48" s="2">
        <v>2</v>
      </c>
      <c r="EG48" s="2" t="s">
        <v>233</v>
      </c>
      <c r="EH48" s="2">
        <v>0</v>
      </c>
      <c r="EI48" s="2" t="s">
        <v>224</v>
      </c>
      <c r="EJ48" s="2">
        <v>1</v>
      </c>
      <c r="EK48" s="2">
        <v>15001</v>
      </c>
      <c r="EL48" s="2" t="s">
        <v>298</v>
      </c>
      <c r="EM48" s="2" t="s">
        <v>299</v>
      </c>
      <c r="EN48" s="2"/>
      <c r="EO48" s="2" t="s">
        <v>224</v>
      </c>
      <c r="EP48" s="2"/>
      <c r="EQ48" s="2">
        <v>0</v>
      </c>
      <c r="ER48" s="2">
        <v>15.25</v>
      </c>
      <c r="ES48" s="2">
        <v>15.25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7"/>
        <v>0</v>
      </c>
      <c r="FS48" s="2">
        <v>0</v>
      </c>
      <c r="FT48" s="2" t="s">
        <v>244</v>
      </c>
      <c r="FU48" s="2" t="s">
        <v>245</v>
      </c>
      <c r="FV48" s="2"/>
      <c r="FW48" s="2"/>
      <c r="FX48" s="2">
        <v>94.5</v>
      </c>
      <c r="FY48" s="2">
        <v>46.75</v>
      </c>
      <c r="FZ48" s="2"/>
      <c r="GA48" s="2" t="s">
        <v>224</v>
      </c>
      <c r="GB48" s="2"/>
      <c r="GC48" s="2"/>
      <c r="GD48" s="2">
        <v>0</v>
      </c>
      <c r="GE48" s="2"/>
      <c r="GF48" s="2">
        <v>-1736829369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8"/>
        <v>0</v>
      </c>
      <c r="GM48" s="2">
        <f t="shared" si="49"/>
        <v>949.77</v>
      </c>
      <c r="GN48" s="2">
        <f t="shared" si="50"/>
        <v>949.77</v>
      </c>
      <c r="GO48" s="2">
        <f t="shared" si="51"/>
        <v>0</v>
      </c>
      <c r="GP48" s="2">
        <f t="shared" si="52"/>
        <v>0</v>
      </c>
      <c r="GQ48" s="2"/>
      <c r="GR48" s="2">
        <v>0</v>
      </c>
      <c r="GS48" s="2">
        <v>3</v>
      </c>
      <c r="GT48" s="2">
        <v>0</v>
      </c>
      <c r="GU48" s="2" t="s">
        <v>224</v>
      </c>
      <c r="GV48" s="2">
        <f t="shared" si="53"/>
        <v>0</v>
      </c>
      <c r="GW48" s="2">
        <v>1</v>
      </c>
      <c r="GX48" s="2">
        <f t="shared" si="54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104</v>
      </c>
      <c r="E49" t="s">
        <v>300</v>
      </c>
      <c r="F49" t="s">
        <v>301</v>
      </c>
      <c r="G49" t="s">
        <v>302</v>
      </c>
      <c r="H49" t="s">
        <v>303</v>
      </c>
      <c r="I49">
        <f>I47*J49</f>
        <v>62.28</v>
      </c>
      <c r="J49">
        <v>20</v>
      </c>
      <c r="O49">
        <f t="shared" si="21"/>
        <v>5774.6</v>
      </c>
      <c r="P49">
        <f t="shared" si="22"/>
        <v>5774.6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16499878</v>
      </c>
      <c r="AB49">
        <f t="shared" si="32"/>
        <v>15.25</v>
      </c>
      <c r="AC49">
        <f t="shared" si="62"/>
        <v>15.25</v>
      </c>
      <c r="AD49">
        <f>ROUND((((ET49)-(EU49))+AE49),6)</f>
        <v>0</v>
      </c>
      <c r="AE49">
        <f>ROUND((EU49),6)</f>
        <v>0</v>
      </c>
      <c r="AF49">
        <f>ROUND((EV49),6)</f>
        <v>0</v>
      </c>
      <c r="AG49">
        <f t="shared" si="34"/>
        <v>0</v>
      </c>
      <c r="AH49">
        <f>(EW49)</f>
        <v>0</v>
      </c>
      <c r="AI49">
        <f>(EX49)</f>
        <v>0</v>
      </c>
      <c r="AJ49">
        <f t="shared" si="35"/>
        <v>0</v>
      </c>
      <c r="AK49">
        <v>15.25</v>
      </c>
      <c r="AL49">
        <v>15.25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6.08</v>
      </c>
      <c r="BA49">
        <v>1</v>
      </c>
      <c r="BB49">
        <v>1</v>
      </c>
      <c r="BC49">
        <v>6.08</v>
      </c>
      <c r="BD49" t="s">
        <v>224</v>
      </c>
      <c r="BE49" t="s">
        <v>224</v>
      </c>
      <c r="BF49" t="s">
        <v>224</v>
      </c>
      <c r="BG49" t="s">
        <v>224</v>
      </c>
      <c r="BH49">
        <v>3</v>
      </c>
      <c r="BI49">
        <v>1</v>
      </c>
      <c r="BJ49" t="s">
        <v>304</v>
      </c>
      <c r="BM49">
        <v>15001</v>
      </c>
      <c r="BN49">
        <v>0</v>
      </c>
      <c r="BO49" t="s">
        <v>224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224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224</v>
      </c>
      <c r="CO49">
        <v>0</v>
      </c>
      <c r="CP49">
        <f t="shared" si="36"/>
        <v>5774.6</v>
      </c>
      <c r="CQ49">
        <f t="shared" si="37"/>
        <v>92.72</v>
      </c>
      <c r="CR49">
        <f t="shared" si="38"/>
        <v>0</v>
      </c>
      <c r="CS49">
        <f t="shared" si="39"/>
        <v>0</v>
      </c>
      <c r="CT49">
        <f t="shared" si="40"/>
        <v>0</v>
      </c>
      <c r="CU49">
        <f t="shared" si="41"/>
        <v>0</v>
      </c>
      <c r="CV49">
        <f t="shared" si="42"/>
        <v>0</v>
      </c>
      <c r="CW49">
        <f t="shared" si="43"/>
        <v>0</v>
      </c>
      <c r="CX49">
        <f t="shared" si="44"/>
        <v>0</v>
      </c>
      <c r="CY49">
        <f t="shared" si="45"/>
        <v>0</v>
      </c>
      <c r="CZ49">
        <f t="shared" si="46"/>
        <v>0</v>
      </c>
      <c r="DC49" t="s">
        <v>224</v>
      </c>
      <c r="DD49" t="s">
        <v>224</v>
      </c>
      <c r="DE49" t="s">
        <v>224</v>
      </c>
      <c r="DF49" t="s">
        <v>224</v>
      </c>
      <c r="DG49" t="s">
        <v>224</v>
      </c>
      <c r="DH49" t="s">
        <v>224</v>
      </c>
      <c r="DI49" t="s">
        <v>224</v>
      </c>
      <c r="DJ49" t="s">
        <v>224</v>
      </c>
      <c r="DK49" t="s">
        <v>224</v>
      </c>
      <c r="DL49" t="s">
        <v>224</v>
      </c>
      <c r="DM49" t="s">
        <v>224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303</v>
      </c>
      <c r="DW49" t="s">
        <v>303</v>
      </c>
      <c r="DX49">
        <v>1</v>
      </c>
      <c r="EE49">
        <v>15139126</v>
      </c>
      <c r="EF49">
        <v>2</v>
      </c>
      <c r="EG49" t="s">
        <v>233</v>
      </c>
      <c r="EH49">
        <v>0</v>
      </c>
      <c r="EI49" t="s">
        <v>224</v>
      </c>
      <c r="EJ49">
        <v>1</v>
      </c>
      <c r="EK49">
        <v>15001</v>
      </c>
      <c r="EL49" t="s">
        <v>298</v>
      </c>
      <c r="EM49" t="s">
        <v>299</v>
      </c>
      <c r="EO49" t="s">
        <v>224</v>
      </c>
      <c r="EQ49">
        <v>0</v>
      </c>
      <c r="ER49">
        <v>15.25</v>
      </c>
      <c r="ES49">
        <v>15.25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7"/>
        <v>0</v>
      </c>
      <c r="FS49">
        <v>0</v>
      </c>
      <c r="FT49" t="s">
        <v>244</v>
      </c>
      <c r="FU49" t="s">
        <v>245</v>
      </c>
      <c r="FX49">
        <v>94.5</v>
      </c>
      <c r="FY49">
        <v>46.75</v>
      </c>
      <c r="GA49" t="s">
        <v>224</v>
      </c>
      <c r="GD49">
        <v>0</v>
      </c>
      <c r="GF49">
        <v>-1736829369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8"/>
        <v>0</v>
      </c>
      <c r="GM49">
        <f t="shared" si="49"/>
        <v>5774.6</v>
      </c>
      <c r="GN49">
        <f t="shared" si="50"/>
        <v>5774.6</v>
      </c>
      <c r="GO49">
        <f t="shared" si="51"/>
        <v>0</v>
      </c>
      <c r="GP49">
        <f t="shared" si="52"/>
        <v>0</v>
      </c>
      <c r="GR49">
        <v>0</v>
      </c>
      <c r="GS49">
        <v>3</v>
      </c>
      <c r="GT49">
        <v>0</v>
      </c>
      <c r="GU49" t="s">
        <v>224</v>
      </c>
      <c r="GV49">
        <f t="shared" si="53"/>
        <v>0</v>
      </c>
      <c r="GW49">
        <v>1</v>
      </c>
      <c r="GX49">
        <f t="shared" si="54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ROW(SmtRes!A112)</f>
        <v>112</v>
      </c>
      <c r="D50" s="2">
        <f>ROW(EtalonRes!A130)</f>
        <v>130</v>
      </c>
      <c r="E50" s="2" t="s">
        <v>305</v>
      </c>
      <c r="F50" s="2" t="s">
        <v>306</v>
      </c>
      <c r="G50" s="2" t="s">
        <v>307</v>
      </c>
      <c r="H50" s="2" t="s">
        <v>237</v>
      </c>
      <c r="I50" s="2">
        <f>ROUND(311.4/100,9)</f>
        <v>3.1139999999999999</v>
      </c>
      <c r="J50" s="2">
        <v>0</v>
      </c>
      <c r="K50" s="2"/>
      <c r="L50" s="2"/>
      <c r="M50" s="2"/>
      <c r="N50" s="2"/>
      <c r="O50" s="2">
        <f t="shared" si="21"/>
        <v>2701.1</v>
      </c>
      <c r="P50" s="2">
        <f t="shared" si="22"/>
        <v>926.35</v>
      </c>
      <c r="Q50" s="2">
        <f t="shared" si="23"/>
        <v>43.36</v>
      </c>
      <c r="R50" s="2">
        <f t="shared" si="24"/>
        <v>8.2899999999999991</v>
      </c>
      <c r="S50" s="2">
        <f t="shared" si="25"/>
        <v>1731.39</v>
      </c>
      <c r="T50" s="2">
        <f t="shared" si="26"/>
        <v>0</v>
      </c>
      <c r="U50" s="2">
        <f t="shared" si="27"/>
        <v>193.02128999999996</v>
      </c>
      <c r="V50" s="2">
        <f t="shared" si="28"/>
        <v>0.70064999999999988</v>
      </c>
      <c r="W50" s="2">
        <f t="shared" si="29"/>
        <v>0</v>
      </c>
      <c r="X50" s="2">
        <f t="shared" si="30"/>
        <v>1652.7</v>
      </c>
      <c r="Y50" s="2">
        <f t="shared" si="31"/>
        <v>817.65</v>
      </c>
      <c r="Z50" s="2"/>
      <c r="AA50" s="2">
        <v>16499835</v>
      </c>
      <c r="AB50" s="2">
        <f t="shared" si="32"/>
        <v>867.40700000000004</v>
      </c>
      <c r="AC50" s="2">
        <f t="shared" si="62"/>
        <v>297.48</v>
      </c>
      <c r="AD50" s="2">
        <f>ROUND(((((ET50*1.25))-((EU50*1.25)))+AE50),6)</f>
        <v>13.925000000000001</v>
      </c>
      <c r="AE50" s="2">
        <f>ROUND(((EU50*1.25)),6)</f>
        <v>2.6625000000000001</v>
      </c>
      <c r="AF50" s="2">
        <f>ROUND(((EV50*1.15)),6)</f>
        <v>556.00199999999995</v>
      </c>
      <c r="AG50" s="2">
        <f t="shared" si="34"/>
        <v>0</v>
      </c>
      <c r="AH50" s="2">
        <f>((EW50*1.15))</f>
        <v>61.984999999999992</v>
      </c>
      <c r="AI50" s="2">
        <f>((EX50*1.25))</f>
        <v>0.22499999999999998</v>
      </c>
      <c r="AJ50" s="2">
        <f t="shared" si="35"/>
        <v>0</v>
      </c>
      <c r="AK50" s="2">
        <v>792.1</v>
      </c>
      <c r="AL50" s="2">
        <v>297.48</v>
      </c>
      <c r="AM50" s="2">
        <v>11.14</v>
      </c>
      <c r="AN50" s="2">
        <v>2.13</v>
      </c>
      <c r="AO50" s="2">
        <v>483.48</v>
      </c>
      <c r="AP50" s="2">
        <v>0</v>
      </c>
      <c r="AQ50" s="2">
        <v>53.9</v>
      </c>
      <c r="AR50" s="2">
        <v>0.18</v>
      </c>
      <c r="AS50" s="2">
        <v>0</v>
      </c>
      <c r="AT50" s="2">
        <v>95</v>
      </c>
      <c r="AU50" s="2">
        <v>47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224</v>
      </c>
      <c r="BE50" s="2" t="s">
        <v>224</v>
      </c>
      <c r="BF50" s="2" t="s">
        <v>224</v>
      </c>
      <c r="BG50" s="2" t="s">
        <v>224</v>
      </c>
      <c r="BH50" s="2">
        <v>0</v>
      </c>
      <c r="BI50" s="2">
        <v>1</v>
      </c>
      <c r="BJ50" s="2" t="s">
        <v>308</v>
      </c>
      <c r="BK50" s="2"/>
      <c r="BL50" s="2"/>
      <c r="BM50" s="2">
        <v>15001</v>
      </c>
      <c r="BN50" s="2">
        <v>0</v>
      </c>
      <c r="BO50" s="2" t="s">
        <v>224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224</v>
      </c>
      <c r="BZ50" s="2">
        <v>105</v>
      </c>
      <c r="CA50" s="2">
        <v>55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123</v>
      </c>
      <c r="CO50" s="2">
        <v>0</v>
      </c>
      <c r="CP50" s="2">
        <f t="shared" si="36"/>
        <v>2701.1000000000004</v>
      </c>
      <c r="CQ50" s="2">
        <f t="shared" si="37"/>
        <v>297.48</v>
      </c>
      <c r="CR50" s="2">
        <f t="shared" si="38"/>
        <v>13.925000000000001</v>
      </c>
      <c r="CS50" s="2">
        <f t="shared" si="39"/>
        <v>2.6625000000000001</v>
      </c>
      <c r="CT50" s="2">
        <f t="shared" si="40"/>
        <v>556.00199999999995</v>
      </c>
      <c r="CU50" s="2">
        <f t="shared" si="41"/>
        <v>0</v>
      </c>
      <c r="CV50" s="2">
        <f t="shared" si="42"/>
        <v>61.984999999999992</v>
      </c>
      <c r="CW50" s="2">
        <f t="shared" si="43"/>
        <v>0.22499999999999998</v>
      </c>
      <c r="CX50" s="2">
        <f t="shared" si="44"/>
        <v>0</v>
      </c>
      <c r="CY50" s="2">
        <f t="shared" si="45"/>
        <v>1652.6960000000001</v>
      </c>
      <c r="CZ50" s="2">
        <f t="shared" si="46"/>
        <v>817.64960000000008</v>
      </c>
      <c r="DA50" s="2"/>
      <c r="DB50" s="2"/>
      <c r="DC50" s="2" t="s">
        <v>224</v>
      </c>
      <c r="DD50" s="2" t="s">
        <v>224</v>
      </c>
      <c r="DE50" s="2" t="s">
        <v>239</v>
      </c>
      <c r="DF50" s="2" t="s">
        <v>239</v>
      </c>
      <c r="DG50" s="2" t="s">
        <v>240</v>
      </c>
      <c r="DH50" s="2" t="s">
        <v>224</v>
      </c>
      <c r="DI50" s="2" t="s">
        <v>240</v>
      </c>
      <c r="DJ50" s="2" t="s">
        <v>239</v>
      </c>
      <c r="DK50" s="2" t="s">
        <v>224</v>
      </c>
      <c r="DL50" s="2" t="s">
        <v>224</v>
      </c>
      <c r="DM50" s="2" t="s">
        <v>224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237</v>
      </c>
      <c r="DW50" s="2" t="s">
        <v>237</v>
      </c>
      <c r="DX50" s="2">
        <v>100</v>
      </c>
      <c r="DY50" s="2"/>
      <c r="DZ50" s="2"/>
      <c r="EA50" s="2"/>
      <c r="EB50" s="2"/>
      <c r="EC50" s="2"/>
      <c r="ED50" s="2"/>
      <c r="EE50" s="2">
        <v>15139126</v>
      </c>
      <c r="EF50" s="2">
        <v>2</v>
      </c>
      <c r="EG50" s="2" t="s">
        <v>233</v>
      </c>
      <c r="EH50" s="2">
        <v>0</v>
      </c>
      <c r="EI50" s="2" t="s">
        <v>224</v>
      </c>
      <c r="EJ50" s="2">
        <v>1</v>
      </c>
      <c r="EK50" s="2">
        <v>15001</v>
      </c>
      <c r="EL50" s="2" t="s">
        <v>298</v>
      </c>
      <c r="EM50" s="2" t="s">
        <v>299</v>
      </c>
      <c r="EN50" s="2"/>
      <c r="EO50" s="2" t="s">
        <v>243</v>
      </c>
      <c r="EP50" s="2"/>
      <c r="EQ50" s="2">
        <v>0</v>
      </c>
      <c r="ER50" s="2">
        <v>792.1</v>
      </c>
      <c r="ES50" s="2">
        <v>297.48</v>
      </c>
      <c r="ET50" s="2">
        <v>11.14</v>
      </c>
      <c r="EU50" s="2">
        <v>2.13</v>
      </c>
      <c r="EV50" s="2">
        <v>483.48</v>
      </c>
      <c r="EW50" s="2">
        <v>53.9</v>
      </c>
      <c r="EX50" s="2">
        <v>0.18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7"/>
        <v>0</v>
      </c>
      <c r="FS50" s="2">
        <v>0</v>
      </c>
      <c r="FT50" s="2" t="s">
        <v>244</v>
      </c>
      <c r="FU50" s="2" t="s">
        <v>245</v>
      </c>
      <c r="FV50" s="2"/>
      <c r="FW50" s="2"/>
      <c r="FX50" s="2">
        <v>94.5</v>
      </c>
      <c r="FY50" s="2">
        <v>46.75</v>
      </c>
      <c r="FZ50" s="2"/>
      <c r="GA50" s="2" t="s">
        <v>224</v>
      </c>
      <c r="GB50" s="2"/>
      <c r="GC50" s="2"/>
      <c r="GD50" s="2">
        <v>0</v>
      </c>
      <c r="GE50" s="2"/>
      <c r="GF50" s="2">
        <v>-1618789297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8"/>
        <v>0</v>
      </c>
      <c r="GM50" s="2">
        <f t="shared" si="49"/>
        <v>5171.45</v>
      </c>
      <c r="GN50" s="2">
        <f t="shared" si="50"/>
        <v>5171.45</v>
      </c>
      <c r="GO50" s="2">
        <f t="shared" si="51"/>
        <v>0</v>
      </c>
      <c r="GP50" s="2">
        <f t="shared" si="52"/>
        <v>0</v>
      </c>
      <c r="GQ50" s="2"/>
      <c r="GR50" s="2">
        <v>0</v>
      </c>
      <c r="GS50" s="2">
        <v>3</v>
      </c>
      <c r="GT50" s="2">
        <v>0</v>
      </c>
      <c r="GU50" s="2" t="s">
        <v>224</v>
      </c>
      <c r="GV50" s="2">
        <f t="shared" si="53"/>
        <v>0</v>
      </c>
      <c r="GW50" s="2">
        <v>1</v>
      </c>
      <c r="GX50" s="2">
        <f t="shared" si="54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ROW(SmtRes!A120)</f>
        <v>120</v>
      </c>
      <c r="D51">
        <f>ROW(EtalonRes!A138)</f>
        <v>138</v>
      </c>
      <c r="E51" t="s">
        <v>305</v>
      </c>
      <c r="F51" t="s">
        <v>306</v>
      </c>
      <c r="G51" t="s">
        <v>307</v>
      </c>
      <c r="H51" t="s">
        <v>237</v>
      </c>
      <c r="I51">
        <f>ROUND(311.4/100,9)</f>
        <v>3.1139999999999999</v>
      </c>
      <c r="J51">
        <v>0</v>
      </c>
      <c r="O51">
        <f t="shared" si="21"/>
        <v>16422.71</v>
      </c>
      <c r="P51">
        <f t="shared" si="22"/>
        <v>5632.22</v>
      </c>
      <c r="Q51">
        <f t="shared" si="23"/>
        <v>263.64</v>
      </c>
      <c r="R51">
        <f t="shared" si="24"/>
        <v>50.41</v>
      </c>
      <c r="S51">
        <f t="shared" si="25"/>
        <v>10526.85</v>
      </c>
      <c r="T51">
        <f t="shared" si="26"/>
        <v>0</v>
      </c>
      <c r="U51">
        <f t="shared" si="27"/>
        <v>193.02128999999996</v>
      </c>
      <c r="V51">
        <f t="shared" si="28"/>
        <v>0.70064999999999988</v>
      </c>
      <c r="W51">
        <f t="shared" si="29"/>
        <v>0</v>
      </c>
      <c r="X51">
        <f t="shared" si="30"/>
        <v>10048.4</v>
      </c>
      <c r="Y51">
        <f t="shared" si="31"/>
        <v>4971.3100000000004</v>
      </c>
      <c r="AA51">
        <v>16499878</v>
      </c>
      <c r="AB51">
        <f t="shared" si="32"/>
        <v>867.40700000000004</v>
      </c>
      <c r="AC51">
        <f t="shared" si="62"/>
        <v>297.48</v>
      </c>
      <c r="AD51">
        <f>ROUND(((((ET51*1.25))-((EU51*1.25)))+AE51),6)</f>
        <v>13.925000000000001</v>
      </c>
      <c r="AE51">
        <f>ROUND(((EU51*1.25)),6)</f>
        <v>2.6625000000000001</v>
      </c>
      <c r="AF51">
        <f>ROUND(((EV51*1.15)),6)</f>
        <v>556.00199999999995</v>
      </c>
      <c r="AG51">
        <f t="shared" si="34"/>
        <v>0</v>
      </c>
      <c r="AH51">
        <f>((EW51*1.15))</f>
        <v>61.984999999999992</v>
      </c>
      <c r="AI51">
        <f>((EX51*1.25))</f>
        <v>0.22499999999999998</v>
      </c>
      <c r="AJ51">
        <f t="shared" si="35"/>
        <v>0</v>
      </c>
      <c r="AK51">
        <v>792.1</v>
      </c>
      <c r="AL51">
        <v>297.48</v>
      </c>
      <c r="AM51">
        <v>11.14</v>
      </c>
      <c r="AN51">
        <v>2.13</v>
      </c>
      <c r="AO51">
        <v>483.48</v>
      </c>
      <c r="AP51">
        <v>0</v>
      </c>
      <c r="AQ51">
        <v>53.9</v>
      </c>
      <c r="AR51">
        <v>0.18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6.08</v>
      </c>
      <c r="BA51">
        <v>6.08</v>
      </c>
      <c r="BB51">
        <v>6.08</v>
      </c>
      <c r="BC51">
        <v>6.08</v>
      </c>
      <c r="BD51" t="s">
        <v>224</v>
      </c>
      <c r="BE51" t="s">
        <v>224</v>
      </c>
      <c r="BF51" t="s">
        <v>224</v>
      </c>
      <c r="BG51" t="s">
        <v>224</v>
      </c>
      <c r="BH51">
        <v>0</v>
      </c>
      <c r="BI51">
        <v>1</v>
      </c>
      <c r="BJ51" t="s">
        <v>308</v>
      </c>
      <c r="BM51">
        <v>15001</v>
      </c>
      <c r="BN51">
        <v>0</v>
      </c>
      <c r="BO51" t="s">
        <v>224</v>
      </c>
      <c r="BP51">
        <v>0</v>
      </c>
      <c r="BQ51">
        <v>2</v>
      </c>
      <c r="BR51">
        <v>0</v>
      </c>
      <c r="BS51">
        <v>6.08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224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123</v>
      </c>
      <c r="CO51">
        <v>0</v>
      </c>
      <c r="CP51">
        <f t="shared" si="36"/>
        <v>16422.71</v>
      </c>
      <c r="CQ51">
        <f t="shared" si="37"/>
        <v>1808.6784000000002</v>
      </c>
      <c r="CR51">
        <f t="shared" si="38"/>
        <v>84.664000000000001</v>
      </c>
      <c r="CS51">
        <f t="shared" si="39"/>
        <v>16.188000000000002</v>
      </c>
      <c r="CT51">
        <f t="shared" si="40"/>
        <v>3380.4921599999998</v>
      </c>
      <c r="CU51">
        <f t="shared" si="41"/>
        <v>0</v>
      </c>
      <c r="CV51">
        <f t="shared" si="42"/>
        <v>61.984999999999992</v>
      </c>
      <c r="CW51">
        <f t="shared" si="43"/>
        <v>0.22499999999999998</v>
      </c>
      <c r="CX51">
        <f t="shared" si="44"/>
        <v>0</v>
      </c>
      <c r="CY51">
        <f t="shared" si="45"/>
        <v>10048.397000000001</v>
      </c>
      <c r="CZ51">
        <f t="shared" si="46"/>
        <v>4971.3122000000003</v>
      </c>
      <c r="DC51" t="s">
        <v>224</v>
      </c>
      <c r="DD51" t="s">
        <v>224</v>
      </c>
      <c r="DE51" t="s">
        <v>239</v>
      </c>
      <c r="DF51" t="s">
        <v>239</v>
      </c>
      <c r="DG51" t="s">
        <v>240</v>
      </c>
      <c r="DH51" t="s">
        <v>224</v>
      </c>
      <c r="DI51" t="s">
        <v>240</v>
      </c>
      <c r="DJ51" t="s">
        <v>239</v>
      </c>
      <c r="DK51" t="s">
        <v>224</v>
      </c>
      <c r="DL51" t="s">
        <v>224</v>
      </c>
      <c r="DM51" t="s">
        <v>224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237</v>
      </c>
      <c r="DW51" t="s">
        <v>237</v>
      </c>
      <c r="DX51">
        <v>100</v>
      </c>
      <c r="EE51">
        <v>15139126</v>
      </c>
      <c r="EF51">
        <v>2</v>
      </c>
      <c r="EG51" t="s">
        <v>233</v>
      </c>
      <c r="EH51">
        <v>0</v>
      </c>
      <c r="EI51" t="s">
        <v>224</v>
      </c>
      <c r="EJ51">
        <v>1</v>
      </c>
      <c r="EK51">
        <v>15001</v>
      </c>
      <c r="EL51" t="s">
        <v>298</v>
      </c>
      <c r="EM51" t="s">
        <v>299</v>
      </c>
      <c r="EO51" t="s">
        <v>243</v>
      </c>
      <c r="EQ51">
        <v>0</v>
      </c>
      <c r="ER51">
        <v>792.1</v>
      </c>
      <c r="ES51">
        <v>297.48</v>
      </c>
      <c r="ET51">
        <v>11.14</v>
      </c>
      <c r="EU51">
        <v>2.13</v>
      </c>
      <c r="EV51">
        <v>483.48</v>
      </c>
      <c r="EW51">
        <v>53.9</v>
      </c>
      <c r="EX51">
        <v>0.18</v>
      </c>
      <c r="EY51">
        <v>0</v>
      </c>
      <c r="FQ51">
        <v>0</v>
      </c>
      <c r="FR51">
        <f t="shared" si="47"/>
        <v>0</v>
      </c>
      <c r="FS51">
        <v>0</v>
      </c>
      <c r="FT51" t="s">
        <v>244</v>
      </c>
      <c r="FU51" t="s">
        <v>245</v>
      </c>
      <c r="FX51">
        <v>94.5</v>
      </c>
      <c r="FY51">
        <v>46.75</v>
      </c>
      <c r="GA51" t="s">
        <v>224</v>
      </c>
      <c r="GD51">
        <v>0</v>
      </c>
      <c r="GF51">
        <v>-1618789297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8"/>
        <v>0</v>
      </c>
      <c r="GM51">
        <f t="shared" si="49"/>
        <v>31442.42</v>
      </c>
      <c r="GN51">
        <f t="shared" si="50"/>
        <v>31442.42</v>
      </c>
      <c r="GO51">
        <f t="shared" si="51"/>
        <v>0</v>
      </c>
      <c r="GP51">
        <f t="shared" si="52"/>
        <v>0</v>
      </c>
      <c r="GR51">
        <v>0</v>
      </c>
      <c r="GS51">
        <v>3</v>
      </c>
      <c r="GT51">
        <v>0</v>
      </c>
      <c r="GU51" t="s">
        <v>224</v>
      </c>
      <c r="GV51">
        <f t="shared" si="53"/>
        <v>0</v>
      </c>
      <c r="GW51">
        <v>1</v>
      </c>
      <c r="GX51">
        <f t="shared" si="54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111</v>
      </c>
      <c r="D52" s="2"/>
      <c r="E52" s="2" t="s">
        <v>309</v>
      </c>
      <c r="F52" s="2" t="s">
        <v>310</v>
      </c>
      <c r="G52" s="2" t="s">
        <v>311</v>
      </c>
      <c r="H52" s="2" t="s">
        <v>288</v>
      </c>
      <c r="I52" s="2">
        <f>I50*J52</f>
        <v>0.214866</v>
      </c>
      <c r="J52" s="2">
        <v>6.9000000000000006E-2</v>
      </c>
      <c r="K52" s="2"/>
      <c r="L52" s="2"/>
      <c r="M52" s="2"/>
      <c r="N52" s="2"/>
      <c r="O52" s="2">
        <f t="shared" si="21"/>
        <v>4291.66</v>
      </c>
      <c r="P52" s="2">
        <f t="shared" si="22"/>
        <v>4291.66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16499835</v>
      </c>
      <c r="AB52" s="2">
        <f t="shared" si="32"/>
        <v>19973.669999999998</v>
      </c>
      <c r="AC52" s="2">
        <f t="shared" si="62"/>
        <v>19973.669999999998</v>
      </c>
      <c r="AD52" s="2">
        <f>ROUND((((ET52)-(EU52))+AE52),6)</f>
        <v>0</v>
      </c>
      <c r="AE52" s="2">
        <f t="shared" ref="AE52:AF55" si="63">ROUND((EU52),6)</f>
        <v>0</v>
      </c>
      <c r="AF52" s="2">
        <f t="shared" si="63"/>
        <v>0</v>
      </c>
      <c r="AG52" s="2">
        <f t="shared" si="34"/>
        <v>0</v>
      </c>
      <c r="AH52" s="2">
        <f t="shared" ref="AH52:AI55" si="64">(EW52)</f>
        <v>0</v>
      </c>
      <c r="AI52" s="2">
        <f t="shared" si="64"/>
        <v>0</v>
      </c>
      <c r="AJ52" s="2">
        <f t="shared" si="35"/>
        <v>0</v>
      </c>
      <c r="AK52" s="2">
        <v>19973.669999999998</v>
      </c>
      <c r="AL52" s="2">
        <v>19973.669999999998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95</v>
      </c>
      <c r="AU52" s="2">
        <v>47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224</v>
      </c>
      <c r="BE52" s="2" t="s">
        <v>224</v>
      </c>
      <c r="BF52" s="2" t="s">
        <v>224</v>
      </c>
      <c r="BG52" s="2" t="s">
        <v>224</v>
      </c>
      <c r="BH52" s="2">
        <v>3</v>
      </c>
      <c r="BI52" s="2">
        <v>1</v>
      </c>
      <c r="BJ52" s="2" t="s">
        <v>312</v>
      </c>
      <c r="BK52" s="2"/>
      <c r="BL52" s="2"/>
      <c r="BM52" s="2">
        <v>15001</v>
      </c>
      <c r="BN52" s="2">
        <v>0</v>
      </c>
      <c r="BO52" s="2" t="s">
        <v>224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224</v>
      </c>
      <c r="BZ52" s="2">
        <v>105</v>
      </c>
      <c r="CA52" s="2">
        <v>55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224</v>
      </c>
      <c r="CO52" s="2">
        <v>0</v>
      </c>
      <c r="CP52" s="2">
        <f t="shared" si="36"/>
        <v>4291.66</v>
      </c>
      <c r="CQ52" s="2">
        <f t="shared" si="37"/>
        <v>19973.669999999998</v>
      </c>
      <c r="CR52" s="2">
        <f t="shared" si="38"/>
        <v>0</v>
      </c>
      <c r="CS52" s="2">
        <f t="shared" si="39"/>
        <v>0</v>
      </c>
      <c r="CT52" s="2">
        <f t="shared" si="40"/>
        <v>0</v>
      </c>
      <c r="CU52" s="2">
        <f t="shared" si="41"/>
        <v>0</v>
      </c>
      <c r="CV52" s="2">
        <f t="shared" si="42"/>
        <v>0</v>
      </c>
      <c r="CW52" s="2">
        <f t="shared" si="43"/>
        <v>0</v>
      </c>
      <c r="CX52" s="2">
        <f t="shared" si="44"/>
        <v>0</v>
      </c>
      <c r="CY52" s="2">
        <f t="shared" si="45"/>
        <v>0</v>
      </c>
      <c r="CZ52" s="2">
        <f t="shared" si="46"/>
        <v>0</v>
      </c>
      <c r="DA52" s="2"/>
      <c r="DB52" s="2"/>
      <c r="DC52" s="2" t="s">
        <v>224</v>
      </c>
      <c r="DD52" s="2" t="s">
        <v>224</v>
      </c>
      <c r="DE52" s="2" t="s">
        <v>224</v>
      </c>
      <c r="DF52" s="2" t="s">
        <v>224</v>
      </c>
      <c r="DG52" s="2" t="s">
        <v>224</v>
      </c>
      <c r="DH52" s="2" t="s">
        <v>224</v>
      </c>
      <c r="DI52" s="2" t="s">
        <v>224</v>
      </c>
      <c r="DJ52" s="2" t="s">
        <v>224</v>
      </c>
      <c r="DK52" s="2" t="s">
        <v>224</v>
      </c>
      <c r="DL52" s="2" t="s">
        <v>224</v>
      </c>
      <c r="DM52" s="2" t="s">
        <v>224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288</v>
      </c>
      <c r="DW52" s="2" t="s">
        <v>288</v>
      </c>
      <c r="DX52" s="2">
        <v>1000</v>
      </c>
      <c r="DY52" s="2"/>
      <c r="DZ52" s="2"/>
      <c r="EA52" s="2"/>
      <c r="EB52" s="2"/>
      <c r="EC52" s="2"/>
      <c r="ED52" s="2"/>
      <c r="EE52" s="2">
        <v>15139126</v>
      </c>
      <c r="EF52" s="2">
        <v>2</v>
      </c>
      <c r="EG52" s="2" t="s">
        <v>233</v>
      </c>
      <c r="EH52" s="2">
        <v>0</v>
      </c>
      <c r="EI52" s="2" t="s">
        <v>224</v>
      </c>
      <c r="EJ52" s="2">
        <v>1</v>
      </c>
      <c r="EK52" s="2">
        <v>15001</v>
      </c>
      <c r="EL52" s="2" t="s">
        <v>298</v>
      </c>
      <c r="EM52" s="2" t="s">
        <v>299</v>
      </c>
      <c r="EN52" s="2"/>
      <c r="EO52" s="2" t="s">
        <v>224</v>
      </c>
      <c r="EP52" s="2"/>
      <c r="EQ52" s="2">
        <v>0</v>
      </c>
      <c r="ER52" s="2">
        <v>19973.669999999998</v>
      </c>
      <c r="ES52" s="2">
        <v>19973.669999999998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7"/>
        <v>0</v>
      </c>
      <c r="FS52" s="2">
        <v>0</v>
      </c>
      <c r="FT52" s="2" t="s">
        <v>244</v>
      </c>
      <c r="FU52" s="2" t="s">
        <v>245</v>
      </c>
      <c r="FV52" s="2"/>
      <c r="FW52" s="2"/>
      <c r="FX52" s="2">
        <v>94.5</v>
      </c>
      <c r="FY52" s="2">
        <v>46.75</v>
      </c>
      <c r="FZ52" s="2"/>
      <c r="GA52" s="2" t="s">
        <v>224</v>
      </c>
      <c r="GB52" s="2"/>
      <c r="GC52" s="2"/>
      <c r="GD52" s="2">
        <v>0</v>
      </c>
      <c r="GE52" s="2"/>
      <c r="GF52" s="2">
        <v>772632804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8"/>
        <v>0</v>
      </c>
      <c r="GM52" s="2">
        <f t="shared" si="49"/>
        <v>4291.66</v>
      </c>
      <c r="GN52" s="2">
        <f t="shared" si="50"/>
        <v>4291.66</v>
      </c>
      <c r="GO52" s="2">
        <f t="shared" si="51"/>
        <v>0</v>
      </c>
      <c r="GP52" s="2">
        <f t="shared" si="52"/>
        <v>0</v>
      </c>
      <c r="GQ52" s="2"/>
      <c r="GR52" s="2">
        <v>0</v>
      </c>
      <c r="GS52" s="2">
        <v>3</v>
      </c>
      <c r="GT52" s="2">
        <v>0</v>
      </c>
      <c r="GU52" s="2" t="s">
        <v>224</v>
      </c>
      <c r="GV52" s="2">
        <f t="shared" si="53"/>
        <v>0</v>
      </c>
      <c r="GW52" s="2">
        <v>1</v>
      </c>
      <c r="GX52" s="2">
        <f t="shared" si="54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119</v>
      </c>
      <c r="E53" t="s">
        <v>309</v>
      </c>
      <c r="F53" t="s">
        <v>310</v>
      </c>
      <c r="G53" t="s">
        <v>311</v>
      </c>
      <c r="H53" t="s">
        <v>288</v>
      </c>
      <c r="I53">
        <f>I51*J53</f>
        <v>0.214866</v>
      </c>
      <c r="J53">
        <v>6.9000000000000006E-2</v>
      </c>
      <c r="O53">
        <f t="shared" si="21"/>
        <v>26093.31</v>
      </c>
      <c r="P53">
        <f t="shared" si="22"/>
        <v>26093.31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16499878</v>
      </c>
      <c r="AB53">
        <f t="shared" si="32"/>
        <v>19973.669999999998</v>
      </c>
      <c r="AC53">
        <f t="shared" si="62"/>
        <v>19973.669999999998</v>
      </c>
      <c r="AD53">
        <f>ROUND((((ET53)-(EU53))+AE53),6)</f>
        <v>0</v>
      </c>
      <c r="AE53">
        <f t="shared" si="63"/>
        <v>0</v>
      </c>
      <c r="AF53">
        <f t="shared" si="63"/>
        <v>0</v>
      </c>
      <c r="AG53">
        <f t="shared" si="34"/>
        <v>0</v>
      </c>
      <c r="AH53">
        <f t="shared" si="64"/>
        <v>0</v>
      </c>
      <c r="AI53">
        <f t="shared" si="64"/>
        <v>0</v>
      </c>
      <c r="AJ53">
        <f t="shared" si="35"/>
        <v>0</v>
      </c>
      <c r="AK53">
        <v>19973.669999999998</v>
      </c>
      <c r="AL53">
        <v>19973.669999999998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6.08</v>
      </c>
      <c r="BA53">
        <v>1</v>
      </c>
      <c r="BB53">
        <v>1</v>
      </c>
      <c r="BC53">
        <v>6.08</v>
      </c>
      <c r="BD53" t="s">
        <v>224</v>
      </c>
      <c r="BE53" t="s">
        <v>224</v>
      </c>
      <c r="BF53" t="s">
        <v>224</v>
      </c>
      <c r="BG53" t="s">
        <v>224</v>
      </c>
      <c r="BH53">
        <v>3</v>
      </c>
      <c r="BI53">
        <v>1</v>
      </c>
      <c r="BJ53" t="s">
        <v>312</v>
      </c>
      <c r="BM53">
        <v>15001</v>
      </c>
      <c r="BN53">
        <v>0</v>
      </c>
      <c r="BO53" t="s">
        <v>224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224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224</v>
      </c>
      <c r="CO53">
        <v>0</v>
      </c>
      <c r="CP53">
        <f t="shared" si="36"/>
        <v>26093.31</v>
      </c>
      <c r="CQ53">
        <f t="shared" si="37"/>
        <v>121439.91359999999</v>
      </c>
      <c r="CR53">
        <f t="shared" si="38"/>
        <v>0</v>
      </c>
      <c r="CS53">
        <f t="shared" si="39"/>
        <v>0</v>
      </c>
      <c r="CT53">
        <f t="shared" si="40"/>
        <v>0</v>
      </c>
      <c r="CU53">
        <f t="shared" si="41"/>
        <v>0</v>
      </c>
      <c r="CV53">
        <f t="shared" si="42"/>
        <v>0</v>
      </c>
      <c r="CW53">
        <f t="shared" si="43"/>
        <v>0</v>
      </c>
      <c r="CX53">
        <f t="shared" si="44"/>
        <v>0</v>
      </c>
      <c r="CY53">
        <f t="shared" si="45"/>
        <v>0</v>
      </c>
      <c r="CZ53">
        <f t="shared" si="46"/>
        <v>0</v>
      </c>
      <c r="DC53" t="s">
        <v>224</v>
      </c>
      <c r="DD53" t="s">
        <v>224</v>
      </c>
      <c r="DE53" t="s">
        <v>224</v>
      </c>
      <c r="DF53" t="s">
        <v>224</v>
      </c>
      <c r="DG53" t="s">
        <v>224</v>
      </c>
      <c r="DH53" t="s">
        <v>224</v>
      </c>
      <c r="DI53" t="s">
        <v>224</v>
      </c>
      <c r="DJ53" t="s">
        <v>224</v>
      </c>
      <c r="DK53" t="s">
        <v>224</v>
      </c>
      <c r="DL53" t="s">
        <v>224</v>
      </c>
      <c r="DM53" t="s">
        <v>224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288</v>
      </c>
      <c r="DW53" t="s">
        <v>288</v>
      </c>
      <c r="DX53">
        <v>1000</v>
      </c>
      <c r="EE53">
        <v>15139126</v>
      </c>
      <c r="EF53">
        <v>2</v>
      </c>
      <c r="EG53" t="s">
        <v>233</v>
      </c>
      <c r="EH53">
        <v>0</v>
      </c>
      <c r="EI53" t="s">
        <v>224</v>
      </c>
      <c r="EJ53">
        <v>1</v>
      </c>
      <c r="EK53">
        <v>15001</v>
      </c>
      <c r="EL53" t="s">
        <v>298</v>
      </c>
      <c r="EM53" t="s">
        <v>299</v>
      </c>
      <c r="EO53" t="s">
        <v>224</v>
      </c>
      <c r="EQ53">
        <v>0</v>
      </c>
      <c r="ER53">
        <v>19973.669999999998</v>
      </c>
      <c r="ES53">
        <v>19973.669999999998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7"/>
        <v>0</v>
      </c>
      <c r="FS53">
        <v>0</v>
      </c>
      <c r="FT53" t="s">
        <v>244</v>
      </c>
      <c r="FU53" t="s">
        <v>245</v>
      </c>
      <c r="FX53">
        <v>94.5</v>
      </c>
      <c r="FY53">
        <v>46.75</v>
      </c>
      <c r="GA53" t="s">
        <v>224</v>
      </c>
      <c r="GD53">
        <v>0</v>
      </c>
      <c r="GF53">
        <v>772632804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8"/>
        <v>0</v>
      </c>
      <c r="GM53">
        <f t="shared" si="49"/>
        <v>26093.31</v>
      </c>
      <c r="GN53">
        <f t="shared" si="50"/>
        <v>26093.31</v>
      </c>
      <c r="GO53">
        <f t="shared" si="51"/>
        <v>0</v>
      </c>
      <c r="GP53">
        <f t="shared" si="52"/>
        <v>0</v>
      </c>
      <c r="GR53">
        <v>0</v>
      </c>
      <c r="GS53">
        <v>3</v>
      </c>
      <c r="GT53">
        <v>0</v>
      </c>
      <c r="GU53" t="s">
        <v>224</v>
      </c>
      <c r="GV53">
        <f t="shared" si="53"/>
        <v>0</v>
      </c>
      <c r="GW53">
        <v>1</v>
      </c>
      <c r="GX53">
        <f t="shared" si="54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ROW(SmtRes!A128)</f>
        <v>128</v>
      </c>
      <c r="D54" s="2">
        <f>ROW(EtalonRes!A146)</f>
        <v>146</v>
      </c>
      <c r="E54" s="2" t="s">
        <v>313</v>
      </c>
      <c r="F54" s="2" t="s">
        <v>314</v>
      </c>
      <c r="G54" s="2" t="s">
        <v>315</v>
      </c>
      <c r="H54" s="2" t="s">
        <v>237</v>
      </c>
      <c r="I54" s="2">
        <f>ROUND(320/100,9)</f>
        <v>3.2</v>
      </c>
      <c r="J54" s="2">
        <v>0</v>
      </c>
      <c r="K54" s="2"/>
      <c r="L54" s="2"/>
      <c r="M54" s="2"/>
      <c r="N54" s="2"/>
      <c r="O54" s="2">
        <f t="shared" si="21"/>
        <v>5867.3</v>
      </c>
      <c r="P54" s="2">
        <f t="shared" si="22"/>
        <v>3392.61</v>
      </c>
      <c r="Q54" s="2">
        <f t="shared" si="23"/>
        <v>241.54</v>
      </c>
      <c r="R54" s="2">
        <f t="shared" si="24"/>
        <v>146.94</v>
      </c>
      <c r="S54" s="2">
        <f t="shared" si="25"/>
        <v>2233.15</v>
      </c>
      <c r="T54" s="2">
        <f t="shared" si="26"/>
        <v>0</v>
      </c>
      <c r="U54" s="2">
        <f t="shared" si="27"/>
        <v>237.56799999999998</v>
      </c>
      <c r="V54" s="2">
        <f t="shared" si="28"/>
        <v>16.064</v>
      </c>
      <c r="W54" s="2">
        <f t="shared" si="29"/>
        <v>0</v>
      </c>
      <c r="X54" s="2">
        <f t="shared" si="30"/>
        <v>2261.09</v>
      </c>
      <c r="Y54" s="2">
        <f t="shared" si="31"/>
        <v>1118.6400000000001</v>
      </c>
      <c r="Z54" s="2"/>
      <c r="AA54" s="2">
        <v>16499835</v>
      </c>
      <c r="AB54" s="2">
        <f t="shared" si="32"/>
        <v>1833.53</v>
      </c>
      <c r="AC54" s="2">
        <f t="shared" si="62"/>
        <v>1060.19</v>
      </c>
      <c r="AD54" s="2">
        <f>ROUND((((ET54)-(EU54))+AE54),6)</f>
        <v>75.48</v>
      </c>
      <c r="AE54" s="2">
        <f t="shared" si="63"/>
        <v>45.92</v>
      </c>
      <c r="AF54" s="2">
        <f t="shared" si="63"/>
        <v>697.86</v>
      </c>
      <c r="AG54" s="2">
        <f t="shared" si="34"/>
        <v>0</v>
      </c>
      <c r="AH54" s="2">
        <f t="shared" si="64"/>
        <v>74.239999999999995</v>
      </c>
      <c r="AI54" s="2">
        <f t="shared" si="64"/>
        <v>5.0199999999999996</v>
      </c>
      <c r="AJ54" s="2">
        <f t="shared" si="35"/>
        <v>0</v>
      </c>
      <c r="AK54" s="2">
        <v>1833.53</v>
      </c>
      <c r="AL54" s="2">
        <v>1060.19</v>
      </c>
      <c r="AM54" s="2">
        <v>75.48</v>
      </c>
      <c r="AN54" s="2">
        <v>45.92</v>
      </c>
      <c r="AO54" s="2">
        <v>697.86</v>
      </c>
      <c r="AP54" s="2">
        <v>0</v>
      </c>
      <c r="AQ54" s="2">
        <v>74.239999999999995</v>
      </c>
      <c r="AR54" s="2">
        <v>5.0199999999999996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224</v>
      </c>
      <c r="BE54" s="2" t="s">
        <v>224</v>
      </c>
      <c r="BF54" s="2" t="s">
        <v>224</v>
      </c>
      <c r="BG54" s="2" t="s">
        <v>224</v>
      </c>
      <c r="BH54" s="2">
        <v>0</v>
      </c>
      <c r="BI54" s="2">
        <v>1</v>
      </c>
      <c r="BJ54" s="2" t="s">
        <v>316</v>
      </c>
      <c r="BK54" s="2"/>
      <c r="BL54" s="2"/>
      <c r="BM54" s="2">
        <v>15001</v>
      </c>
      <c r="BN54" s="2">
        <v>0</v>
      </c>
      <c r="BO54" s="2" t="s">
        <v>224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224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224</v>
      </c>
      <c r="CO54" s="2">
        <v>0</v>
      </c>
      <c r="CP54" s="2">
        <f t="shared" si="36"/>
        <v>5867.3</v>
      </c>
      <c r="CQ54" s="2">
        <f t="shared" si="37"/>
        <v>1060.19</v>
      </c>
      <c r="CR54" s="2">
        <f t="shared" si="38"/>
        <v>75.48</v>
      </c>
      <c r="CS54" s="2">
        <f t="shared" si="39"/>
        <v>45.92</v>
      </c>
      <c r="CT54" s="2">
        <f t="shared" si="40"/>
        <v>697.86</v>
      </c>
      <c r="CU54" s="2">
        <f t="shared" si="41"/>
        <v>0</v>
      </c>
      <c r="CV54" s="2">
        <f t="shared" si="42"/>
        <v>74.239999999999995</v>
      </c>
      <c r="CW54" s="2">
        <f t="shared" si="43"/>
        <v>5.0199999999999996</v>
      </c>
      <c r="CX54" s="2">
        <f t="shared" si="44"/>
        <v>0</v>
      </c>
      <c r="CY54" s="2">
        <f t="shared" si="45"/>
        <v>2261.0855000000001</v>
      </c>
      <c r="CZ54" s="2">
        <f t="shared" si="46"/>
        <v>1118.6423000000002</v>
      </c>
      <c r="DA54" s="2"/>
      <c r="DB54" s="2"/>
      <c r="DC54" s="2" t="s">
        <v>224</v>
      </c>
      <c r="DD54" s="2" t="s">
        <v>224</v>
      </c>
      <c r="DE54" s="2" t="s">
        <v>224</v>
      </c>
      <c r="DF54" s="2" t="s">
        <v>224</v>
      </c>
      <c r="DG54" s="2" t="s">
        <v>224</v>
      </c>
      <c r="DH54" s="2" t="s">
        <v>224</v>
      </c>
      <c r="DI54" s="2" t="s">
        <v>224</v>
      </c>
      <c r="DJ54" s="2" t="s">
        <v>224</v>
      </c>
      <c r="DK54" s="2" t="s">
        <v>224</v>
      </c>
      <c r="DL54" s="2" t="s">
        <v>224</v>
      </c>
      <c r="DM54" s="2" t="s">
        <v>224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237</v>
      </c>
      <c r="DW54" s="2" t="s">
        <v>237</v>
      </c>
      <c r="DX54" s="2">
        <v>100</v>
      </c>
      <c r="DY54" s="2"/>
      <c r="DZ54" s="2"/>
      <c r="EA54" s="2"/>
      <c r="EB54" s="2"/>
      <c r="EC54" s="2"/>
      <c r="ED54" s="2"/>
      <c r="EE54" s="2">
        <v>15139126</v>
      </c>
      <c r="EF54" s="2">
        <v>2</v>
      </c>
      <c r="EG54" s="2" t="s">
        <v>233</v>
      </c>
      <c r="EH54" s="2">
        <v>0</v>
      </c>
      <c r="EI54" s="2" t="s">
        <v>224</v>
      </c>
      <c r="EJ54" s="2">
        <v>1</v>
      </c>
      <c r="EK54" s="2">
        <v>15001</v>
      </c>
      <c r="EL54" s="2" t="s">
        <v>298</v>
      </c>
      <c r="EM54" s="2" t="s">
        <v>299</v>
      </c>
      <c r="EN54" s="2"/>
      <c r="EO54" s="2" t="s">
        <v>224</v>
      </c>
      <c r="EP54" s="2"/>
      <c r="EQ54" s="2">
        <v>0</v>
      </c>
      <c r="ER54" s="2">
        <v>1833.53</v>
      </c>
      <c r="ES54" s="2">
        <v>1060.19</v>
      </c>
      <c r="ET54" s="2">
        <v>75.48</v>
      </c>
      <c r="EU54" s="2">
        <v>45.92</v>
      </c>
      <c r="EV54" s="2">
        <v>697.86</v>
      </c>
      <c r="EW54" s="2">
        <v>74.239999999999995</v>
      </c>
      <c r="EX54" s="2">
        <v>5.0199999999999996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7"/>
        <v>0</v>
      </c>
      <c r="FS54" s="2">
        <v>0</v>
      </c>
      <c r="FT54" s="2" t="s">
        <v>244</v>
      </c>
      <c r="FU54" s="2" t="s">
        <v>245</v>
      </c>
      <c r="FV54" s="2"/>
      <c r="FW54" s="2"/>
      <c r="FX54" s="2">
        <v>94.5</v>
      </c>
      <c r="FY54" s="2">
        <v>46.75</v>
      </c>
      <c r="FZ54" s="2"/>
      <c r="GA54" s="2" t="s">
        <v>224</v>
      </c>
      <c r="GB54" s="2"/>
      <c r="GC54" s="2"/>
      <c r="GD54" s="2">
        <v>0</v>
      </c>
      <c r="GE54" s="2"/>
      <c r="GF54" s="2">
        <v>42019597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8"/>
        <v>0</v>
      </c>
      <c r="GM54" s="2">
        <f t="shared" si="49"/>
        <v>9247.0300000000007</v>
      </c>
      <c r="GN54" s="2">
        <f t="shared" si="50"/>
        <v>9247.0300000000007</v>
      </c>
      <c r="GO54" s="2">
        <f t="shared" si="51"/>
        <v>0</v>
      </c>
      <c r="GP54" s="2">
        <f t="shared" si="52"/>
        <v>0</v>
      </c>
      <c r="GQ54" s="2"/>
      <c r="GR54" s="2">
        <v>0</v>
      </c>
      <c r="GS54" s="2">
        <v>3</v>
      </c>
      <c r="GT54" s="2">
        <v>0</v>
      </c>
      <c r="GU54" s="2" t="s">
        <v>224</v>
      </c>
      <c r="GV54" s="2">
        <f t="shared" si="53"/>
        <v>0</v>
      </c>
      <c r="GW54" s="2">
        <v>1</v>
      </c>
      <c r="GX54" s="2">
        <f t="shared" si="54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ROW(SmtRes!A136)</f>
        <v>136</v>
      </c>
      <c r="D55">
        <f>ROW(EtalonRes!A154)</f>
        <v>154</v>
      </c>
      <c r="E55" t="s">
        <v>313</v>
      </c>
      <c r="F55" t="s">
        <v>314</v>
      </c>
      <c r="G55" t="s">
        <v>315</v>
      </c>
      <c r="H55" t="s">
        <v>237</v>
      </c>
      <c r="I55">
        <f>ROUND(320/100,9)</f>
        <v>3.2</v>
      </c>
      <c r="J55">
        <v>0</v>
      </c>
      <c r="O55">
        <f t="shared" si="21"/>
        <v>35673.160000000003</v>
      </c>
      <c r="P55">
        <f t="shared" si="22"/>
        <v>20627.060000000001</v>
      </c>
      <c r="Q55">
        <f t="shared" si="23"/>
        <v>1468.54</v>
      </c>
      <c r="R55">
        <f t="shared" si="24"/>
        <v>893.42</v>
      </c>
      <c r="S55">
        <f t="shared" si="25"/>
        <v>13577.56</v>
      </c>
      <c r="T55">
        <f t="shared" si="26"/>
        <v>0</v>
      </c>
      <c r="U55">
        <f t="shared" si="27"/>
        <v>237.56799999999998</v>
      </c>
      <c r="V55">
        <f t="shared" si="28"/>
        <v>16.064</v>
      </c>
      <c r="W55">
        <f t="shared" si="29"/>
        <v>0</v>
      </c>
      <c r="X55">
        <f t="shared" si="30"/>
        <v>13747.43</v>
      </c>
      <c r="Y55">
        <f t="shared" si="31"/>
        <v>6801.36</v>
      </c>
      <c r="AA55">
        <v>16499878</v>
      </c>
      <c r="AB55">
        <f t="shared" si="32"/>
        <v>1833.53</v>
      </c>
      <c r="AC55">
        <f t="shared" si="62"/>
        <v>1060.19</v>
      </c>
      <c r="AD55">
        <f>ROUND((((ET55)-(EU55))+AE55),6)</f>
        <v>75.48</v>
      </c>
      <c r="AE55">
        <f t="shared" si="63"/>
        <v>45.92</v>
      </c>
      <c r="AF55">
        <f t="shared" si="63"/>
        <v>697.86</v>
      </c>
      <c r="AG55">
        <f t="shared" si="34"/>
        <v>0</v>
      </c>
      <c r="AH55">
        <f t="shared" si="64"/>
        <v>74.239999999999995</v>
      </c>
      <c r="AI55">
        <f t="shared" si="64"/>
        <v>5.0199999999999996</v>
      </c>
      <c r="AJ55">
        <f t="shared" si="35"/>
        <v>0</v>
      </c>
      <c r="AK55">
        <v>1833.53</v>
      </c>
      <c r="AL55">
        <v>1060.19</v>
      </c>
      <c r="AM55">
        <v>75.48</v>
      </c>
      <c r="AN55">
        <v>45.92</v>
      </c>
      <c r="AO55">
        <v>697.86</v>
      </c>
      <c r="AP55">
        <v>0</v>
      </c>
      <c r="AQ55">
        <v>74.239999999999995</v>
      </c>
      <c r="AR55">
        <v>5.0199999999999996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6.08</v>
      </c>
      <c r="BA55">
        <v>6.08</v>
      </c>
      <c r="BB55">
        <v>6.08</v>
      </c>
      <c r="BC55">
        <v>6.08</v>
      </c>
      <c r="BD55" t="s">
        <v>224</v>
      </c>
      <c r="BE55" t="s">
        <v>224</v>
      </c>
      <c r="BF55" t="s">
        <v>224</v>
      </c>
      <c r="BG55" t="s">
        <v>224</v>
      </c>
      <c r="BH55">
        <v>0</v>
      </c>
      <c r="BI55">
        <v>1</v>
      </c>
      <c r="BJ55" t="s">
        <v>316</v>
      </c>
      <c r="BM55">
        <v>15001</v>
      </c>
      <c r="BN55">
        <v>0</v>
      </c>
      <c r="BO55" t="s">
        <v>224</v>
      </c>
      <c r="BP55">
        <v>0</v>
      </c>
      <c r="BQ55">
        <v>2</v>
      </c>
      <c r="BR55">
        <v>0</v>
      </c>
      <c r="BS55">
        <v>6.08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224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224</v>
      </c>
      <c r="CO55">
        <v>0</v>
      </c>
      <c r="CP55">
        <f t="shared" si="36"/>
        <v>35673.160000000003</v>
      </c>
      <c r="CQ55">
        <f t="shared" si="37"/>
        <v>6445.9552000000003</v>
      </c>
      <c r="CR55">
        <f t="shared" si="38"/>
        <v>458.91840000000002</v>
      </c>
      <c r="CS55">
        <f t="shared" si="39"/>
        <v>279.1936</v>
      </c>
      <c r="CT55">
        <f t="shared" si="40"/>
        <v>4242.9888000000001</v>
      </c>
      <c r="CU55">
        <f t="shared" si="41"/>
        <v>0</v>
      </c>
      <c r="CV55">
        <f t="shared" si="42"/>
        <v>74.239999999999995</v>
      </c>
      <c r="CW55">
        <f t="shared" si="43"/>
        <v>5.0199999999999996</v>
      </c>
      <c r="CX55">
        <f t="shared" si="44"/>
        <v>0</v>
      </c>
      <c r="CY55">
        <f t="shared" si="45"/>
        <v>13747.430999999999</v>
      </c>
      <c r="CZ55">
        <f t="shared" si="46"/>
        <v>6801.3605999999991</v>
      </c>
      <c r="DC55" t="s">
        <v>224</v>
      </c>
      <c r="DD55" t="s">
        <v>224</v>
      </c>
      <c r="DE55" t="s">
        <v>224</v>
      </c>
      <c r="DF55" t="s">
        <v>224</v>
      </c>
      <c r="DG55" t="s">
        <v>224</v>
      </c>
      <c r="DH55" t="s">
        <v>224</v>
      </c>
      <c r="DI55" t="s">
        <v>224</v>
      </c>
      <c r="DJ55" t="s">
        <v>224</v>
      </c>
      <c r="DK55" t="s">
        <v>224</v>
      </c>
      <c r="DL55" t="s">
        <v>224</v>
      </c>
      <c r="DM55" t="s">
        <v>224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237</v>
      </c>
      <c r="DW55" t="s">
        <v>237</v>
      </c>
      <c r="DX55">
        <v>100</v>
      </c>
      <c r="EE55">
        <v>15139126</v>
      </c>
      <c r="EF55">
        <v>2</v>
      </c>
      <c r="EG55" t="s">
        <v>233</v>
      </c>
      <c r="EH55">
        <v>0</v>
      </c>
      <c r="EI55" t="s">
        <v>224</v>
      </c>
      <c r="EJ55">
        <v>1</v>
      </c>
      <c r="EK55">
        <v>15001</v>
      </c>
      <c r="EL55" t="s">
        <v>298</v>
      </c>
      <c r="EM55" t="s">
        <v>299</v>
      </c>
      <c r="EO55" t="s">
        <v>224</v>
      </c>
      <c r="EQ55">
        <v>0</v>
      </c>
      <c r="ER55">
        <v>1833.53</v>
      </c>
      <c r="ES55">
        <v>1060.19</v>
      </c>
      <c r="ET55">
        <v>75.48</v>
      </c>
      <c r="EU55">
        <v>45.92</v>
      </c>
      <c r="EV55">
        <v>697.86</v>
      </c>
      <c r="EW55">
        <v>74.239999999999995</v>
      </c>
      <c r="EX55">
        <v>5.0199999999999996</v>
      </c>
      <c r="EY55">
        <v>0</v>
      </c>
      <c r="FQ55">
        <v>0</v>
      </c>
      <c r="FR55">
        <f t="shared" si="47"/>
        <v>0</v>
      </c>
      <c r="FS55">
        <v>0</v>
      </c>
      <c r="FT55" t="s">
        <v>244</v>
      </c>
      <c r="FU55" t="s">
        <v>245</v>
      </c>
      <c r="FX55">
        <v>94.5</v>
      </c>
      <c r="FY55">
        <v>46.75</v>
      </c>
      <c r="GA55" t="s">
        <v>224</v>
      </c>
      <c r="GD55">
        <v>0</v>
      </c>
      <c r="GF55">
        <v>42019597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8"/>
        <v>0</v>
      </c>
      <c r="GM55">
        <f t="shared" si="49"/>
        <v>56221.95</v>
      </c>
      <c r="GN55">
        <f t="shared" si="50"/>
        <v>56221.95</v>
      </c>
      <c r="GO55">
        <f t="shared" si="51"/>
        <v>0</v>
      </c>
      <c r="GP55">
        <f t="shared" si="52"/>
        <v>0</v>
      </c>
      <c r="GR55">
        <v>0</v>
      </c>
      <c r="GS55">
        <v>3</v>
      </c>
      <c r="GT55">
        <v>0</v>
      </c>
      <c r="GU55" t="s">
        <v>224</v>
      </c>
      <c r="GV55">
        <f t="shared" si="53"/>
        <v>0</v>
      </c>
      <c r="GW55">
        <v>1</v>
      </c>
      <c r="GX55">
        <f t="shared" si="54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ROW(SmtRes!A145)</f>
        <v>145</v>
      </c>
      <c r="D56" s="2">
        <f>ROW(EtalonRes!A163)</f>
        <v>163</v>
      </c>
      <c r="E56" s="2" t="s">
        <v>317</v>
      </c>
      <c r="F56" s="2" t="s">
        <v>318</v>
      </c>
      <c r="G56" s="2" t="s">
        <v>319</v>
      </c>
      <c r="H56" s="2" t="s">
        <v>237</v>
      </c>
      <c r="I56" s="2">
        <f>ROUND(510/100,9)</f>
        <v>5.0999999999999996</v>
      </c>
      <c r="J56" s="2">
        <v>0</v>
      </c>
      <c r="K56" s="2"/>
      <c r="L56" s="2"/>
      <c r="M56" s="2"/>
      <c r="N56" s="2"/>
      <c r="O56" s="2">
        <f t="shared" si="21"/>
        <v>5576.28</v>
      </c>
      <c r="P56" s="2">
        <f t="shared" si="22"/>
        <v>3277.06</v>
      </c>
      <c r="Q56" s="2">
        <f t="shared" si="23"/>
        <v>66.36</v>
      </c>
      <c r="R56" s="2">
        <f t="shared" si="24"/>
        <v>12.56</v>
      </c>
      <c r="S56" s="2">
        <f t="shared" si="25"/>
        <v>2232.86</v>
      </c>
      <c r="T56" s="2">
        <f t="shared" si="26"/>
        <v>0</v>
      </c>
      <c r="U56" s="2">
        <f t="shared" si="27"/>
        <v>255.4794</v>
      </c>
      <c r="V56" s="2">
        <f t="shared" si="28"/>
        <v>1.08375</v>
      </c>
      <c r="W56" s="2">
        <f t="shared" si="29"/>
        <v>0</v>
      </c>
      <c r="X56" s="2">
        <f t="shared" si="30"/>
        <v>2133.15</v>
      </c>
      <c r="Y56" s="2">
        <f t="shared" si="31"/>
        <v>1055.3499999999999</v>
      </c>
      <c r="Z56" s="2"/>
      <c r="AA56" s="2">
        <v>16499835</v>
      </c>
      <c r="AB56" s="2">
        <f t="shared" si="32"/>
        <v>1093.3889999999999</v>
      </c>
      <c r="AC56" s="2">
        <f t="shared" si="62"/>
        <v>642.55999999999995</v>
      </c>
      <c r="AD56" s="2">
        <f>ROUND(((((ET56*1.25))-((EU56*1.25)))+AE56),6)</f>
        <v>13.012499999999999</v>
      </c>
      <c r="AE56" s="2">
        <f>ROUND(((EU56*1.25)),6)</f>
        <v>2.4624999999999999</v>
      </c>
      <c r="AF56" s="2">
        <f>ROUND(((EV56*1.15)),6)</f>
        <v>437.81650000000002</v>
      </c>
      <c r="AG56" s="2">
        <f t="shared" si="34"/>
        <v>0</v>
      </c>
      <c r="AH56" s="2">
        <f>((EW56*1.15))</f>
        <v>50.094000000000001</v>
      </c>
      <c r="AI56" s="2">
        <f>((EX56*1.25))</f>
        <v>0.21250000000000002</v>
      </c>
      <c r="AJ56" s="2">
        <f t="shared" si="35"/>
        <v>0</v>
      </c>
      <c r="AK56" s="2">
        <v>1033.68</v>
      </c>
      <c r="AL56" s="2">
        <v>642.55999999999995</v>
      </c>
      <c r="AM56" s="2">
        <v>10.41</v>
      </c>
      <c r="AN56" s="2">
        <v>1.97</v>
      </c>
      <c r="AO56" s="2">
        <v>380.71</v>
      </c>
      <c r="AP56" s="2">
        <v>0</v>
      </c>
      <c r="AQ56" s="2">
        <v>43.56</v>
      </c>
      <c r="AR56" s="2">
        <v>0.17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224</v>
      </c>
      <c r="BE56" s="2" t="s">
        <v>224</v>
      </c>
      <c r="BF56" s="2" t="s">
        <v>224</v>
      </c>
      <c r="BG56" s="2" t="s">
        <v>224</v>
      </c>
      <c r="BH56" s="2">
        <v>0</v>
      </c>
      <c r="BI56" s="2">
        <v>1</v>
      </c>
      <c r="BJ56" s="2" t="s">
        <v>320</v>
      </c>
      <c r="BK56" s="2"/>
      <c r="BL56" s="2"/>
      <c r="BM56" s="2">
        <v>15001</v>
      </c>
      <c r="BN56" s="2">
        <v>0</v>
      </c>
      <c r="BO56" s="2" t="s">
        <v>224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224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123</v>
      </c>
      <c r="CO56" s="2">
        <v>0</v>
      </c>
      <c r="CP56" s="2">
        <f t="shared" si="36"/>
        <v>5576.2800000000007</v>
      </c>
      <c r="CQ56" s="2">
        <f t="shared" si="37"/>
        <v>642.55999999999995</v>
      </c>
      <c r="CR56" s="2">
        <f t="shared" si="38"/>
        <v>13.012499999999999</v>
      </c>
      <c r="CS56" s="2">
        <f t="shared" si="39"/>
        <v>2.4624999999999999</v>
      </c>
      <c r="CT56" s="2">
        <f t="shared" si="40"/>
        <v>437.81650000000002</v>
      </c>
      <c r="CU56" s="2">
        <f t="shared" si="41"/>
        <v>0</v>
      </c>
      <c r="CV56" s="2">
        <f t="shared" si="42"/>
        <v>50.094000000000001</v>
      </c>
      <c r="CW56" s="2">
        <f t="shared" si="43"/>
        <v>0.21250000000000002</v>
      </c>
      <c r="CX56" s="2">
        <f t="shared" si="44"/>
        <v>0</v>
      </c>
      <c r="CY56" s="2">
        <f t="shared" si="45"/>
        <v>2133.1489999999999</v>
      </c>
      <c r="CZ56" s="2">
        <f t="shared" si="46"/>
        <v>1055.3474000000001</v>
      </c>
      <c r="DA56" s="2"/>
      <c r="DB56" s="2"/>
      <c r="DC56" s="2" t="s">
        <v>224</v>
      </c>
      <c r="DD56" s="2" t="s">
        <v>224</v>
      </c>
      <c r="DE56" s="2" t="s">
        <v>239</v>
      </c>
      <c r="DF56" s="2" t="s">
        <v>239</v>
      </c>
      <c r="DG56" s="2" t="s">
        <v>240</v>
      </c>
      <c r="DH56" s="2" t="s">
        <v>224</v>
      </c>
      <c r="DI56" s="2" t="s">
        <v>240</v>
      </c>
      <c r="DJ56" s="2" t="s">
        <v>239</v>
      </c>
      <c r="DK56" s="2" t="s">
        <v>224</v>
      </c>
      <c r="DL56" s="2" t="s">
        <v>224</v>
      </c>
      <c r="DM56" s="2" t="s">
        <v>224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237</v>
      </c>
      <c r="DW56" s="2" t="s">
        <v>237</v>
      </c>
      <c r="DX56" s="2">
        <v>100</v>
      </c>
      <c r="DY56" s="2"/>
      <c r="DZ56" s="2"/>
      <c r="EA56" s="2"/>
      <c r="EB56" s="2"/>
      <c r="EC56" s="2"/>
      <c r="ED56" s="2"/>
      <c r="EE56" s="2">
        <v>15139126</v>
      </c>
      <c r="EF56" s="2">
        <v>2</v>
      </c>
      <c r="EG56" s="2" t="s">
        <v>233</v>
      </c>
      <c r="EH56" s="2">
        <v>0</v>
      </c>
      <c r="EI56" s="2" t="s">
        <v>224</v>
      </c>
      <c r="EJ56" s="2">
        <v>1</v>
      </c>
      <c r="EK56" s="2">
        <v>15001</v>
      </c>
      <c r="EL56" s="2" t="s">
        <v>298</v>
      </c>
      <c r="EM56" s="2" t="s">
        <v>299</v>
      </c>
      <c r="EN56" s="2"/>
      <c r="EO56" s="2" t="s">
        <v>243</v>
      </c>
      <c r="EP56" s="2"/>
      <c r="EQ56" s="2">
        <v>0</v>
      </c>
      <c r="ER56" s="2">
        <v>1033.68</v>
      </c>
      <c r="ES56" s="2">
        <v>642.55999999999995</v>
      </c>
      <c r="ET56" s="2">
        <v>10.41</v>
      </c>
      <c r="EU56" s="2">
        <v>1.97</v>
      </c>
      <c r="EV56" s="2">
        <v>380.71</v>
      </c>
      <c r="EW56" s="2">
        <v>43.56</v>
      </c>
      <c r="EX56" s="2">
        <v>0.17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7"/>
        <v>0</v>
      </c>
      <c r="FS56" s="2">
        <v>0</v>
      </c>
      <c r="FT56" s="2" t="s">
        <v>244</v>
      </c>
      <c r="FU56" s="2" t="s">
        <v>245</v>
      </c>
      <c r="FV56" s="2"/>
      <c r="FW56" s="2"/>
      <c r="FX56" s="2">
        <v>94.5</v>
      </c>
      <c r="FY56" s="2">
        <v>46.75</v>
      </c>
      <c r="FZ56" s="2"/>
      <c r="GA56" s="2" t="s">
        <v>224</v>
      </c>
      <c r="GB56" s="2"/>
      <c r="GC56" s="2"/>
      <c r="GD56" s="2">
        <v>0</v>
      </c>
      <c r="GE56" s="2"/>
      <c r="GF56" s="2">
        <v>325170472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8"/>
        <v>0</v>
      </c>
      <c r="GM56" s="2">
        <f t="shared" si="49"/>
        <v>8764.7800000000007</v>
      </c>
      <c r="GN56" s="2">
        <f t="shared" si="50"/>
        <v>8764.7800000000007</v>
      </c>
      <c r="GO56" s="2">
        <f t="shared" si="51"/>
        <v>0</v>
      </c>
      <c r="GP56" s="2">
        <f t="shared" si="52"/>
        <v>0</v>
      </c>
      <c r="GQ56" s="2"/>
      <c r="GR56" s="2">
        <v>0</v>
      </c>
      <c r="GS56" s="2">
        <v>3</v>
      </c>
      <c r="GT56" s="2">
        <v>0</v>
      </c>
      <c r="GU56" s="2" t="s">
        <v>224</v>
      </c>
      <c r="GV56" s="2">
        <f t="shared" si="53"/>
        <v>0</v>
      </c>
      <c r="GW56" s="2">
        <v>1</v>
      </c>
      <c r="GX56" s="2">
        <f t="shared" si="54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ROW(SmtRes!A154)</f>
        <v>154</v>
      </c>
      <c r="D57">
        <f>ROW(EtalonRes!A172)</f>
        <v>172</v>
      </c>
      <c r="E57" t="s">
        <v>317</v>
      </c>
      <c r="F57" t="s">
        <v>318</v>
      </c>
      <c r="G57" t="s">
        <v>319</v>
      </c>
      <c r="H57" t="s">
        <v>237</v>
      </c>
      <c r="I57">
        <f>ROUND(510/100,9)</f>
        <v>5.0999999999999996</v>
      </c>
      <c r="J57">
        <v>0</v>
      </c>
      <c r="O57">
        <f t="shared" si="21"/>
        <v>33903.800000000003</v>
      </c>
      <c r="P57">
        <f t="shared" si="22"/>
        <v>19924.5</v>
      </c>
      <c r="Q57">
        <f t="shared" si="23"/>
        <v>403.49</v>
      </c>
      <c r="R57">
        <f t="shared" si="24"/>
        <v>76.36</v>
      </c>
      <c r="S57">
        <f t="shared" si="25"/>
        <v>13575.81</v>
      </c>
      <c r="T57">
        <f t="shared" si="26"/>
        <v>0</v>
      </c>
      <c r="U57">
        <f t="shared" si="27"/>
        <v>255.4794</v>
      </c>
      <c r="V57">
        <f t="shared" si="28"/>
        <v>1.08375</v>
      </c>
      <c r="W57">
        <f t="shared" si="29"/>
        <v>0</v>
      </c>
      <c r="X57">
        <f t="shared" si="30"/>
        <v>12969.56</v>
      </c>
      <c r="Y57">
        <f t="shared" si="31"/>
        <v>6416.52</v>
      </c>
      <c r="AA57">
        <v>16499878</v>
      </c>
      <c r="AB57">
        <f t="shared" si="32"/>
        <v>1093.3889999999999</v>
      </c>
      <c r="AC57">
        <f t="shared" si="62"/>
        <v>642.55999999999995</v>
      </c>
      <c r="AD57">
        <f>ROUND(((((ET57*1.25))-((EU57*1.25)))+AE57),6)</f>
        <v>13.012499999999999</v>
      </c>
      <c r="AE57">
        <f>ROUND(((EU57*1.25)),6)</f>
        <v>2.4624999999999999</v>
      </c>
      <c r="AF57">
        <f>ROUND(((EV57*1.15)),6)</f>
        <v>437.81650000000002</v>
      </c>
      <c r="AG57">
        <f t="shared" si="34"/>
        <v>0</v>
      </c>
      <c r="AH57">
        <f>((EW57*1.15))</f>
        <v>50.094000000000001</v>
      </c>
      <c r="AI57">
        <f>((EX57*1.25))</f>
        <v>0.21250000000000002</v>
      </c>
      <c r="AJ57">
        <f t="shared" si="35"/>
        <v>0</v>
      </c>
      <c r="AK57">
        <v>1033.68</v>
      </c>
      <c r="AL57">
        <v>642.55999999999995</v>
      </c>
      <c r="AM57">
        <v>10.41</v>
      </c>
      <c r="AN57">
        <v>1.97</v>
      </c>
      <c r="AO57">
        <v>380.71</v>
      </c>
      <c r="AP57">
        <v>0</v>
      </c>
      <c r="AQ57">
        <v>43.56</v>
      </c>
      <c r="AR57">
        <v>0.17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6.08</v>
      </c>
      <c r="BA57">
        <v>6.08</v>
      </c>
      <c r="BB57">
        <v>6.08</v>
      </c>
      <c r="BC57">
        <v>6.08</v>
      </c>
      <c r="BD57" t="s">
        <v>224</v>
      </c>
      <c r="BE57" t="s">
        <v>224</v>
      </c>
      <c r="BF57" t="s">
        <v>224</v>
      </c>
      <c r="BG57" t="s">
        <v>224</v>
      </c>
      <c r="BH57">
        <v>0</v>
      </c>
      <c r="BI57">
        <v>1</v>
      </c>
      <c r="BJ57" t="s">
        <v>320</v>
      </c>
      <c r="BM57">
        <v>15001</v>
      </c>
      <c r="BN57">
        <v>0</v>
      </c>
      <c r="BO57" t="s">
        <v>224</v>
      </c>
      <c r="BP57">
        <v>0</v>
      </c>
      <c r="BQ57">
        <v>2</v>
      </c>
      <c r="BR57">
        <v>0</v>
      </c>
      <c r="BS57">
        <v>6.08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224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123</v>
      </c>
      <c r="CO57">
        <v>0</v>
      </c>
      <c r="CP57">
        <f t="shared" si="36"/>
        <v>33903.800000000003</v>
      </c>
      <c r="CQ57">
        <f t="shared" si="37"/>
        <v>3906.7647999999999</v>
      </c>
      <c r="CR57">
        <f t="shared" si="38"/>
        <v>79.116</v>
      </c>
      <c r="CS57">
        <f t="shared" si="39"/>
        <v>14.972</v>
      </c>
      <c r="CT57">
        <f t="shared" si="40"/>
        <v>2661.9243200000001</v>
      </c>
      <c r="CU57">
        <f t="shared" si="41"/>
        <v>0</v>
      </c>
      <c r="CV57">
        <f t="shared" si="42"/>
        <v>50.094000000000001</v>
      </c>
      <c r="CW57">
        <f t="shared" si="43"/>
        <v>0.21250000000000002</v>
      </c>
      <c r="CX57">
        <f t="shared" si="44"/>
        <v>0</v>
      </c>
      <c r="CY57">
        <f t="shared" si="45"/>
        <v>12969.5615</v>
      </c>
      <c r="CZ57">
        <f t="shared" si="46"/>
        <v>6416.5199000000002</v>
      </c>
      <c r="DC57" t="s">
        <v>224</v>
      </c>
      <c r="DD57" t="s">
        <v>224</v>
      </c>
      <c r="DE57" t="s">
        <v>239</v>
      </c>
      <c r="DF57" t="s">
        <v>239</v>
      </c>
      <c r="DG57" t="s">
        <v>240</v>
      </c>
      <c r="DH57" t="s">
        <v>224</v>
      </c>
      <c r="DI57" t="s">
        <v>240</v>
      </c>
      <c r="DJ57" t="s">
        <v>239</v>
      </c>
      <c r="DK57" t="s">
        <v>224</v>
      </c>
      <c r="DL57" t="s">
        <v>224</v>
      </c>
      <c r="DM57" t="s">
        <v>224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237</v>
      </c>
      <c r="DW57" t="s">
        <v>237</v>
      </c>
      <c r="DX57">
        <v>100</v>
      </c>
      <c r="EE57">
        <v>15139126</v>
      </c>
      <c r="EF57">
        <v>2</v>
      </c>
      <c r="EG57" t="s">
        <v>233</v>
      </c>
      <c r="EH57">
        <v>0</v>
      </c>
      <c r="EI57" t="s">
        <v>224</v>
      </c>
      <c r="EJ57">
        <v>1</v>
      </c>
      <c r="EK57">
        <v>15001</v>
      </c>
      <c r="EL57" t="s">
        <v>298</v>
      </c>
      <c r="EM57" t="s">
        <v>299</v>
      </c>
      <c r="EO57" t="s">
        <v>243</v>
      </c>
      <c r="EQ57">
        <v>0</v>
      </c>
      <c r="ER57">
        <v>1033.68</v>
      </c>
      <c r="ES57">
        <v>642.55999999999995</v>
      </c>
      <c r="ET57">
        <v>10.41</v>
      </c>
      <c r="EU57">
        <v>1.97</v>
      </c>
      <c r="EV57">
        <v>380.71</v>
      </c>
      <c r="EW57">
        <v>43.56</v>
      </c>
      <c r="EX57">
        <v>0.17</v>
      </c>
      <c r="EY57">
        <v>0</v>
      </c>
      <c r="FQ57">
        <v>0</v>
      </c>
      <c r="FR57">
        <f t="shared" si="47"/>
        <v>0</v>
      </c>
      <c r="FS57">
        <v>0</v>
      </c>
      <c r="FT57" t="s">
        <v>244</v>
      </c>
      <c r="FU57" t="s">
        <v>245</v>
      </c>
      <c r="FX57">
        <v>94.5</v>
      </c>
      <c r="FY57">
        <v>46.75</v>
      </c>
      <c r="GA57" t="s">
        <v>224</v>
      </c>
      <c r="GD57">
        <v>0</v>
      </c>
      <c r="GF57">
        <v>325170472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8"/>
        <v>0</v>
      </c>
      <c r="GM57">
        <f t="shared" si="49"/>
        <v>53289.88</v>
      </c>
      <c r="GN57">
        <f t="shared" si="50"/>
        <v>53289.88</v>
      </c>
      <c r="GO57">
        <f t="shared" si="51"/>
        <v>0</v>
      </c>
      <c r="GP57">
        <f t="shared" si="52"/>
        <v>0</v>
      </c>
      <c r="GR57">
        <v>0</v>
      </c>
      <c r="GS57">
        <v>3</v>
      </c>
      <c r="GT57">
        <v>0</v>
      </c>
      <c r="GU57" t="s">
        <v>224</v>
      </c>
      <c r="GV57">
        <f t="shared" si="53"/>
        <v>0</v>
      </c>
      <c r="GW57">
        <v>1</v>
      </c>
      <c r="GX57">
        <f t="shared" si="54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144</v>
      </c>
      <c r="D58" s="2"/>
      <c r="E58" s="2" t="s">
        <v>321</v>
      </c>
      <c r="F58" s="2" t="s">
        <v>301</v>
      </c>
      <c r="G58" s="2" t="s">
        <v>322</v>
      </c>
      <c r="H58" s="2" t="s">
        <v>303</v>
      </c>
      <c r="I58" s="2">
        <f>I56*J58</f>
        <v>102</v>
      </c>
      <c r="J58" s="2">
        <v>20</v>
      </c>
      <c r="K58" s="2"/>
      <c r="L58" s="2"/>
      <c r="M58" s="2"/>
      <c r="N58" s="2"/>
      <c r="O58" s="2">
        <f t="shared" si="21"/>
        <v>1555.5</v>
      </c>
      <c r="P58" s="2">
        <f t="shared" si="22"/>
        <v>1555.5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16499835</v>
      </c>
      <c r="AB58" s="2">
        <f t="shared" si="32"/>
        <v>15.25</v>
      </c>
      <c r="AC58" s="2">
        <f t="shared" si="62"/>
        <v>15.25</v>
      </c>
      <c r="AD58" s="2">
        <f t="shared" ref="AD58:AD63" si="65">ROUND((((ET58)-(EU58))+AE58),6)</f>
        <v>0</v>
      </c>
      <c r="AE58" s="2">
        <f t="shared" ref="AE58:AF63" si="66">ROUND((EU58),6)</f>
        <v>0</v>
      </c>
      <c r="AF58" s="2">
        <f t="shared" si="66"/>
        <v>0</v>
      </c>
      <c r="AG58" s="2">
        <f t="shared" si="34"/>
        <v>0</v>
      </c>
      <c r="AH58" s="2">
        <f t="shared" ref="AH58:AI63" si="67">(EW58)</f>
        <v>0</v>
      </c>
      <c r="AI58" s="2">
        <f t="shared" si="67"/>
        <v>0</v>
      </c>
      <c r="AJ58" s="2">
        <f t="shared" si="35"/>
        <v>0</v>
      </c>
      <c r="AK58" s="2">
        <v>15.25</v>
      </c>
      <c r="AL58" s="2">
        <v>15.25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224</v>
      </c>
      <c r="BE58" s="2" t="s">
        <v>224</v>
      </c>
      <c r="BF58" s="2" t="s">
        <v>224</v>
      </c>
      <c r="BG58" s="2" t="s">
        <v>224</v>
      </c>
      <c r="BH58" s="2">
        <v>3</v>
      </c>
      <c r="BI58" s="2">
        <v>1</v>
      </c>
      <c r="BJ58" s="2" t="s">
        <v>304</v>
      </c>
      <c r="BK58" s="2"/>
      <c r="BL58" s="2"/>
      <c r="BM58" s="2">
        <v>15001</v>
      </c>
      <c r="BN58" s="2">
        <v>0</v>
      </c>
      <c r="BO58" s="2" t="s">
        <v>224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224</v>
      </c>
      <c r="BZ58" s="2">
        <v>105</v>
      </c>
      <c r="CA58" s="2">
        <v>55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123</v>
      </c>
      <c r="CO58" s="2">
        <v>0</v>
      </c>
      <c r="CP58" s="2">
        <f t="shared" si="36"/>
        <v>1555.5</v>
      </c>
      <c r="CQ58" s="2">
        <f t="shared" si="37"/>
        <v>15.25</v>
      </c>
      <c r="CR58" s="2">
        <f t="shared" si="38"/>
        <v>0</v>
      </c>
      <c r="CS58" s="2">
        <f t="shared" si="39"/>
        <v>0</v>
      </c>
      <c r="CT58" s="2">
        <f t="shared" si="40"/>
        <v>0</v>
      </c>
      <c r="CU58" s="2">
        <f t="shared" si="41"/>
        <v>0</v>
      </c>
      <c r="CV58" s="2">
        <f t="shared" si="42"/>
        <v>0</v>
      </c>
      <c r="CW58" s="2">
        <f t="shared" si="43"/>
        <v>0</v>
      </c>
      <c r="CX58" s="2">
        <f t="shared" si="44"/>
        <v>0</v>
      </c>
      <c r="CY58" s="2">
        <f t="shared" si="45"/>
        <v>0</v>
      </c>
      <c r="CZ58" s="2">
        <f t="shared" si="46"/>
        <v>0</v>
      </c>
      <c r="DA58" s="2"/>
      <c r="DB58" s="2"/>
      <c r="DC58" s="2" t="s">
        <v>224</v>
      </c>
      <c r="DD58" s="2" t="s">
        <v>224</v>
      </c>
      <c r="DE58" s="2" t="s">
        <v>224</v>
      </c>
      <c r="DF58" s="2" t="s">
        <v>224</v>
      </c>
      <c r="DG58" s="2" t="s">
        <v>224</v>
      </c>
      <c r="DH58" s="2" t="s">
        <v>224</v>
      </c>
      <c r="DI58" s="2" t="s">
        <v>224</v>
      </c>
      <c r="DJ58" s="2" t="s">
        <v>224</v>
      </c>
      <c r="DK58" s="2" t="s">
        <v>224</v>
      </c>
      <c r="DL58" s="2" t="s">
        <v>224</v>
      </c>
      <c r="DM58" s="2" t="s">
        <v>224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303</v>
      </c>
      <c r="DW58" s="2" t="s">
        <v>303</v>
      </c>
      <c r="DX58" s="2">
        <v>1</v>
      </c>
      <c r="DY58" s="2"/>
      <c r="DZ58" s="2"/>
      <c r="EA58" s="2"/>
      <c r="EB58" s="2"/>
      <c r="EC58" s="2"/>
      <c r="ED58" s="2"/>
      <c r="EE58" s="2">
        <v>15139126</v>
      </c>
      <c r="EF58" s="2">
        <v>2</v>
      </c>
      <c r="EG58" s="2" t="s">
        <v>233</v>
      </c>
      <c r="EH58" s="2">
        <v>0</v>
      </c>
      <c r="EI58" s="2" t="s">
        <v>224</v>
      </c>
      <c r="EJ58" s="2">
        <v>1</v>
      </c>
      <c r="EK58" s="2">
        <v>15001</v>
      </c>
      <c r="EL58" s="2" t="s">
        <v>298</v>
      </c>
      <c r="EM58" s="2" t="s">
        <v>299</v>
      </c>
      <c r="EN58" s="2"/>
      <c r="EO58" s="2" t="s">
        <v>243</v>
      </c>
      <c r="EP58" s="2"/>
      <c r="EQ58" s="2">
        <v>0</v>
      </c>
      <c r="ER58" s="2">
        <v>15.25</v>
      </c>
      <c r="ES58" s="2">
        <v>15.25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7"/>
        <v>0</v>
      </c>
      <c r="FS58" s="2">
        <v>0</v>
      </c>
      <c r="FT58" s="2" t="s">
        <v>244</v>
      </c>
      <c r="FU58" s="2" t="s">
        <v>245</v>
      </c>
      <c r="FV58" s="2"/>
      <c r="FW58" s="2"/>
      <c r="FX58" s="2">
        <v>94.5</v>
      </c>
      <c r="FY58" s="2">
        <v>46.75</v>
      </c>
      <c r="FZ58" s="2"/>
      <c r="GA58" s="2" t="s">
        <v>224</v>
      </c>
      <c r="GB58" s="2"/>
      <c r="GC58" s="2"/>
      <c r="GD58" s="2">
        <v>0</v>
      </c>
      <c r="GE58" s="2"/>
      <c r="GF58" s="2">
        <v>303141801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8"/>
        <v>0</v>
      </c>
      <c r="GM58" s="2">
        <f t="shared" si="49"/>
        <v>1555.5</v>
      </c>
      <c r="GN58" s="2">
        <f t="shared" si="50"/>
        <v>1555.5</v>
      </c>
      <c r="GO58" s="2">
        <f t="shared" si="51"/>
        <v>0</v>
      </c>
      <c r="GP58" s="2">
        <f t="shared" si="52"/>
        <v>0</v>
      </c>
      <c r="GQ58" s="2"/>
      <c r="GR58" s="2">
        <v>0</v>
      </c>
      <c r="GS58" s="2">
        <v>3</v>
      </c>
      <c r="GT58" s="2">
        <v>0</v>
      </c>
      <c r="GU58" s="2" t="s">
        <v>224</v>
      </c>
      <c r="GV58" s="2">
        <f t="shared" si="53"/>
        <v>0</v>
      </c>
      <c r="GW58" s="2">
        <v>1</v>
      </c>
      <c r="GX58" s="2">
        <f t="shared" si="54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153</v>
      </c>
      <c r="E59" t="s">
        <v>321</v>
      </c>
      <c r="F59" t="s">
        <v>301</v>
      </c>
      <c r="G59" t="s">
        <v>322</v>
      </c>
      <c r="H59" t="s">
        <v>303</v>
      </c>
      <c r="I59">
        <f>I57*J59</f>
        <v>102</v>
      </c>
      <c r="J59">
        <v>20</v>
      </c>
      <c r="O59">
        <f t="shared" si="21"/>
        <v>9457.44</v>
      </c>
      <c r="P59">
        <f t="shared" si="22"/>
        <v>9457.44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16499878</v>
      </c>
      <c r="AB59">
        <f t="shared" si="32"/>
        <v>15.25</v>
      </c>
      <c r="AC59">
        <f t="shared" si="62"/>
        <v>15.25</v>
      </c>
      <c r="AD59">
        <f t="shared" si="65"/>
        <v>0</v>
      </c>
      <c r="AE59">
        <f t="shared" si="66"/>
        <v>0</v>
      </c>
      <c r="AF59">
        <f t="shared" si="66"/>
        <v>0</v>
      </c>
      <c r="AG59">
        <f t="shared" si="34"/>
        <v>0</v>
      </c>
      <c r="AH59">
        <f t="shared" si="67"/>
        <v>0</v>
      </c>
      <c r="AI59">
        <f t="shared" si="67"/>
        <v>0</v>
      </c>
      <c r="AJ59">
        <f t="shared" si="35"/>
        <v>0</v>
      </c>
      <c r="AK59">
        <v>15.25</v>
      </c>
      <c r="AL59">
        <v>15.25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6.08</v>
      </c>
      <c r="BA59">
        <v>1</v>
      </c>
      <c r="BB59">
        <v>1</v>
      </c>
      <c r="BC59">
        <v>6.08</v>
      </c>
      <c r="BD59" t="s">
        <v>224</v>
      </c>
      <c r="BE59" t="s">
        <v>224</v>
      </c>
      <c r="BF59" t="s">
        <v>224</v>
      </c>
      <c r="BG59" t="s">
        <v>224</v>
      </c>
      <c r="BH59">
        <v>3</v>
      </c>
      <c r="BI59">
        <v>1</v>
      </c>
      <c r="BJ59" t="s">
        <v>304</v>
      </c>
      <c r="BM59">
        <v>15001</v>
      </c>
      <c r="BN59">
        <v>0</v>
      </c>
      <c r="BO59" t="s">
        <v>224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224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123</v>
      </c>
      <c r="CO59">
        <v>0</v>
      </c>
      <c r="CP59">
        <f t="shared" si="36"/>
        <v>9457.44</v>
      </c>
      <c r="CQ59">
        <f t="shared" si="37"/>
        <v>92.72</v>
      </c>
      <c r="CR59">
        <f t="shared" si="38"/>
        <v>0</v>
      </c>
      <c r="CS59">
        <f t="shared" si="39"/>
        <v>0</v>
      </c>
      <c r="CT59">
        <f t="shared" si="40"/>
        <v>0</v>
      </c>
      <c r="CU59">
        <f t="shared" si="41"/>
        <v>0</v>
      </c>
      <c r="CV59">
        <f t="shared" si="42"/>
        <v>0</v>
      </c>
      <c r="CW59">
        <f t="shared" si="43"/>
        <v>0</v>
      </c>
      <c r="CX59">
        <f t="shared" si="44"/>
        <v>0</v>
      </c>
      <c r="CY59">
        <f t="shared" si="45"/>
        <v>0</v>
      </c>
      <c r="CZ59">
        <f t="shared" si="46"/>
        <v>0</v>
      </c>
      <c r="DC59" t="s">
        <v>224</v>
      </c>
      <c r="DD59" t="s">
        <v>224</v>
      </c>
      <c r="DE59" t="s">
        <v>224</v>
      </c>
      <c r="DF59" t="s">
        <v>224</v>
      </c>
      <c r="DG59" t="s">
        <v>224</v>
      </c>
      <c r="DH59" t="s">
        <v>224</v>
      </c>
      <c r="DI59" t="s">
        <v>224</v>
      </c>
      <c r="DJ59" t="s">
        <v>224</v>
      </c>
      <c r="DK59" t="s">
        <v>224</v>
      </c>
      <c r="DL59" t="s">
        <v>224</v>
      </c>
      <c r="DM59" t="s">
        <v>224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303</v>
      </c>
      <c r="DW59" t="s">
        <v>303</v>
      </c>
      <c r="DX59">
        <v>1</v>
      </c>
      <c r="EE59">
        <v>15139126</v>
      </c>
      <c r="EF59">
        <v>2</v>
      </c>
      <c r="EG59" t="s">
        <v>233</v>
      </c>
      <c r="EH59">
        <v>0</v>
      </c>
      <c r="EI59" t="s">
        <v>224</v>
      </c>
      <c r="EJ59">
        <v>1</v>
      </c>
      <c r="EK59">
        <v>15001</v>
      </c>
      <c r="EL59" t="s">
        <v>298</v>
      </c>
      <c r="EM59" t="s">
        <v>299</v>
      </c>
      <c r="EO59" t="s">
        <v>243</v>
      </c>
      <c r="EQ59">
        <v>0</v>
      </c>
      <c r="ER59">
        <v>15.25</v>
      </c>
      <c r="ES59">
        <v>15.25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7"/>
        <v>0</v>
      </c>
      <c r="FS59">
        <v>0</v>
      </c>
      <c r="FT59" t="s">
        <v>244</v>
      </c>
      <c r="FU59" t="s">
        <v>245</v>
      </c>
      <c r="FX59">
        <v>94.5</v>
      </c>
      <c r="FY59">
        <v>46.75</v>
      </c>
      <c r="GA59" t="s">
        <v>224</v>
      </c>
      <c r="GD59">
        <v>0</v>
      </c>
      <c r="GF59">
        <v>303141801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8"/>
        <v>0</v>
      </c>
      <c r="GM59">
        <f t="shared" si="49"/>
        <v>9457.44</v>
      </c>
      <c r="GN59">
        <f t="shared" si="50"/>
        <v>9457.44</v>
      </c>
      <c r="GO59">
        <f t="shared" si="51"/>
        <v>0</v>
      </c>
      <c r="GP59">
        <f t="shared" si="52"/>
        <v>0</v>
      </c>
      <c r="GR59">
        <v>0</v>
      </c>
      <c r="GS59">
        <v>3</v>
      </c>
      <c r="GT59">
        <v>0</v>
      </c>
      <c r="GU59" t="s">
        <v>224</v>
      </c>
      <c r="GV59">
        <f t="shared" si="53"/>
        <v>0</v>
      </c>
      <c r="GW59">
        <v>1</v>
      </c>
      <c r="GX59">
        <f t="shared" si="54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143</v>
      </c>
      <c r="D60" s="2"/>
      <c r="E60" s="2" t="s">
        <v>323</v>
      </c>
      <c r="F60" s="2" t="s">
        <v>324</v>
      </c>
      <c r="G60" s="2" t="s">
        <v>325</v>
      </c>
      <c r="H60" s="2" t="s">
        <v>288</v>
      </c>
      <c r="I60" s="2">
        <f>I56*J60</f>
        <v>0.153</v>
      </c>
      <c r="J60" s="2">
        <v>3.0000000000000002E-2</v>
      </c>
      <c r="K60" s="2"/>
      <c r="L60" s="2"/>
      <c r="M60" s="2"/>
      <c r="N60" s="2"/>
      <c r="O60" s="2">
        <f t="shared" ref="O60:O91" si="68">ROUND(CP60,2)</f>
        <v>947.51</v>
      </c>
      <c r="P60" s="2">
        <f t="shared" ref="P60:P91" si="69">ROUND(CQ60*I60,2)</f>
        <v>947.51</v>
      </c>
      <c r="Q60" s="2">
        <f t="shared" ref="Q60:Q91" si="70">ROUND(CR60*I60,2)</f>
        <v>0</v>
      </c>
      <c r="R60" s="2">
        <f t="shared" ref="R60:R91" si="71">ROUND(CS60*I60,2)</f>
        <v>0</v>
      </c>
      <c r="S60" s="2">
        <f t="shared" ref="S60:S91" si="72">ROUND(CT60*I60,2)</f>
        <v>0</v>
      </c>
      <c r="T60" s="2">
        <f t="shared" ref="T60:T91" si="73">ROUND(CU60*I60,2)</f>
        <v>0</v>
      </c>
      <c r="U60" s="2">
        <f t="shared" ref="U60:U91" si="74">CV60*I60</f>
        <v>0</v>
      </c>
      <c r="V60" s="2">
        <f t="shared" ref="V60:V91" si="75">CW60*I60</f>
        <v>0</v>
      </c>
      <c r="W60" s="2">
        <f t="shared" ref="W60:W91" si="76">ROUND(CX60*I60,2)</f>
        <v>0</v>
      </c>
      <c r="X60" s="2">
        <f t="shared" ref="X60:X91" si="77">ROUND(CY60,2)</f>
        <v>0</v>
      </c>
      <c r="Y60" s="2">
        <f t="shared" ref="Y60:Y91" si="78">ROUND(CZ60,2)</f>
        <v>0</v>
      </c>
      <c r="Z60" s="2"/>
      <c r="AA60" s="2">
        <v>16499835</v>
      </c>
      <c r="AB60" s="2">
        <f t="shared" ref="AB60:AB91" si="79">ROUND((AC60+AD60+AF60),6)</f>
        <v>6192.9</v>
      </c>
      <c r="AC60" s="2">
        <f t="shared" si="62"/>
        <v>6192.9</v>
      </c>
      <c r="AD60" s="2">
        <f t="shared" si="65"/>
        <v>0</v>
      </c>
      <c r="AE60" s="2">
        <f t="shared" si="66"/>
        <v>0</v>
      </c>
      <c r="AF60" s="2">
        <f t="shared" si="66"/>
        <v>0</v>
      </c>
      <c r="AG60" s="2">
        <f t="shared" ref="AG60:AG91" si="80">ROUND((AP60),6)</f>
        <v>0</v>
      </c>
      <c r="AH60" s="2">
        <f t="shared" si="67"/>
        <v>0</v>
      </c>
      <c r="AI60" s="2">
        <f t="shared" si="67"/>
        <v>0</v>
      </c>
      <c r="AJ60" s="2">
        <f t="shared" ref="AJ60:AJ91" si="81">ROUND((AS60),6)</f>
        <v>0</v>
      </c>
      <c r="AK60" s="2">
        <v>6192.9</v>
      </c>
      <c r="AL60" s="2">
        <v>6192.9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95</v>
      </c>
      <c r="AU60" s="2">
        <v>47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224</v>
      </c>
      <c r="BE60" s="2" t="s">
        <v>224</v>
      </c>
      <c r="BF60" s="2" t="s">
        <v>224</v>
      </c>
      <c r="BG60" s="2" t="s">
        <v>224</v>
      </c>
      <c r="BH60" s="2">
        <v>3</v>
      </c>
      <c r="BI60" s="2">
        <v>1</v>
      </c>
      <c r="BJ60" s="2" t="s">
        <v>326</v>
      </c>
      <c r="BK60" s="2"/>
      <c r="BL60" s="2"/>
      <c r="BM60" s="2">
        <v>15001</v>
      </c>
      <c r="BN60" s="2">
        <v>0</v>
      </c>
      <c r="BO60" s="2" t="s">
        <v>224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224</v>
      </c>
      <c r="BZ60" s="2">
        <v>105</v>
      </c>
      <c r="CA60" s="2">
        <v>55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123</v>
      </c>
      <c r="CO60" s="2">
        <v>0</v>
      </c>
      <c r="CP60" s="2">
        <f t="shared" ref="CP60:CP91" si="82">(P60+Q60+S60)</f>
        <v>947.51</v>
      </c>
      <c r="CQ60" s="2">
        <f t="shared" ref="CQ60:CQ91" si="83">AC60*BC60</f>
        <v>6192.9</v>
      </c>
      <c r="CR60" s="2">
        <f t="shared" ref="CR60:CR91" si="84">AD60*BB60</f>
        <v>0</v>
      </c>
      <c r="CS60" s="2">
        <f t="shared" ref="CS60:CS91" si="85">AE60*BS60</f>
        <v>0</v>
      </c>
      <c r="CT60" s="2">
        <f t="shared" ref="CT60:CT91" si="86">AF60*BA60</f>
        <v>0</v>
      </c>
      <c r="CU60" s="2">
        <f t="shared" ref="CU60:CU91" si="87">AG60</f>
        <v>0</v>
      </c>
      <c r="CV60" s="2">
        <f t="shared" ref="CV60:CV91" si="88">AH60</f>
        <v>0</v>
      </c>
      <c r="CW60" s="2">
        <f t="shared" ref="CW60:CW91" si="89">AI60</f>
        <v>0</v>
      </c>
      <c r="CX60" s="2">
        <f t="shared" ref="CX60:CX91" si="90">AJ60</f>
        <v>0</v>
      </c>
      <c r="CY60" s="2">
        <f t="shared" ref="CY60:CY91" si="91">(((S60+R60)*AT60)/100)</f>
        <v>0</v>
      </c>
      <c r="CZ60" s="2">
        <f t="shared" ref="CZ60:CZ91" si="92">(((S60+R60)*AU60)/100)</f>
        <v>0</v>
      </c>
      <c r="DA60" s="2"/>
      <c r="DB60" s="2"/>
      <c r="DC60" s="2" t="s">
        <v>224</v>
      </c>
      <c r="DD60" s="2" t="s">
        <v>224</v>
      </c>
      <c r="DE60" s="2" t="s">
        <v>224</v>
      </c>
      <c r="DF60" s="2" t="s">
        <v>224</v>
      </c>
      <c r="DG60" s="2" t="s">
        <v>224</v>
      </c>
      <c r="DH60" s="2" t="s">
        <v>224</v>
      </c>
      <c r="DI60" s="2" t="s">
        <v>224</v>
      </c>
      <c r="DJ60" s="2" t="s">
        <v>224</v>
      </c>
      <c r="DK60" s="2" t="s">
        <v>224</v>
      </c>
      <c r="DL60" s="2" t="s">
        <v>224</v>
      </c>
      <c r="DM60" s="2" t="s">
        <v>224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288</v>
      </c>
      <c r="DW60" s="2" t="s">
        <v>288</v>
      </c>
      <c r="DX60" s="2">
        <v>1000</v>
      </c>
      <c r="DY60" s="2"/>
      <c r="DZ60" s="2"/>
      <c r="EA60" s="2"/>
      <c r="EB60" s="2"/>
      <c r="EC60" s="2"/>
      <c r="ED60" s="2"/>
      <c r="EE60" s="2">
        <v>15139126</v>
      </c>
      <c r="EF60" s="2">
        <v>2</v>
      </c>
      <c r="EG60" s="2" t="s">
        <v>233</v>
      </c>
      <c r="EH60" s="2">
        <v>0</v>
      </c>
      <c r="EI60" s="2" t="s">
        <v>224</v>
      </c>
      <c r="EJ60" s="2">
        <v>1</v>
      </c>
      <c r="EK60" s="2">
        <v>15001</v>
      </c>
      <c r="EL60" s="2" t="s">
        <v>298</v>
      </c>
      <c r="EM60" s="2" t="s">
        <v>299</v>
      </c>
      <c r="EN60" s="2"/>
      <c r="EO60" s="2" t="s">
        <v>243</v>
      </c>
      <c r="EP60" s="2"/>
      <c r="EQ60" s="2">
        <v>0</v>
      </c>
      <c r="ER60" s="2">
        <v>6192.9</v>
      </c>
      <c r="ES60" s="2">
        <v>6192.9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3">ROUND(IF(AND(BH60=3,BI60=3),P60,0),2)</f>
        <v>0</v>
      </c>
      <c r="FS60" s="2">
        <v>0</v>
      </c>
      <c r="FT60" s="2" t="s">
        <v>244</v>
      </c>
      <c r="FU60" s="2" t="s">
        <v>245</v>
      </c>
      <c r="FV60" s="2"/>
      <c r="FW60" s="2"/>
      <c r="FX60" s="2">
        <v>94.5</v>
      </c>
      <c r="FY60" s="2">
        <v>46.75</v>
      </c>
      <c r="FZ60" s="2"/>
      <c r="GA60" s="2" t="s">
        <v>224</v>
      </c>
      <c r="GB60" s="2"/>
      <c r="GC60" s="2"/>
      <c r="GD60" s="2">
        <v>0</v>
      </c>
      <c r="GE60" s="2"/>
      <c r="GF60" s="2">
        <v>-1930273020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4">ROUND(IF(AND(BH60=3,BI60=3,FS60&lt;&gt;0),P60,0),2)</f>
        <v>0</v>
      </c>
      <c r="GM60" s="2">
        <f t="shared" ref="GM60:GM91" si="95">ROUND(O60+X60+Y60+GK60,2)+GX60</f>
        <v>947.51</v>
      </c>
      <c r="GN60" s="2">
        <f t="shared" ref="GN60:GN91" si="96">IF(OR(BI60=0,BI60=1),ROUND(O60+X60+Y60+GK60,2),0)</f>
        <v>947.51</v>
      </c>
      <c r="GO60" s="2">
        <f t="shared" ref="GO60:GO91" si="97">IF(BI60=2,ROUND(O60+X60+Y60+GK60,2),0)</f>
        <v>0</v>
      </c>
      <c r="GP60" s="2">
        <f t="shared" ref="GP60:GP91" si="98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224</v>
      </c>
      <c r="GV60" s="2">
        <f t="shared" ref="GV60:GV91" si="99">ROUND(GT60,6)</f>
        <v>0</v>
      </c>
      <c r="GW60" s="2">
        <v>1</v>
      </c>
      <c r="GX60" s="2">
        <f t="shared" ref="GX60:GX91" si="100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152</v>
      </c>
      <c r="E61" t="s">
        <v>323</v>
      </c>
      <c r="F61" t="s">
        <v>324</v>
      </c>
      <c r="G61" t="s">
        <v>325</v>
      </c>
      <c r="H61" t="s">
        <v>288</v>
      </c>
      <c r="I61">
        <f>I57*J61</f>
        <v>0.153</v>
      </c>
      <c r="J61">
        <v>3.0000000000000002E-2</v>
      </c>
      <c r="O61">
        <f t="shared" si="68"/>
        <v>5760.88</v>
      </c>
      <c r="P61">
        <f t="shared" si="69"/>
        <v>5760.88</v>
      </c>
      <c r="Q61">
        <f t="shared" si="70"/>
        <v>0</v>
      </c>
      <c r="R61">
        <f t="shared" si="71"/>
        <v>0</v>
      </c>
      <c r="S61">
        <f t="shared" si="72"/>
        <v>0</v>
      </c>
      <c r="T61">
        <f t="shared" si="73"/>
        <v>0</v>
      </c>
      <c r="U61">
        <f t="shared" si="74"/>
        <v>0</v>
      </c>
      <c r="V61">
        <f t="shared" si="75"/>
        <v>0</v>
      </c>
      <c r="W61">
        <f t="shared" si="76"/>
        <v>0</v>
      </c>
      <c r="X61">
        <f t="shared" si="77"/>
        <v>0</v>
      </c>
      <c r="Y61">
        <f t="shared" si="78"/>
        <v>0</v>
      </c>
      <c r="AA61">
        <v>16499878</v>
      </c>
      <c r="AB61">
        <f t="shared" si="79"/>
        <v>6192.9</v>
      </c>
      <c r="AC61">
        <f t="shared" si="62"/>
        <v>6192.9</v>
      </c>
      <c r="AD61">
        <f t="shared" si="65"/>
        <v>0</v>
      </c>
      <c r="AE61">
        <f t="shared" si="66"/>
        <v>0</v>
      </c>
      <c r="AF61">
        <f t="shared" si="66"/>
        <v>0</v>
      </c>
      <c r="AG61">
        <f t="shared" si="80"/>
        <v>0</v>
      </c>
      <c r="AH61">
        <f t="shared" si="67"/>
        <v>0</v>
      </c>
      <c r="AI61">
        <f t="shared" si="67"/>
        <v>0</v>
      </c>
      <c r="AJ61">
        <f t="shared" si="81"/>
        <v>0</v>
      </c>
      <c r="AK61">
        <v>6192.9</v>
      </c>
      <c r="AL61">
        <v>6192.9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6.08</v>
      </c>
      <c r="BA61">
        <v>1</v>
      </c>
      <c r="BB61">
        <v>1</v>
      </c>
      <c r="BC61">
        <v>6.08</v>
      </c>
      <c r="BD61" t="s">
        <v>224</v>
      </c>
      <c r="BE61" t="s">
        <v>224</v>
      </c>
      <c r="BF61" t="s">
        <v>224</v>
      </c>
      <c r="BG61" t="s">
        <v>224</v>
      </c>
      <c r="BH61">
        <v>3</v>
      </c>
      <c r="BI61">
        <v>1</v>
      </c>
      <c r="BJ61" t="s">
        <v>326</v>
      </c>
      <c r="BM61">
        <v>15001</v>
      </c>
      <c r="BN61">
        <v>0</v>
      </c>
      <c r="BO61" t="s">
        <v>224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224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123</v>
      </c>
      <c r="CO61">
        <v>0</v>
      </c>
      <c r="CP61">
        <f t="shared" si="82"/>
        <v>5760.88</v>
      </c>
      <c r="CQ61">
        <f t="shared" si="83"/>
        <v>37652.831999999995</v>
      </c>
      <c r="CR61">
        <f t="shared" si="84"/>
        <v>0</v>
      </c>
      <c r="CS61">
        <f t="shared" si="85"/>
        <v>0</v>
      </c>
      <c r="CT61">
        <f t="shared" si="86"/>
        <v>0</v>
      </c>
      <c r="CU61">
        <f t="shared" si="87"/>
        <v>0</v>
      </c>
      <c r="CV61">
        <f t="shared" si="88"/>
        <v>0</v>
      </c>
      <c r="CW61">
        <f t="shared" si="89"/>
        <v>0</v>
      </c>
      <c r="CX61">
        <f t="shared" si="90"/>
        <v>0</v>
      </c>
      <c r="CY61">
        <f t="shared" si="91"/>
        <v>0</v>
      </c>
      <c r="CZ61">
        <f t="shared" si="92"/>
        <v>0</v>
      </c>
      <c r="DC61" t="s">
        <v>224</v>
      </c>
      <c r="DD61" t="s">
        <v>224</v>
      </c>
      <c r="DE61" t="s">
        <v>224</v>
      </c>
      <c r="DF61" t="s">
        <v>224</v>
      </c>
      <c r="DG61" t="s">
        <v>224</v>
      </c>
      <c r="DH61" t="s">
        <v>224</v>
      </c>
      <c r="DI61" t="s">
        <v>224</v>
      </c>
      <c r="DJ61" t="s">
        <v>224</v>
      </c>
      <c r="DK61" t="s">
        <v>224</v>
      </c>
      <c r="DL61" t="s">
        <v>224</v>
      </c>
      <c r="DM61" t="s">
        <v>224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288</v>
      </c>
      <c r="DW61" t="s">
        <v>288</v>
      </c>
      <c r="DX61">
        <v>1000</v>
      </c>
      <c r="EE61">
        <v>15139126</v>
      </c>
      <c r="EF61">
        <v>2</v>
      </c>
      <c r="EG61" t="s">
        <v>233</v>
      </c>
      <c r="EH61">
        <v>0</v>
      </c>
      <c r="EI61" t="s">
        <v>224</v>
      </c>
      <c r="EJ61">
        <v>1</v>
      </c>
      <c r="EK61">
        <v>15001</v>
      </c>
      <c r="EL61" t="s">
        <v>298</v>
      </c>
      <c r="EM61" t="s">
        <v>299</v>
      </c>
      <c r="EO61" t="s">
        <v>243</v>
      </c>
      <c r="EQ61">
        <v>0</v>
      </c>
      <c r="ER61">
        <v>6192.9</v>
      </c>
      <c r="ES61">
        <v>6192.9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3"/>
        <v>0</v>
      </c>
      <c r="FS61">
        <v>0</v>
      </c>
      <c r="FT61" t="s">
        <v>244</v>
      </c>
      <c r="FU61" t="s">
        <v>245</v>
      </c>
      <c r="FX61">
        <v>94.5</v>
      </c>
      <c r="FY61">
        <v>46.75</v>
      </c>
      <c r="GA61" t="s">
        <v>224</v>
      </c>
      <c r="GD61">
        <v>0</v>
      </c>
      <c r="GF61">
        <v>-1930273020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4"/>
        <v>0</v>
      </c>
      <c r="GM61">
        <f t="shared" si="95"/>
        <v>5760.88</v>
      </c>
      <c r="GN61">
        <f t="shared" si="96"/>
        <v>5760.88</v>
      </c>
      <c r="GO61">
        <f t="shared" si="97"/>
        <v>0</v>
      </c>
      <c r="GP61">
        <f t="shared" si="98"/>
        <v>0</v>
      </c>
      <c r="GR61">
        <v>0</v>
      </c>
      <c r="GS61">
        <v>3</v>
      </c>
      <c r="GT61">
        <v>0</v>
      </c>
      <c r="GU61" t="s">
        <v>224</v>
      </c>
      <c r="GV61">
        <f t="shared" si="99"/>
        <v>0</v>
      </c>
      <c r="GW61">
        <v>1</v>
      </c>
      <c r="GX61">
        <f t="shared" si="100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ROW(SmtRes!A169)</f>
        <v>169</v>
      </c>
      <c r="D62" s="2">
        <f>ROW(EtalonRes!A188)</f>
        <v>188</v>
      </c>
      <c r="E62" s="2" t="s">
        <v>327</v>
      </c>
      <c r="F62" s="2" t="s">
        <v>328</v>
      </c>
      <c r="G62" s="2" t="s">
        <v>329</v>
      </c>
      <c r="H62" s="2" t="s">
        <v>237</v>
      </c>
      <c r="I62" s="2">
        <f>ROUND(20.4/100,9)</f>
        <v>0.20399999999999999</v>
      </c>
      <c r="J62" s="2">
        <v>0</v>
      </c>
      <c r="K62" s="2"/>
      <c r="L62" s="2"/>
      <c r="M62" s="2"/>
      <c r="N62" s="2"/>
      <c r="O62" s="2">
        <f t="shared" si="68"/>
        <v>1577.43</v>
      </c>
      <c r="P62" s="2">
        <f t="shared" si="69"/>
        <v>1298.9100000000001</v>
      </c>
      <c r="Q62" s="2">
        <f t="shared" si="70"/>
        <v>48.33</v>
      </c>
      <c r="R62" s="2">
        <f t="shared" si="71"/>
        <v>8.0500000000000007</v>
      </c>
      <c r="S62" s="2">
        <f t="shared" si="72"/>
        <v>230.19</v>
      </c>
      <c r="T62" s="2">
        <f t="shared" si="73"/>
        <v>0</v>
      </c>
      <c r="U62" s="2">
        <f t="shared" si="74"/>
        <v>24.204599999999999</v>
      </c>
      <c r="V62" s="2">
        <f t="shared" si="75"/>
        <v>0.73848000000000003</v>
      </c>
      <c r="W62" s="2">
        <f t="shared" si="76"/>
        <v>0</v>
      </c>
      <c r="X62" s="2">
        <f t="shared" si="77"/>
        <v>264.45</v>
      </c>
      <c r="Y62" s="2">
        <f t="shared" si="78"/>
        <v>152.47</v>
      </c>
      <c r="Z62" s="2"/>
      <c r="AA62" s="2">
        <v>16499835</v>
      </c>
      <c r="AB62" s="2">
        <f t="shared" si="79"/>
        <v>7732.47</v>
      </c>
      <c r="AC62" s="2">
        <f t="shared" si="62"/>
        <v>6367.21</v>
      </c>
      <c r="AD62" s="2">
        <f t="shared" si="65"/>
        <v>236.9</v>
      </c>
      <c r="AE62" s="2">
        <f t="shared" si="66"/>
        <v>39.47</v>
      </c>
      <c r="AF62" s="2">
        <f t="shared" si="66"/>
        <v>1128.3599999999999</v>
      </c>
      <c r="AG62" s="2">
        <f t="shared" si="80"/>
        <v>0</v>
      </c>
      <c r="AH62" s="2">
        <f t="shared" si="67"/>
        <v>118.65</v>
      </c>
      <c r="AI62" s="2">
        <f t="shared" si="67"/>
        <v>3.62</v>
      </c>
      <c r="AJ62" s="2">
        <f t="shared" si="81"/>
        <v>0</v>
      </c>
      <c r="AK62" s="2">
        <v>7732.47</v>
      </c>
      <c r="AL62" s="2">
        <v>6367.21</v>
      </c>
      <c r="AM62" s="2">
        <v>236.9</v>
      </c>
      <c r="AN62" s="2">
        <v>39.47</v>
      </c>
      <c r="AO62" s="2">
        <v>1128.3599999999999</v>
      </c>
      <c r="AP62" s="2">
        <v>0</v>
      </c>
      <c r="AQ62" s="2">
        <v>118.65</v>
      </c>
      <c r="AR62" s="2">
        <v>3.62</v>
      </c>
      <c r="AS62" s="2">
        <v>0</v>
      </c>
      <c r="AT62" s="2">
        <v>111</v>
      </c>
      <c r="AU62" s="2">
        <v>64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224</v>
      </c>
      <c r="BE62" s="2" t="s">
        <v>224</v>
      </c>
      <c r="BF62" s="2" t="s">
        <v>224</v>
      </c>
      <c r="BG62" s="2" t="s">
        <v>224</v>
      </c>
      <c r="BH62" s="2">
        <v>0</v>
      </c>
      <c r="BI62" s="2">
        <v>1</v>
      </c>
      <c r="BJ62" s="2" t="s">
        <v>330</v>
      </c>
      <c r="BK62" s="2"/>
      <c r="BL62" s="2"/>
      <c r="BM62" s="2">
        <v>11001</v>
      </c>
      <c r="BN62" s="2">
        <v>0</v>
      </c>
      <c r="BO62" s="2" t="s">
        <v>224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224</v>
      </c>
      <c r="BZ62" s="2">
        <v>123</v>
      </c>
      <c r="CA62" s="2">
        <v>75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224</v>
      </c>
      <c r="CO62" s="2">
        <v>0</v>
      </c>
      <c r="CP62" s="2">
        <f t="shared" si="82"/>
        <v>1577.43</v>
      </c>
      <c r="CQ62" s="2">
        <f t="shared" si="83"/>
        <v>6367.21</v>
      </c>
      <c r="CR62" s="2">
        <f t="shared" si="84"/>
        <v>236.9</v>
      </c>
      <c r="CS62" s="2">
        <f t="shared" si="85"/>
        <v>39.47</v>
      </c>
      <c r="CT62" s="2">
        <f t="shared" si="86"/>
        <v>1128.3599999999999</v>
      </c>
      <c r="CU62" s="2">
        <f t="shared" si="87"/>
        <v>0</v>
      </c>
      <c r="CV62" s="2">
        <f t="shared" si="88"/>
        <v>118.65</v>
      </c>
      <c r="CW62" s="2">
        <f t="shared" si="89"/>
        <v>3.62</v>
      </c>
      <c r="CX62" s="2">
        <f t="shared" si="90"/>
        <v>0</v>
      </c>
      <c r="CY62" s="2">
        <f t="shared" si="91"/>
        <v>264.44639999999998</v>
      </c>
      <c r="CZ62" s="2">
        <f t="shared" si="92"/>
        <v>152.4736</v>
      </c>
      <c r="DA62" s="2"/>
      <c r="DB62" s="2"/>
      <c r="DC62" s="2" t="s">
        <v>224</v>
      </c>
      <c r="DD62" s="2" t="s">
        <v>224</v>
      </c>
      <c r="DE62" s="2" t="s">
        <v>224</v>
      </c>
      <c r="DF62" s="2" t="s">
        <v>224</v>
      </c>
      <c r="DG62" s="2" t="s">
        <v>224</v>
      </c>
      <c r="DH62" s="2" t="s">
        <v>224</v>
      </c>
      <c r="DI62" s="2" t="s">
        <v>224</v>
      </c>
      <c r="DJ62" s="2" t="s">
        <v>224</v>
      </c>
      <c r="DK62" s="2" t="s">
        <v>224</v>
      </c>
      <c r="DL62" s="2" t="s">
        <v>224</v>
      </c>
      <c r="DM62" s="2" t="s">
        <v>224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237</v>
      </c>
      <c r="DW62" s="2" t="s">
        <v>237</v>
      </c>
      <c r="DX62" s="2">
        <v>100</v>
      </c>
      <c r="DY62" s="2"/>
      <c r="DZ62" s="2"/>
      <c r="EA62" s="2"/>
      <c r="EB62" s="2"/>
      <c r="EC62" s="2"/>
      <c r="ED62" s="2"/>
      <c r="EE62" s="2">
        <v>15139101</v>
      </c>
      <c r="EF62" s="2">
        <v>2</v>
      </c>
      <c r="EG62" s="2" t="s">
        <v>233</v>
      </c>
      <c r="EH62" s="2">
        <v>0</v>
      </c>
      <c r="EI62" s="2" t="s">
        <v>224</v>
      </c>
      <c r="EJ62" s="2">
        <v>1</v>
      </c>
      <c r="EK62" s="2">
        <v>11001</v>
      </c>
      <c r="EL62" s="2" t="s">
        <v>251</v>
      </c>
      <c r="EM62" s="2" t="s">
        <v>331</v>
      </c>
      <c r="EN62" s="2"/>
      <c r="EO62" s="2" t="s">
        <v>224</v>
      </c>
      <c r="EP62" s="2"/>
      <c r="EQ62" s="2">
        <v>0</v>
      </c>
      <c r="ER62" s="2">
        <v>7732.47</v>
      </c>
      <c r="ES62" s="2">
        <v>6367.21</v>
      </c>
      <c r="ET62" s="2">
        <v>236.9</v>
      </c>
      <c r="EU62" s="2">
        <v>39.47</v>
      </c>
      <c r="EV62" s="2">
        <v>1128.3599999999999</v>
      </c>
      <c r="EW62" s="2">
        <v>118.65</v>
      </c>
      <c r="EX62" s="2">
        <v>3.62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3"/>
        <v>0</v>
      </c>
      <c r="FS62" s="2">
        <v>0</v>
      </c>
      <c r="FT62" s="2" t="s">
        <v>244</v>
      </c>
      <c r="FU62" s="2" t="s">
        <v>245</v>
      </c>
      <c r="FV62" s="2"/>
      <c r="FW62" s="2"/>
      <c r="FX62" s="2">
        <v>110.7</v>
      </c>
      <c r="FY62" s="2">
        <v>63.75</v>
      </c>
      <c r="FZ62" s="2"/>
      <c r="GA62" s="2" t="s">
        <v>224</v>
      </c>
      <c r="GB62" s="2"/>
      <c r="GC62" s="2"/>
      <c r="GD62" s="2">
        <v>0</v>
      </c>
      <c r="GE62" s="2"/>
      <c r="GF62" s="2">
        <v>1939601118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4"/>
        <v>0</v>
      </c>
      <c r="GM62" s="2">
        <f t="shared" si="95"/>
        <v>1994.35</v>
      </c>
      <c r="GN62" s="2">
        <f t="shared" si="96"/>
        <v>1994.35</v>
      </c>
      <c r="GO62" s="2">
        <f t="shared" si="97"/>
        <v>0</v>
      </c>
      <c r="GP62" s="2">
        <f t="shared" si="98"/>
        <v>0</v>
      </c>
      <c r="GQ62" s="2"/>
      <c r="GR62" s="2">
        <v>0</v>
      </c>
      <c r="GS62" s="2">
        <v>3</v>
      </c>
      <c r="GT62" s="2">
        <v>0</v>
      </c>
      <c r="GU62" s="2" t="s">
        <v>224</v>
      </c>
      <c r="GV62" s="2">
        <f t="shared" si="99"/>
        <v>0</v>
      </c>
      <c r="GW62" s="2">
        <v>1</v>
      </c>
      <c r="GX62" s="2">
        <f t="shared" si="100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ROW(SmtRes!A184)</f>
        <v>184</v>
      </c>
      <c r="D63">
        <f>ROW(EtalonRes!A204)</f>
        <v>204</v>
      </c>
      <c r="E63" t="s">
        <v>327</v>
      </c>
      <c r="F63" t="s">
        <v>328</v>
      </c>
      <c r="G63" t="s">
        <v>329</v>
      </c>
      <c r="H63" t="s">
        <v>237</v>
      </c>
      <c r="I63">
        <f>ROUND(20.4/100,9)</f>
        <v>0.20399999999999999</v>
      </c>
      <c r="J63">
        <v>0</v>
      </c>
      <c r="O63">
        <f t="shared" si="68"/>
        <v>9590.74</v>
      </c>
      <c r="P63">
        <f t="shared" si="69"/>
        <v>7897.38</v>
      </c>
      <c r="Q63">
        <f t="shared" si="70"/>
        <v>293.83</v>
      </c>
      <c r="R63">
        <f t="shared" si="71"/>
        <v>48.96</v>
      </c>
      <c r="S63">
        <f t="shared" si="72"/>
        <v>1399.53</v>
      </c>
      <c r="T63">
        <f t="shared" si="73"/>
        <v>0</v>
      </c>
      <c r="U63">
        <f t="shared" si="74"/>
        <v>24.204599999999999</v>
      </c>
      <c r="V63">
        <f t="shared" si="75"/>
        <v>0.73848000000000003</v>
      </c>
      <c r="W63">
        <f t="shared" si="76"/>
        <v>0</v>
      </c>
      <c r="X63">
        <f t="shared" si="77"/>
        <v>1607.82</v>
      </c>
      <c r="Y63">
        <f t="shared" si="78"/>
        <v>927.03</v>
      </c>
      <c r="AA63">
        <v>16499878</v>
      </c>
      <c r="AB63">
        <f t="shared" si="79"/>
        <v>7732.47</v>
      </c>
      <c r="AC63">
        <f t="shared" si="62"/>
        <v>6367.21</v>
      </c>
      <c r="AD63">
        <f t="shared" si="65"/>
        <v>236.9</v>
      </c>
      <c r="AE63">
        <f t="shared" si="66"/>
        <v>39.47</v>
      </c>
      <c r="AF63">
        <f t="shared" si="66"/>
        <v>1128.3599999999999</v>
      </c>
      <c r="AG63">
        <f t="shared" si="80"/>
        <v>0</v>
      </c>
      <c r="AH63">
        <f t="shared" si="67"/>
        <v>118.65</v>
      </c>
      <c r="AI63">
        <f t="shared" si="67"/>
        <v>3.62</v>
      </c>
      <c r="AJ63">
        <f t="shared" si="81"/>
        <v>0</v>
      </c>
      <c r="AK63">
        <v>7732.47</v>
      </c>
      <c r="AL63">
        <v>6367.21</v>
      </c>
      <c r="AM63">
        <v>236.9</v>
      </c>
      <c r="AN63">
        <v>39.47</v>
      </c>
      <c r="AO63">
        <v>1128.3599999999999</v>
      </c>
      <c r="AP63">
        <v>0</v>
      </c>
      <c r="AQ63">
        <v>118.65</v>
      </c>
      <c r="AR63">
        <v>3.62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6.08</v>
      </c>
      <c r="BA63">
        <v>6.08</v>
      </c>
      <c r="BB63">
        <v>6.08</v>
      </c>
      <c r="BC63">
        <v>6.08</v>
      </c>
      <c r="BD63" t="s">
        <v>224</v>
      </c>
      <c r="BE63" t="s">
        <v>224</v>
      </c>
      <c r="BF63" t="s">
        <v>224</v>
      </c>
      <c r="BG63" t="s">
        <v>224</v>
      </c>
      <c r="BH63">
        <v>0</v>
      </c>
      <c r="BI63">
        <v>1</v>
      </c>
      <c r="BJ63" t="s">
        <v>330</v>
      </c>
      <c r="BM63">
        <v>11001</v>
      </c>
      <c r="BN63">
        <v>0</v>
      </c>
      <c r="BO63" t="s">
        <v>224</v>
      </c>
      <c r="BP63">
        <v>0</v>
      </c>
      <c r="BQ63">
        <v>2</v>
      </c>
      <c r="BR63">
        <v>0</v>
      </c>
      <c r="BS63">
        <v>6.08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224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224</v>
      </c>
      <c r="CO63">
        <v>0</v>
      </c>
      <c r="CP63">
        <f t="shared" si="82"/>
        <v>9590.74</v>
      </c>
      <c r="CQ63">
        <f t="shared" si="83"/>
        <v>38712.6368</v>
      </c>
      <c r="CR63">
        <f t="shared" si="84"/>
        <v>1440.3520000000001</v>
      </c>
      <c r="CS63">
        <f t="shared" si="85"/>
        <v>239.9776</v>
      </c>
      <c r="CT63">
        <f t="shared" si="86"/>
        <v>6860.4287999999997</v>
      </c>
      <c r="CU63">
        <f t="shared" si="87"/>
        <v>0</v>
      </c>
      <c r="CV63">
        <f t="shared" si="88"/>
        <v>118.65</v>
      </c>
      <c r="CW63">
        <f t="shared" si="89"/>
        <v>3.62</v>
      </c>
      <c r="CX63">
        <f t="shared" si="90"/>
        <v>0</v>
      </c>
      <c r="CY63">
        <f t="shared" si="91"/>
        <v>1607.8239000000001</v>
      </c>
      <c r="CZ63">
        <f t="shared" si="92"/>
        <v>927.03359999999998</v>
      </c>
      <c r="DC63" t="s">
        <v>224</v>
      </c>
      <c r="DD63" t="s">
        <v>224</v>
      </c>
      <c r="DE63" t="s">
        <v>224</v>
      </c>
      <c r="DF63" t="s">
        <v>224</v>
      </c>
      <c r="DG63" t="s">
        <v>224</v>
      </c>
      <c r="DH63" t="s">
        <v>224</v>
      </c>
      <c r="DI63" t="s">
        <v>224</v>
      </c>
      <c r="DJ63" t="s">
        <v>224</v>
      </c>
      <c r="DK63" t="s">
        <v>224</v>
      </c>
      <c r="DL63" t="s">
        <v>224</v>
      </c>
      <c r="DM63" t="s">
        <v>224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237</v>
      </c>
      <c r="DW63" t="s">
        <v>237</v>
      </c>
      <c r="DX63">
        <v>100</v>
      </c>
      <c r="EE63">
        <v>15139101</v>
      </c>
      <c r="EF63">
        <v>2</v>
      </c>
      <c r="EG63" t="s">
        <v>233</v>
      </c>
      <c r="EH63">
        <v>0</v>
      </c>
      <c r="EI63" t="s">
        <v>224</v>
      </c>
      <c r="EJ63">
        <v>1</v>
      </c>
      <c r="EK63">
        <v>11001</v>
      </c>
      <c r="EL63" t="s">
        <v>251</v>
      </c>
      <c r="EM63" t="s">
        <v>331</v>
      </c>
      <c r="EO63" t="s">
        <v>224</v>
      </c>
      <c r="EQ63">
        <v>0</v>
      </c>
      <c r="ER63">
        <v>7732.47</v>
      </c>
      <c r="ES63">
        <v>6367.21</v>
      </c>
      <c r="ET63">
        <v>236.9</v>
      </c>
      <c r="EU63">
        <v>39.47</v>
      </c>
      <c r="EV63">
        <v>1128.3599999999999</v>
      </c>
      <c r="EW63">
        <v>118.65</v>
      </c>
      <c r="EX63">
        <v>3.62</v>
      </c>
      <c r="EY63">
        <v>0</v>
      </c>
      <c r="FQ63">
        <v>0</v>
      </c>
      <c r="FR63">
        <f t="shared" si="93"/>
        <v>0</v>
      </c>
      <c r="FS63">
        <v>0</v>
      </c>
      <c r="FT63" t="s">
        <v>244</v>
      </c>
      <c r="FU63" t="s">
        <v>245</v>
      </c>
      <c r="FX63">
        <v>110.7</v>
      </c>
      <c r="FY63">
        <v>63.75</v>
      </c>
      <c r="GA63" t="s">
        <v>224</v>
      </c>
      <c r="GD63">
        <v>0</v>
      </c>
      <c r="GF63">
        <v>1939601118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4"/>
        <v>0</v>
      </c>
      <c r="GM63">
        <f t="shared" si="95"/>
        <v>12125.59</v>
      </c>
      <c r="GN63">
        <f t="shared" si="96"/>
        <v>12125.59</v>
      </c>
      <c r="GO63">
        <f t="shared" si="97"/>
        <v>0</v>
      </c>
      <c r="GP63">
        <f t="shared" si="98"/>
        <v>0</v>
      </c>
      <c r="GR63">
        <v>0</v>
      </c>
      <c r="GS63">
        <v>3</v>
      </c>
      <c r="GT63">
        <v>0</v>
      </c>
      <c r="GU63" t="s">
        <v>224</v>
      </c>
      <c r="GV63">
        <f t="shared" si="99"/>
        <v>0</v>
      </c>
      <c r="GW63">
        <v>1</v>
      </c>
      <c r="GX63">
        <f t="shared" si="100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ROW(SmtRes!A191)</f>
        <v>191</v>
      </c>
      <c r="D64" s="2">
        <f>ROW(EtalonRes!A211)</f>
        <v>211</v>
      </c>
      <c r="E64" s="2" t="s">
        <v>332</v>
      </c>
      <c r="F64" s="2" t="s">
        <v>333</v>
      </c>
      <c r="G64" s="2" t="s">
        <v>334</v>
      </c>
      <c r="H64" s="2" t="s">
        <v>237</v>
      </c>
      <c r="I64" s="2">
        <f>ROUND(20.4/100,9)</f>
        <v>0.20399999999999999</v>
      </c>
      <c r="J64" s="2">
        <v>0</v>
      </c>
      <c r="K64" s="2"/>
      <c r="L64" s="2"/>
      <c r="M64" s="2"/>
      <c r="N64" s="2"/>
      <c r="O64" s="2">
        <f t="shared" si="68"/>
        <v>76.59</v>
      </c>
      <c r="P64" s="2">
        <f t="shared" si="69"/>
        <v>0</v>
      </c>
      <c r="Q64" s="2">
        <f t="shared" si="70"/>
        <v>15.35</v>
      </c>
      <c r="R64" s="2">
        <f t="shared" si="71"/>
        <v>2.59</v>
      </c>
      <c r="S64" s="2">
        <f t="shared" si="72"/>
        <v>61.24</v>
      </c>
      <c r="T64" s="2">
        <f t="shared" si="73"/>
        <v>0</v>
      </c>
      <c r="U64" s="2">
        <f t="shared" si="74"/>
        <v>7.3687859999999992</v>
      </c>
      <c r="V64" s="2">
        <f t="shared" si="75"/>
        <v>0.20909999999999998</v>
      </c>
      <c r="W64" s="2">
        <f t="shared" si="76"/>
        <v>0</v>
      </c>
      <c r="X64" s="2">
        <f t="shared" si="77"/>
        <v>70.849999999999994</v>
      </c>
      <c r="Y64" s="2">
        <f t="shared" si="78"/>
        <v>40.85</v>
      </c>
      <c r="Z64" s="2"/>
      <c r="AA64" s="2">
        <v>16499835</v>
      </c>
      <c r="AB64" s="2">
        <f t="shared" si="79"/>
        <v>375.41050000000001</v>
      </c>
      <c r="AC64" s="2">
        <f t="shared" si="62"/>
        <v>0</v>
      </c>
      <c r="AD64" s="2">
        <f>ROUND(((((ET64*1.25))-((EU64*1.25)))+AE64),6)</f>
        <v>75.237499999999997</v>
      </c>
      <c r="AE64" s="2">
        <f>ROUND(((EU64*1.25)),6)</f>
        <v>12.7</v>
      </c>
      <c r="AF64" s="2">
        <f>ROUND(((EV64*1.15)),6)</f>
        <v>300.173</v>
      </c>
      <c r="AG64" s="2">
        <f t="shared" si="80"/>
        <v>0</v>
      </c>
      <c r="AH64" s="2">
        <f>((EW64*1.15))</f>
        <v>36.121499999999997</v>
      </c>
      <c r="AI64" s="2">
        <f>((EX64*1.25))</f>
        <v>1.0249999999999999</v>
      </c>
      <c r="AJ64" s="2">
        <f t="shared" si="81"/>
        <v>0</v>
      </c>
      <c r="AK64" s="2">
        <v>321.20999999999998</v>
      </c>
      <c r="AL64" s="2">
        <v>0</v>
      </c>
      <c r="AM64" s="2">
        <v>60.19</v>
      </c>
      <c r="AN64" s="2">
        <v>10.16</v>
      </c>
      <c r="AO64" s="2">
        <v>261.02</v>
      </c>
      <c r="AP64" s="2">
        <v>0</v>
      </c>
      <c r="AQ64" s="2">
        <v>31.41</v>
      </c>
      <c r="AR64" s="2">
        <v>0.82</v>
      </c>
      <c r="AS64" s="2">
        <v>0</v>
      </c>
      <c r="AT64" s="2">
        <v>111</v>
      </c>
      <c r="AU64" s="2">
        <v>64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224</v>
      </c>
      <c r="BE64" s="2" t="s">
        <v>224</v>
      </c>
      <c r="BF64" s="2" t="s">
        <v>224</v>
      </c>
      <c r="BG64" s="2" t="s">
        <v>224</v>
      </c>
      <c r="BH64" s="2">
        <v>0</v>
      </c>
      <c r="BI64" s="2">
        <v>1</v>
      </c>
      <c r="BJ64" s="2" t="s">
        <v>335</v>
      </c>
      <c r="BK64" s="2"/>
      <c r="BL64" s="2"/>
      <c r="BM64" s="2">
        <v>11001</v>
      </c>
      <c r="BN64" s="2">
        <v>0</v>
      </c>
      <c r="BO64" s="2" t="s">
        <v>224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224</v>
      </c>
      <c r="BZ64" s="2">
        <v>123</v>
      </c>
      <c r="CA64" s="2">
        <v>75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123</v>
      </c>
      <c r="CO64" s="2">
        <v>0</v>
      </c>
      <c r="CP64" s="2">
        <f t="shared" si="82"/>
        <v>76.59</v>
      </c>
      <c r="CQ64" s="2">
        <f t="shared" si="83"/>
        <v>0</v>
      </c>
      <c r="CR64" s="2">
        <f t="shared" si="84"/>
        <v>75.237499999999997</v>
      </c>
      <c r="CS64" s="2">
        <f t="shared" si="85"/>
        <v>12.7</v>
      </c>
      <c r="CT64" s="2">
        <f t="shared" si="86"/>
        <v>300.173</v>
      </c>
      <c r="CU64" s="2">
        <f t="shared" si="87"/>
        <v>0</v>
      </c>
      <c r="CV64" s="2">
        <f t="shared" si="88"/>
        <v>36.121499999999997</v>
      </c>
      <c r="CW64" s="2">
        <f t="shared" si="89"/>
        <v>1.0249999999999999</v>
      </c>
      <c r="CX64" s="2">
        <f t="shared" si="90"/>
        <v>0</v>
      </c>
      <c r="CY64" s="2">
        <f t="shared" si="91"/>
        <v>70.851299999999995</v>
      </c>
      <c r="CZ64" s="2">
        <f t="shared" si="92"/>
        <v>40.851199999999999</v>
      </c>
      <c r="DA64" s="2"/>
      <c r="DB64" s="2"/>
      <c r="DC64" s="2" t="s">
        <v>224</v>
      </c>
      <c r="DD64" s="2" t="s">
        <v>224</v>
      </c>
      <c r="DE64" s="2" t="s">
        <v>239</v>
      </c>
      <c r="DF64" s="2" t="s">
        <v>239</v>
      </c>
      <c r="DG64" s="2" t="s">
        <v>240</v>
      </c>
      <c r="DH64" s="2" t="s">
        <v>224</v>
      </c>
      <c r="DI64" s="2" t="s">
        <v>240</v>
      </c>
      <c r="DJ64" s="2" t="s">
        <v>239</v>
      </c>
      <c r="DK64" s="2" t="s">
        <v>224</v>
      </c>
      <c r="DL64" s="2" t="s">
        <v>224</v>
      </c>
      <c r="DM64" s="2" t="s">
        <v>224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237</v>
      </c>
      <c r="DW64" s="2" t="s">
        <v>237</v>
      </c>
      <c r="DX64" s="2">
        <v>100</v>
      </c>
      <c r="DY64" s="2"/>
      <c r="DZ64" s="2"/>
      <c r="EA64" s="2"/>
      <c r="EB64" s="2"/>
      <c r="EC64" s="2"/>
      <c r="ED64" s="2"/>
      <c r="EE64" s="2">
        <v>15139101</v>
      </c>
      <c r="EF64" s="2">
        <v>2</v>
      </c>
      <c r="EG64" s="2" t="s">
        <v>233</v>
      </c>
      <c r="EH64" s="2">
        <v>0</v>
      </c>
      <c r="EI64" s="2" t="s">
        <v>224</v>
      </c>
      <c r="EJ64" s="2">
        <v>1</v>
      </c>
      <c r="EK64" s="2">
        <v>11001</v>
      </c>
      <c r="EL64" s="2" t="s">
        <v>251</v>
      </c>
      <c r="EM64" s="2" t="s">
        <v>331</v>
      </c>
      <c r="EN64" s="2"/>
      <c r="EO64" s="2" t="s">
        <v>243</v>
      </c>
      <c r="EP64" s="2"/>
      <c r="EQ64" s="2">
        <v>0</v>
      </c>
      <c r="ER64" s="2">
        <v>321.20999999999998</v>
      </c>
      <c r="ES64" s="2">
        <v>0</v>
      </c>
      <c r="ET64" s="2">
        <v>60.19</v>
      </c>
      <c r="EU64" s="2">
        <v>10.16</v>
      </c>
      <c r="EV64" s="2">
        <v>261.02</v>
      </c>
      <c r="EW64" s="2">
        <v>31.41</v>
      </c>
      <c r="EX64" s="2">
        <v>0.82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3"/>
        <v>0</v>
      </c>
      <c r="FS64" s="2">
        <v>0</v>
      </c>
      <c r="FT64" s="2" t="s">
        <v>244</v>
      </c>
      <c r="FU64" s="2" t="s">
        <v>245</v>
      </c>
      <c r="FV64" s="2"/>
      <c r="FW64" s="2"/>
      <c r="FX64" s="2">
        <v>110.7</v>
      </c>
      <c r="FY64" s="2">
        <v>63.75</v>
      </c>
      <c r="FZ64" s="2"/>
      <c r="GA64" s="2" t="s">
        <v>224</v>
      </c>
      <c r="GB64" s="2"/>
      <c r="GC64" s="2"/>
      <c r="GD64" s="2">
        <v>0</v>
      </c>
      <c r="GE64" s="2"/>
      <c r="GF64" s="2">
        <v>1445910452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4"/>
        <v>0</v>
      </c>
      <c r="GM64" s="2">
        <f t="shared" si="95"/>
        <v>188.29</v>
      </c>
      <c r="GN64" s="2">
        <f t="shared" si="96"/>
        <v>188.29</v>
      </c>
      <c r="GO64" s="2">
        <f t="shared" si="97"/>
        <v>0</v>
      </c>
      <c r="GP64" s="2">
        <f t="shared" si="98"/>
        <v>0</v>
      </c>
      <c r="GQ64" s="2"/>
      <c r="GR64" s="2">
        <v>0</v>
      </c>
      <c r="GS64" s="2">
        <v>3</v>
      </c>
      <c r="GT64" s="2">
        <v>0</v>
      </c>
      <c r="GU64" s="2" t="s">
        <v>224</v>
      </c>
      <c r="GV64" s="2">
        <f t="shared" si="99"/>
        <v>0</v>
      </c>
      <c r="GW64" s="2">
        <v>1</v>
      </c>
      <c r="GX64" s="2">
        <f t="shared" si="100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ROW(SmtRes!A198)</f>
        <v>198</v>
      </c>
      <c r="D65">
        <f>ROW(EtalonRes!A218)</f>
        <v>218</v>
      </c>
      <c r="E65" t="s">
        <v>332</v>
      </c>
      <c r="F65" t="s">
        <v>333</v>
      </c>
      <c r="G65" t="s">
        <v>334</v>
      </c>
      <c r="H65" t="s">
        <v>237</v>
      </c>
      <c r="I65">
        <f>ROUND(20.4/100,9)</f>
        <v>0.20399999999999999</v>
      </c>
      <c r="J65">
        <v>0</v>
      </c>
      <c r="O65">
        <f t="shared" si="68"/>
        <v>465.63</v>
      </c>
      <c r="P65">
        <f t="shared" si="69"/>
        <v>0</v>
      </c>
      <c r="Q65">
        <f t="shared" si="70"/>
        <v>93.32</v>
      </c>
      <c r="R65">
        <f t="shared" si="71"/>
        <v>15.75</v>
      </c>
      <c r="S65">
        <f t="shared" si="72"/>
        <v>372.31</v>
      </c>
      <c r="T65">
        <f t="shared" si="73"/>
        <v>0</v>
      </c>
      <c r="U65">
        <f t="shared" si="74"/>
        <v>7.3687859999999992</v>
      </c>
      <c r="V65">
        <f t="shared" si="75"/>
        <v>0.20909999999999998</v>
      </c>
      <c r="W65">
        <f t="shared" si="76"/>
        <v>0</v>
      </c>
      <c r="X65">
        <f t="shared" si="77"/>
        <v>430.75</v>
      </c>
      <c r="Y65">
        <f t="shared" si="78"/>
        <v>248.36</v>
      </c>
      <c r="AA65">
        <v>16499878</v>
      </c>
      <c r="AB65">
        <f t="shared" si="79"/>
        <v>375.41050000000001</v>
      </c>
      <c r="AC65">
        <f t="shared" si="62"/>
        <v>0</v>
      </c>
      <c r="AD65">
        <f>ROUND(((((ET65*1.25))-((EU65*1.25)))+AE65),6)</f>
        <v>75.237499999999997</v>
      </c>
      <c r="AE65">
        <f>ROUND(((EU65*1.25)),6)</f>
        <v>12.7</v>
      </c>
      <c r="AF65">
        <f>ROUND(((EV65*1.15)),6)</f>
        <v>300.173</v>
      </c>
      <c r="AG65">
        <f t="shared" si="80"/>
        <v>0</v>
      </c>
      <c r="AH65">
        <f>((EW65*1.15))</f>
        <v>36.121499999999997</v>
      </c>
      <c r="AI65">
        <f>((EX65*1.25))</f>
        <v>1.0249999999999999</v>
      </c>
      <c r="AJ65">
        <f t="shared" si="81"/>
        <v>0</v>
      </c>
      <c r="AK65">
        <v>321.20999999999998</v>
      </c>
      <c r="AL65">
        <v>0</v>
      </c>
      <c r="AM65">
        <v>60.19</v>
      </c>
      <c r="AN65">
        <v>10.16</v>
      </c>
      <c r="AO65">
        <v>261.02</v>
      </c>
      <c r="AP65">
        <v>0</v>
      </c>
      <c r="AQ65">
        <v>31.41</v>
      </c>
      <c r="AR65">
        <v>0.82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6.08</v>
      </c>
      <c r="BA65">
        <v>6.08</v>
      </c>
      <c r="BB65">
        <v>6.08</v>
      </c>
      <c r="BC65">
        <v>6.08</v>
      </c>
      <c r="BD65" t="s">
        <v>224</v>
      </c>
      <c r="BE65" t="s">
        <v>224</v>
      </c>
      <c r="BF65" t="s">
        <v>224</v>
      </c>
      <c r="BG65" t="s">
        <v>224</v>
      </c>
      <c r="BH65">
        <v>0</v>
      </c>
      <c r="BI65">
        <v>1</v>
      </c>
      <c r="BJ65" t="s">
        <v>335</v>
      </c>
      <c r="BM65">
        <v>11001</v>
      </c>
      <c r="BN65">
        <v>0</v>
      </c>
      <c r="BO65" t="s">
        <v>224</v>
      </c>
      <c r="BP65">
        <v>0</v>
      </c>
      <c r="BQ65">
        <v>2</v>
      </c>
      <c r="BR65">
        <v>0</v>
      </c>
      <c r="BS65">
        <v>6.08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224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123</v>
      </c>
      <c r="CO65">
        <v>0</v>
      </c>
      <c r="CP65">
        <f t="shared" si="82"/>
        <v>465.63</v>
      </c>
      <c r="CQ65">
        <f t="shared" si="83"/>
        <v>0</v>
      </c>
      <c r="CR65">
        <f t="shared" si="84"/>
        <v>457.44399999999996</v>
      </c>
      <c r="CS65">
        <f t="shared" si="85"/>
        <v>77.215999999999994</v>
      </c>
      <c r="CT65">
        <f t="shared" si="86"/>
        <v>1825.0518400000001</v>
      </c>
      <c r="CU65">
        <f t="shared" si="87"/>
        <v>0</v>
      </c>
      <c r="CV65">
        <f t="shared" si="88"/>
        <v>36.121499999999997</v>
      </c>
      <c r="CW65">
        <f t="shared" si="89"/>
        <v>1.0249999999999999</v>
      </c>
      <c r="CX65">
        <f t="shared" si="90"/>
        <v>0</v>
      </c>
      <c r="CY65">
        <f t="shared" si="91"/>
        <v>430.74660000000006</v>
      </c>
      <c r="CZ65">
        <f t="shared" si="92"/>
        <v>248.35839999999999</v>
      </c>
      <c r="DC65" t="s">
        <v>224</v>
      </c>
      <c r="DD65" t="s">
        <v>224</v>
      </c>
      <c r="DE65" t="s">
        <v>239</v>
      </c>
      <c r="DF65" t="s">
        <v>239</v>
      </c>
      <c r="DG65" t="s">
        <v>240</v>
      </c>
      <c r="DH65" t="s">
        <v>224</v>
      </c>
      <c r="DI65" t="s">
        <v>240</v>
      </c>
      <c r="DJ65" t="s">
        <v>239</v>
      </c>
      <c r="DK65" t="s">
        <v>224</v>
      </c>
      <c r="DL65" t="s">
        <v>224</v>
      </c>
      <c r="DM65" t="s">
        <v>224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237</v>
      </c>
      <c r="DW65" t="s">
        <v>237</v>
      </c>
      <c r="DX65">
        <v>100</v>
      </c>
      <c r="EE65">
        <v>15139101</v>
      </c>
      <c r="EF65">
        <v>2</v>
      </c>
      <c r="EG65" t="s">
        <v>233</v>
      </c>
      <c r="EH65">
        <v>0</v>
      </c>
      <c r="EI65" t="s">
        <v>224</v>
      </c>
      <c r="EJ65">
        <v>1</v>
      </c>
      <c r="EK65">
        <v>11001</v>
      </c>
      <c r="EL65" t="s">
        <v>251</v>
      </c>
      <c r="EM65" t="s">
        <v>331</v>
      </c>
      <c r="EO65" t="s">
        <v>243</v>
      </c>
      <c r="EQ65">
        <v>0</v>
      </c>
      <c r="ER65">
        <v>321.20999999999998</v>
      </c>
      <c r="ES65">
        <v>0</v>
      </c>
      <c r="ET65">
        <v>60.19</v>
      </c>
      <c r="EU65">
        <v>10.16</v>
      </c>
      <c r="EV65">
        <v>261.02</v>
      </c>
      <c r="EW65">
        <v>31.41</v>
      </c>
      <c r="EX65">
        <v>0.82</v>
      </c>
      <c r="EY65">
        <v>0</v>
      </c>
      <c r="FQ65">
        <v>0</v>
      </c>
      <c r="FR65">
        <f t="shared" si="93"/>
        <v>0</v>
      </c>
      <c r="FS65">
        <v>0</v>
      </c>
      <c r="FT65" t="s">
        <v>244</v>
      </c>
      <c r="FU65" t="s">
        <v>245</v>
      </c>
      <c r="FX65">
        <v>110.7</v>
      </c>
      <c r="FY65">
        <v>63.75</v>
      </c>
      <c r="GA65" t="s">
        <v>224</v>
      </c>
      <c r="GD65">
        <v>0</v>
      </c>
      <c r="GF65">
        <v>1445910452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4"/>
        <v>0</v>
      </c>
      <c r="GM65">
        <f t="shared" si="95"/>
        <v>1144.74</v>
      </c>
      <c r="GN65">
        <f t="shared" si="96"/>
        <v>1144.74</v>
      </c>
      <c r="GO65">
        <f t="shared" si="97"/>
        <v>0</v>
      </c>
      <c r="GP65">
        <f t="shared" si="98"/>
        <v>0</v>
      </c>
      <c r="GR65">
        <v>0</v>
      </c>
      <c r="GS65">
        <v>3</v>
      </c>
      <c r="GT65">
        <v>0</v>
      </c>
      <c r="GU65" t="s">
        <v>224</v>
      </c>
      <c r="GV65">
        <f t="shared" si="99"/>
        <v>0</v>
      </c>
      <c r="GW65">
        <v>1</v>
      </c>
      <c r="GX65">
        <f t="shared" si="100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190</v>
      </c>
      <c r="D66" s="2"/>
      <c r="E66" s="2" t="s">
        <v>336</v>
      </c>
      <c r="F66" s="2" t="s">
        <v>337</v>
      </c>
      <c r="G66" s="2" t="s">
        <v>338</v>
      </c>
      <c r="H66" s="2" t="s">
        <v>277</v>
      </c>
      <c r="I66" s="2">
        <f>I64*J66</f>
        <v>20.808</v>
      </c>
      <c r="J66" s="2">
        <v>102</v>
      </c>
      <c r="K66" s="2"/>
      <c r="L66" s="2"/>
      <c r="M66" s="2"/>
      <c r="N66" s="2"/>
      <c r="O66" s="2">
        <f t="shared" si="68"/>
        <v>2951.61</v>
      </c>
      <c r="P66" s="2">
        <f t="shared" si="69"/>
        <v>2951.61</v>
      </c>
      <c r="Q66" s="2">
        <f t="shared" si="70"/>
        <v>0</v>
      </c>
      <c r="R66" s="2">
        <f t="shared" si="71"/>
        <v>0</v>
      </c>
      <c r="S66" s="2">
        <f t="shared" si="72"/>
        <v>0</v>
      </c>
      <c r="T66" s="2">
        <f t="shared" si="73"/>
        <v>0</v>
      </c>
      <c r="U66" s="2">
        <f t="shared" si="74"/>
        <v>0</v>
      </c>
      <c r="V66" s="2">
        <f t="shared" si="75"/>
        <v>0</v>
      </c>
      <c r="W66" s="2">
        <f t="shared" si="76"/>
        <v>0</v>
      </c>
      <c r="X66" s="2">
        <f t="shared" si="77"/>
        <v>0</v>
      </c>
      <c r="Y66" s="2">
        <f t="shared" si="78"/>
        <v>0</v>
      </c>
      <c r="Z66" s="2"/>
      <c r="AA66" s="2">
        <v>16499835</v>
      </c>
      <c r="AB66" s="2">
        <f t="shared" si="79"/>
        <v>141.85</v>
      </c>
      <c r="AC66" s="2">
        <f t="shared" si="62"/>
        <v>141.85</v>
      </c>
      <c r="AD66" s="2">
        <f>ROUND((((ET66)-(EU66))+AE66),6)</f>
        <v>0</v>
      </c>
      <c r="AE66" s="2">
        <f t="shared" ref="AE66:AF69" si="101">ROUND((EU66),6)</f>
        <v>0</v>
      </c>
      <c r="AF66" s="2">
        <f t="shared" si="101"/>
        <v>0</v>
      </c>
      <c r="AG66" s="2">
        <f t="shared" si="80"/>
        <v>0</v>
      </c>
      <c r="AH66" s="2">
        <f t="shared" ref="AH66:AI69" si="102">(EW66)</f>
        <v>0</v>
      </c>
      <c r="AI66" s="2">
        <f t="shared" si="102"/>
        <v>0</v>
      </c>
      <c r="AJ66" s="2">
        <f t="shared" si="81"/>
        <v>0</v>
      </c>
      <c r="AK66" s="2">
        <v>141.85</v>
      </c>
      <c r="AL66" s="2">
        <v>141.85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111</v>
      </c>
      <c r="AU66" s="2">
        <v>64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224</v>
      </c>
      <c r="BE66" s="2" t="s">
        <v>224</v>
      </c>
      <c r="BF66" s="2" t="s">
        <v>224</v>
      </c>
      <c r="BG66" s="2" t="s">
        <v>224</v>
      </c>
      <c r="BH66" s="2">
        <v>3</v>
      </c>
      <c r="BI66" s="2">
        <v>1</v>
      </c>
      <c r="BJ66" s="2" t="s">
        <v>339</v>
      </c>
      <c r="BK66" s="2"/>
      <c r="BL66" s="2"/>
      <c r="BM66" s="2">
        <v>11001</v>
      </c>
      <c r="BN66" s="2">
        <v>0</v>
      </c>
      <c r="BO66" s="2" t="s">
        <v>224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224</v>
      </c>
      <c r="BZ66" s="2">
        <v>123</v>
      </c>
      <c r="CA66" s="2">
        <v>75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224</v>
      </c>
      <c r="CO66" s="2">
        <v>0</v>
      </c>
      <c r="CP66" s="2">
        <f t="shared" si="82"/>
        <v>2951.61</v>
      </c>
      <c r="CQ66" s="2">
        <f t="shared" si="83"/>
        <v>141.85</v>
      </c>
      <c r="CR66" s="2">
        <f t="shared" si="84"/>
        <v>0</v>
      </c>
      <c r="CS66" s="2">
        <f t="shared" si="85"/>
        <v>0</v>
      </c>
      <c r="CT66" s="2">
        <f t="shared" si="86"/>
        <v>0</v>
      </c>
      <c r="CU66" s="2">
        <f t="shared" si="87"/>
        <v>0</v>
      </c>
      <c r="CV66" s="2">
        <f t="shared" si="88"/>
        <v>0</v>
      </c>
      <c r="CW66" s="2">
        <f t="shared" si="89"/>
        <v>0</v>
      </c>
      <c r="CX66" s="2">
        <f t="shared" si="90"/>
        <v>0</v>
      </c>
      <c r="CY66" s="2">
        <f t="shared" si="91"/>
        <v>0</v>
      </c>
      <c r="CZ66" s="2">
        <f t="shared" si="92"/>
        <v>0</v>
      </c>
      <c r="DA66" s="2"/>
      <c r="DB66" s="2"/>
      <c r="DC66" s="2" t="s">
        <v>224</v>
      </c>
      <c r="DD66" s="2" t="s">
        <v>224</v>
      </c>
      <c r="DE66" s="2" t="s">
        <v>224</v>
      </c>
      <c r="DF66" s="2" t="s">
        <v>224</v>
      </c>
      <c r="DG66" s="2" t="s">
        <v>224</v>
      </c>
      <c r="DH66" s="2" t="s">
        <v>224</v>
      </c>
      <c r="DI66" s="2" t="s">
        <v>224</v>
      </c>
      <c r="DJ66" s="2" t="s">
        <v>224</v>
      </c>
      <c r="DK66" s="2" t="s">
        <v>224</v>
      </c>
      <c r="DL66" s="2" t="s">
        <v>224</v>
      </c>
      <c r="DM66" s="2" t="s">
        <v>224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277</v>
      </c>
      <c r="DW66" s="2" t="s">
        <v>277</v>
      </c>
      <c r="DX66" s="2">
        <v>1</v>
      </c>
      <c r="DY66" s="2"/>
      <c r="DZ66" s="2"/>
      <c r="EA66" s="2"/>
      <c r="EB66" s="2"/>
      <c r="EC66" s="2"/>
      <c r="ED66" s="2"/>
      <c r="EE66" s="2">
        <v>15139101</v>
      </c>
      <c r="EF66" s="2">
        <v>2</v>
      </c>
      <c r="EG66" s="2" t="s">
        <v>233</v>
      </c>
      <c r="EH66" s="2">
        <v>0</v>
      </c>
      <c r="EI66" s="2" t="s">
        <v>224</v>
      </c>
      <c r="EJ66" s="2">
        <v>1</v>
      </c>
      <c r="EK66" s="2">
        <v>11001</v>
      </c>
      <c r="EL66" s="2" t="s">
        <v>251</v>
      </c>
      <c r="EM66" s="2" t="s">
        <v>331</v>
      </c>
      <c r="EN66" s="2"/>
      <c r="EO66" s="2" t="s">
        <v>224</v>
      </c>
      <c r="EP66" s="2"/>
      <c r="EQ66" s="2">
        <v>0</v>
      </c>
      <c r="ER66" s="2">
        <v>141.85</v>
      </c>
      <c r="ES66" s="2">
        <v>141.85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3"/>
        <v>0</v>
      </c>
      <c r="FS66" s="2">
        <v>0</v>
      </c>
      <c r="FT66" s="2" t="s">
        <v>244</v>
      </c>
      <c r="FU66" s="2" t="s">
        <v>245</v>
      </c>
      <c r="FV66" s="2"/>
      <c r="FW66" s="2"/>
      <c r="FX66" s="2">
        <v>110.7</v>
      </c>
      <c r="FY66" s="2">
        <v>63.75</v>
      </c>
      <c r="FZ66" s="2"/>
      <c r="GA66" s="2" t="s">
        <v>224</v>
      </c>
      <c r="GB66" s="2"/>
      <c r="GC66" s="2"/>
      <c r="GD66" s="2">
        <v>0</v>
      </c>
      <c r="GE66" s="2"/>
      <c r="GF66" s="2">
        <v>1424450329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4"/>
        <v>0</v>
      </c>
      <c r="GM66" s="2">
        <f t="shared" si="95"/>
        <v>2951.61</v>
      </c>
      <c r="GN66" s="2">
        <f t="shared" si="96"/>
        <v>2951.61</v>
      </c>
      <c r="GO66" s="2">
        <f t="shared" si="97"/>
        <v>0</v>
      </c>
      <c r="GP66" s="2">
        <f t="shared" si="98"/>
        <v>0</v>
      </c>
      <c r="GQ66" s="2"/>
      <c r="GR66" s="2">
        <v>0</v>
      </c>
      <c r="GS66" s="2">
        <v>3</v>
      </c>
      <c r="GT66" s="2">
        <v>0</v>
      </c>
      <c r="GU66" s="2" t="s">
        <v>224</v>
      </c>
      <c r="GV66" s="2">
        <f t="shared" si="99"/>
        <v>0</v>
      </c>
      <c r="GW66" s="2">
        <v>1</v>
      </c>
      <c r="GX66" s="2">
        <f t="shared" si="100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197</v>
      </c>
      <c r="E67" t="s">
        <v>336</v>
      </c>
      <c r="F67" t="s">
        <v>337</v>
      </c>
      <c r="G67" t="s">
        <v>338</v>
      </c>
      <c r="H67" t="s">
        <v>277</v>
      </c>
      <c r="I67">
        <f>I65*J67</f>
        <v>20.808</v>
      </c>
      <c r="J67">
        <v>102</v>
      </c>
      <c r="O67">
        <f t="shared" si="68"/>
        <v>17945.82</v>
      </c>
      <c r="P67">
        <f t="shared" si="69"/>
        <v>17945.82</v>
      </c>
      <c r="Q67">
        <f t="shared" si="70"/>
        <v>0</v>
      </c>
      <c r="R67">
        <f t="shared" si="71"/>
        <v>0</v>
      </c>
      <c r="S67">
        <f t="shared" si="72"/>
        <v>0</v>
      </c>
      <c r="T67">
        <f t="shared" si="73"/>
        <v>0</v>
      </c>
      <c r="U67">
        <f t="shared" si="74"/>
        <v>0</v>
      </c>
      <c r="V67">
        <f t="shared" si="75"/>
        <v>0</v>
      </c>
      <c r="W67">
        <f t="shared" si="76"/>
        <v>0</v>
      </c>
      <c r="X67">
        <f t="shared" si="77"/>
        <v>0</v>
      </c>
      <c r="Y67">
        <f t="shared" si="78"/>
        <v>0</v>
      </c>
      <c r="AA67">
        <v>16499878</v>
      </c>
      <c r="AB67">
        <f t="shared" si="79"/>
        <v>141.85</v>
      </c>
      <c r="AC67">
        <f t="shared" si="62"/>
        <v>141.85</v>
      </c>
      <c r="AD67">
        <f>ROUND((((ET67)-(EU67))+AE67),6)</f>
        <v>0</v>
      </c>
      <c r="AE67">
        <f t="shared" si="101"/>
        <v>0</v>
      </c>
      <c r="AF67">
        <f t="shared" si="101"/>
        <v>0</v>
      </c>
      <c r="AG67">
        <f t="shared" si="80"/>
        <v>0</v>
      </c>
      <c r="AH67">
        <f t="shared" si="102"/>
        <v>0</v>
      </c>
      <c r="AI67">
        <f t="shared" si="102"/>
        <v>0</v>
      </c>
      <c r="AJ67">
        <f t="shared" si="81"/>
        <v>0</v>
      </c>
      <c r="AK67">
        <v>141.85</v>
      </c>
      <c r="AL67">
        <v>141.85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6.08</v>
      </c>
      <c r="BA67">
        <v>1</v>
      </c>
      <c r="BB67">
        <v>1</v>
      </c>
      <c r="BC67">
        <v>6.08</v>
      </c>
      <c r="BD67" t="s">
        <v>224</v>
      </c>
      <c r="BE67" t="s">
        <v>224</v>
      </c>
      <c r="BF67" t="s">
        <v>224</v>
      </c>
      <c r="BG67" t="s">
        <v>224</v>
      </c>
      <c r="BH67">
        <v>3</v>
      </c>
      <c r="BI67">
        <v>1</v>
      </c>
      <c r="BJ67" t="s">
        <v>339</v>
      </c>
      <c r="BM67">
        <v>11001</v>
      </c>
      <c r="BN67">
        <v>0</v>
      </c>
      <c r="BO67" t="s">
        <v>224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224</v>
      </c>
      <c r="BZ67">
        <v>123</v>
      </c>
      <c r="CA67">
        <v>75</v>
      </c>
      <c r="CF67">
        <v>0</v>
      </c>
      <c r="CG67">
        <v>0</v>
      </c>
      <c r="CM67">
        <v>0</v>
      </c>
      <c r="CN67" t="s">
        <v>224</v>
      </c>
      <c r="CO67">
        <v>0</v>
      </c>
      <c r="CP67">
        <f t="shared" si="82"/>
        <v>17945.82</v>
      </c>
      <c r="CQ67">
        <f t="shared" si="83"/>
        <v>862.44799999999998</v>
      </c>
      <c r="CR67">
        <f t="shared" si="84"/>
        <v>0</v>
      </c>
      <c r="CS67">
        <f t="shared" si="85"/>
        <v>0</v>
      </c>
      <c r="CT67">
        <f t="shared" si="86"/>
        <v>0</v>
      </c>
      <c r="CU67">
        <f t="shared" si="87"/>
        <v>0</v>
      </c>
      <c r="CV67">
        <f t="shared" si="88"/>
        <v>0</v>
      </c>
      <c r="CW67">
        <f t="shared" si="89"/>
        <v>0</v>
      </c>
      <c r="CX67">
        <f t="shared" si="90"/>
        <v>0</v>
      </c>
      <c r="CY67">
        <f t="shared" si="91"/>
        <v>0</v>
      </c>
      <c r="CZ67">
        <f t="shared" si="92"/>
        <v>0</v>
      </c>
      <c r="DC67" t="s">
        <v>224</v>
      </c>
      <c r="DD67" t="s">
        <v>224</v>
      </c>
      <c r="DE67" t="s">
        <v>224</v>
      </c>
      <c r="DF67" t="s">
        <v>224</v>
      </c>
      <c r="DG67" t="s">
        <v>224</v>
      </c>
      <c r="DH67" t="s">
        <v>224</v>
      </c>
      <c r="DI67" t="s">
        <v>224</v>
      </c>
      <c r="DJ67" t="s">
        <v>224</v>
      </c>
      <c r="DK67" t="s">
        <v>224</v>
      </c>
      <c r="DL67" t="s">
        <v>224</v>
      </c>
      <c r="DM67" t="s">
        <v>224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277</v>
      </c>
      <c r="DW67" t="s">
        <v>277</v>
      </c>
      <c r="DX67">
        <v>1</v>
      </c>
      <c r="EE67">
        <v>15139101</v>
      </c>
      <c r="EF67">
        <v>2</v>
      </c>
      <c r="EG67" t="s">
        <v>233</v>
      </c>
      <c r="EH67">
        <v>0</v>
      </c>
      <c r="EI67" t="s">
        <v>224</v>
      </c>
      <c r="EJ67">
        <v>1</v>
      </c>
      <c r="EK67">
        <v>11001</v>
      </c>
      <c r="EL67" t="s">
        <v>251</v>
      </c>
      <c r="EM67" t="s">
        <v>331</v>
      </c>
      <c r="EO67" t="s">
        <v>224</v>
      </c>
      <c r="EQ67">
        <v>0</v>
      </c>
      <c r="ER67">
        <v>141.85</v>
      </c>
      <c r="ES67">
        <v>141.85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3"/>
        <v>0</v>
      </c>
      <c r="FS67">
        <v>0</v>
      </c>
      <c r="FT67" t="s">
        <v>244</v>
      </c>
      <c r="FU67" t="s">
        <v>245</v>
      </c>
      <c r="FX67">
        <v>110.7</v>
      </c>
      <c r="FY67">
        <v>63.75</v>
      </c>
      <c r="GA67" t="s">
        <v>224</v>
      </c>
      <c r="GD67">
        <v>0</v>
      </c>
      <c r="GF67">
        <v>1424450329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4"/>
        <v>0</v>
      </c>
      <c r="GM67">
        <f t="shared" si="95"/>
        <v>17945.82</v>
      </c>
      <c r="GN67">
        <f t="shared" si="96"/>
        <v>17945.82</v>
      </c>
      <c r="GO67">
        <f t="shared" si="97"/>
        <v>0</v>
      </c>
      <c r="GP67">
        <f t="shared" si="98"/>
        <v>0</v>
      </c>
      <c r="GR67">
        <v>0</v>
      </c>
      <c r="GS67">
        <v>3</v>
      </c>
      <c r="GT67">
        <v>0</v>
      </c>
      <c r="GU67" t="s">
        <v>224</v>
      </c>
      <c r="GV67">
        <f t="shared" si="99"/>
        <v>0</v>
      </c>
      <c r="GW67">
        <v>1</v>
      </c>
      <c r="GX67">
        <f t="shared" si="100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191</v>
      </c>
      <c r="D68" s="2"/>
      <c r="E68" s="2" t="s">
        <v>340</v>
      </c>
      <c r="F68" s="2" t="s">
        <v>341</v>
      </c>
      <c r="G68" s="2" t="s">
        <v>342</v>
      </c>
      <c r="H68" s="2" t="s">
        <v>256</v>
      </c>
      <c r="I68" s="2">
        <f>I64*J68</f>
        <v>0.13872000000000001</v>
      </c>
      <c r="J68" s="2">
        <v>0.68</v>
      </c>
      <c r="K68" s="2"/>
      <c r="L68" s="2"/>
      <c r="M68" s="2"/>
      <c r="N68" s="2"/>
      <c r="O68" s="2">
        <f t="shared" si="68"/>
        <v>13.79</v>
      </c>
      <c r="P68" s="2">
        <f t="shared" si="69"/>
        <v>13.79</v>
      </c>
      <c r="Q68" s="2">
        <f t="shared" si="70"/>
        <v>0</v>
      </c>
      <c r="R68" s="2">
        <f t="shared" si="71"/>
        <v>0</v>
      </c>
      <c r="S68" s="2">
        <f t="shared" si="72"/>
        <v>0</v>
      </c>
      <c r="T68" s="2">
        <f t="shared" si="73"/>
        <v>0</v>
      </c>
      <c r="U68" s="2">
        <f t="shared" si="74"/>
        <v>0</v>
      </c>
      <c r="V68" s="2">
        <f t="shared" si="75"/>
        <v>0</v>
      </c>
      <c r="W68" s="2">
        <f t="shared" si="76"/>
        <v>0</v>
      </c>
      <c r="X68" s="2">
        <f t="shared" si="77"/>
        <v>0</v>
      </c>
      <c r="Y68" s="2">
        <f t="shared" si="78"/>
        <v>0</v>
      </c>
      <c r="Z68" s="2"/>
      <c r="AA68" s="2">
        <v>16499835</v>
      </c>
      <c r="AB68" s="2">
        <f t="shared" si="79"/>
        <v>99.4</v>
      </c>
      <c r="AC68" s="2">
        <f t="shared" si="62"/>
        <v>99.4</v>
      </c>
      <c r="AD68" s="2">
        <f>ROUND((((ET68)-(EU68))+AE68),6)</f>
        <v>0</v>
      </c>
      <c r="AE68" s="2">
        <f t="shared" si="101"/>
        <v>0</v>
      </c>
      <c r="AF68" s="2">
        <f t="shared" si="101"/>
        <v>0</v>
      </c>
      <c r="AG68" s="2">
        <f t="shared" si="80"/>
        <v>0</v>
      </c>
      <c r="AH68" s="2">
        <f t="shared" si="102"/>
        <v>0</v>
      </c>
      <c r="AI68" s="2">
        <f t="shared" si="102"/>
        <v>0</v>
      </c>
      <c r="AJ68" s="2">
        <f t="shared" si="81"/>
        <v>0</v>
      </c>
      <c r="AK68" s="2">
        <v>99.4</v>
      </c>
      <c r="AL68" s="2">
        <v>99.4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111</v>
      </c>
      <c r="AU68" s="2">
        <v>64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224</v>
      </c>
      <c r="BE68" s="2" t="s">
        <v>224</v>
      </c>
      <c r="BF68" s="2" t="s">
        <v>224</v>
      </c>
      <c r="BG68" s="2" t="s">
        <v>224</v>
      </c>
      <c r="BH68" s="2">
        <v>3</v>
      </c>
      <c r="BI68" s="2">
        <v>1</v>
      </c>
      <c r="BJ68" s="2" t="s">
        <v>343</v>
      </c>
      <c r="BK68" s="2"/>
      <c r="BL68" s="2"/>
      <c r="BM68" s="2">
        <v>11001</v>
      </c>
      <c r="BN68" s="2">
        <v>0</v>
      </c>
      <c r="BO68" s="2" t="s">
        <v>224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224</v>
      </c>
      <c r="BZ68" s="2">
        <v>123</v>
      </c>
      <c r="CA68" s="2">
        <v>75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224</v>
      </c>
      <c r="CO68" s="2">
        <v>0</v>
      </c>
      <c r="CP68" s="2">
        <f t="shared" si="82"/>
        <v>13.79</v>
      </c>
      <c r="CQ68" s="2">
        <f t="shared" si="83"/>
        <v>99.4</v>
      </c>
      <c r="CR68" s="2">
        <f t="shared" si="84"/>
        <v>0</v>
      </c>
      <c r="CS68" s="2">
        <f t="shared" si="85"/>
        <v>0</v>
      </c>
      <c r="CT68" s="2">
        <f t="shared" si="86"/>
        <v>0</v>
      </c>
      <c r="CU68" s="2">
        <f t="shared" si="87"/>
        <v>0</v>
      </c>
      <c r="CV68" s="2">
        <f t="shared" si="88"/>
        <v>0</v>
      </c>
      <c r="CW68" s="2">
        <f t="shared" si="89"/>
        <v>0</v>
      </c>
      <c r="CX68" s="2">
        <f t="shared" si="90"/>
        <v>0</v>
      </c>
      <c r="CY68" s="2">
        <f t="shared" si="91"/>
        <v>0</v>
      </c>
      <c r="CZ68" s="2">
        <f t="shared" si="92"/>
        <v>0</v>
      </c>
      <c r="DA68" s="2"/>
      <c r="DB68" s="2"/>
      <c r="DC68" s="2" t="s">
        <v>224</v>
      </c>
      <c r="DD68" s="2" t="s">
        <v>224</v>
      </c>
      <c r="DE68" s="2" t="s">
        <v>224</v>
      </c>
      <c r="DF68" s="2" t="s">
        <v>224</v>
      </c>
      <c r="DG68" s="2" t="s">
        <v>224</v>
      </c>
      <c r="DH68" s="2" t="s">
        <v>224</v>
      </c>
      <c r="DI68" s="2" t="s">
        <v>224</v>
      </c>
      <c r="DJ68" s="2" t="s">
        <v>224</v>
      </c>
      <c r="DK68" s="2" t="s">
        <v>224</v>
      </c>
      <c r="DL68" s="2" t="s">
        <v>224</v>
      </c>
      <c r="DM68" s="2" t="s">
        <v>224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1003</v>
      </c>
      <c r="DV68" s="2" t="s">
        <v>256</v>
      </c>
      <c r="DW68" s="2" t="s">
        <v>256</v>
      </c>
      <c r="DX68" s="2">
        <v>100</v>
      </c>
      <c r="DY68" s="2"/>
      <c r="DZ68" s="2"/>
      <c r="EA68" s="2"/>
      <c r="EB68" s="2"/>
      <c r="EC68" s="2"/>
      <c r="ED68" s="2"/>
      <c r="EE68" s="2">
        <v>15139101</v>
      </c>
      <c r="EF68" s="2">
        <v>2</v>
      </c>
      <c r="EG68" s="2" t="s">
        <v>233</v>
      </c>
      <c r="EH68" s="2">
        <v>0</v>
      </c>
      <c r="EI68" s="2" t="s">
        <v>224</v>
      </c>
      <c r="EJ68" s="2">
        <v>1</v>
      </c>
      <c r="EK68" s="2">
        <v>11001</v>
      </c>
      <c r="EL68" s="2" t="s">
        <v>251</v>
      </c>
      <c r="EM68" s="2" t="s">
        <v>331</v>
      </c>
      <c r="EN68" s="2"/>
      <c r="EO68" s="2" t="s">
        <v>224</v>
      </c>
      <c r="EP68" s="2"/>
      <c r="EQ68" s="2">
        <v>0</v>
      </c>
      <c r="ER68" s="2">
        <v>99.4</v>
      </c>
      <c r="ES68" s="2">
        <v>99.4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3"/>
        <v>0</v>
      </c>
      <c r="FS68" s="2">
        <v>0</v>
      </c>
      <c r="FT68" s="2" t="s">
        <v>244</v>
      </c>
      <c r="FU68" s="2" t="s">
        <v>245</v>
      </c>
      <c r="FV68" s="2"/>
      <c r="FW68" s="2"/>
      <c r="FX68" s="2">
        <v>110.7</v>
      </c>
      <c r="FY68" s="2">
        <v>63.75</v>
      </c>
      <c r="FZ68" s="2"/>
      <c r="GA68" s="2" t="s">
        <v>224</v>
      </c>
      <c r="GB68" s="2"/>
      <c r="GC68" s="2"/>
      <c r="GD68" s="2">
        <v>0</v>
      </c>
      <c r="GE68" s="2"/>
      <c r="GF68" s="2">
        <v>-1119837873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4"/>
        <v>0</v>
      </c>
      <c r="GM68" s="2">
        <f t="shared" si="95"/>
        <v>13.79</v>
      </c>
      <c r="GN68" s="2">
        <f t="shared" si="96"/>
        <v>13.79</v>
      </c>
      <c r="GO68" s="2">
        <f t="shared" si="97"/>
        <v>0</v>
      </c>
      <c r="GP68" s="2">
        <f t="shared" si="98"/>
        <v>0</v>
      </c>
      <c r="GQ68" s="2"/>
      <c r="GR68" s="2">
        <v>0</v>
      </c>
      <c r="GS68" s="2">
        <v>3</v>
      </c>
      <c r="GT68" s="2">
        <v>0</v>
      </c>
      <c r="GU68" s="2" t="s">
        <v>224</v>
      </c>
      <c r="GV68" s="2">
        <f t="shared" si="99"/>
        <v>0</v>
      </c>
      <c r="GW68" s="2">
        <v>1</v>
      </c>
      <c r="GX68" s="2">
        <f t="shared" si="100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198</v>
      </c>
      <c r="E69" t="s">
        <v>340</v>
      </c>
      <c r="F69" t="s">
        <v>341</v>
      </c>
      <c r="G69" t="s">
        <v>342</v>
      </c>
      <c r="H69" t="s">
        <v>256</v>
      </c>
      <c r="I69">
        <f>I65*J69</f>
        <v>0.13872000000000001</v>
      </c>
      <c r="J69">
        <v>0.68</v>
      </c>
      <c r="O69">
        <f t="shared" si="68"/>
        <v>83.84</v>
      </c>
      <c r="P69">
        <f t="shared" si="69"/>
        <v>83.84</v>
      </c>
      <c r="Q69">
        <f t="shared" si="70"/>
        <v>0</v>
      </c>
      <c r="R69">
        <f t="shared" si="71"/>
        <v>0</v>
      </c>
      <c r="S69">
        <f t="shared" si="72"/>
        <v>0</v>
      </c>
      <c r="T69">
        <f t="shared" si="73"/>
        <v>0</v>
      </c>
      <c r="U69">
        <f t="shared" si="74"/>
        <v>0</v>
      </c>
      <c r="V69">
        <f t="shared" si="75"/>
        <v>0</v>
      </c>
      <c r="W69">
        <f t="shared" si="76"/>
        <v>0</v>
      </c>
      <c r="X69">
        <f t="shared" si="77"/>
        <v>0</v>
      </c>
      <c r="Y69">
        <f t="shared" si="78"/>
        <v>0</v>
      </c>
      <c r="AA69">
        <v>16499878</v>
      </c>
      <c r="AB69">
        <f t="shared" si="79"/>
        <v>99.4</v>
      </c>
      <c r="AC69">
        <f t="shared" si="62"/>
        <v>99.4</v>
      </c>
      <c r="AD69">
        <f>ROUND((((ET69)-(EU69))+AE69),6)</f>
        <v>0</v>
      </c>
      <c r="AE69">
        <f t="shared" si="101"/>
        <v>0</v>
      </c>
      <c r="AF69">
        <f t="shared" si="101"/>
        <v>0</v>
      </c>
      <c r="AG69">
        <f t="shared" si="80"/>
        <v>0</v>
      </c>
      <c r="AH69">
        <f t="shared" si="102"/>
        <v>0</v>
      </c>
      <c r="AI69">
        <f t="shared" si="102"/>
        <v>0</v>
      </c>
      <c r="AJ69">
        <f t="shared" si="81"/>
        <v>0</v>
      </c>
      <c r="AK69">
        <v>99.4</v>
      </c>
      <c r="AL69">
        <v>99.4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6.08</v>
      </c>
      <c r="BA69">
        <v>1</v>
      </c>
      <c r="BB69">
        <v>1</v>
      </c>
      <c r="BC69">
        <v>6.08</v>
      </c>
      <c r="BD69" t="s">
        <v>224</v>
      </c>
      <c r="BE69" t="s">
        <v>224</v>
      </c>
      <c r="BF69" t="s">
        <v>224</v>
      </c>
      <c r="BG69" t="s">
        <v>224</v>
      </c>
      <c r="BH69">
        <v>3</v>
      </c>
      <c r="BI69">
        <v>1</v>
      </c>
      <c r="BJ69" t="s">
        <v>343</v>
      </c>
      <c r="BM69">
        <v>11001</v>
      </c>
      <c r="BN69">
        <v>0</v>
      </c>
      <c r="BO69" t="s">
        <v>224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224</v>
      </c>
      <c r="BZ69">
        <v>123</v>
      </c>
      <c r="CA69">
        <v>75</v>
      </c>
      <c r="CF69">
        <v>0</v>
      </c>
      <c r="CG69">
        <v>0</v>
      </c>
      <c r="CM69">
        <v>0</v>
      </c>
      <c r="CN69" t="s">
        <v>224</v>
      </c>
      <c r="CO69">
        <v>0</v>
      </c>
      <c r="CP69">
        <f t="shared" si="82"/>
        <v>83.84</v>
      </c>
      <c r="CQ69">
        <f t="shared" si="83"/>
        <v>604.35200000000009</v>
      </c>
      <c r="CR69">
        <f t="shared" si="84"/>
        <v>0</v>
      </c>
      <c r="CS69">
        <f t="shared" si="85"/>
        <v>0</v>
      </c>
      <c r="CT69">
        <f t="shared" si="86"/>
        <v>0</v>
      </c>
      <c r="CU69">
        <f t="shared" si="87"/>
        <v>0</v>
      </c>
      <c r="CV69">
        <f t="shared" si="88"/>
        <v>0</v>
      </c>
      <c r="CW69">
        <f t="shared" si="89"/>
        <v>0</v>
      </c>
      <c r="CX69">
        <f t="shared" si="90"/>
        <v>0</v>
      </c>
      <c r="CY69">
        <f t="shared" si="91"/>
        <v>0</v>
      </c>
      <c r="CZ69">
        <f t="shared" si="92"/>
        <v>0</v>
      </c>
      <c r="DC69" t="s">
        <v>224</v>
      </c>
      <c r="DD69" t="s">
        <v>224</v>
      </c>
      <c r="DE69" t="s">
        <v>224</v>
      </c>
      <c r="DF69" t="s">
        <v>224</v>
      </c>
      <c r="DG69" t="s">
        <v>224</v>
      </c>
      <c r="DH69" t="s">
        <v>224</v>
      </c>
      <c r="DI69" t="s">
        <v>224</v>
      </c>
      <c r="DJ69" t="s">
        <v>224</v>
      </c>
      <c r="DK69" t="s">
        <v>224</v>
      </c>
      <c r="DL69" t="s">
        <v>224</v>
      </c>
      <c r="DM69" t="s">
        <v>224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256</v>
      </c>
      <c r="DW69" t="s">
        <v>256</v>
      </c>
      <c r="DX69">
        <v>100</v>
      </c>
      <c r="EE69">
        <v>15139101</v>
      </c>
      <c r="EF69">
        <v>2</v>
      </c>
      <c r="EG69" t="s">
        <v>233</v>
      </c>
      <c r="EH69">
        <v>0</v>
      </c>
      <c r="EI69" t="s">
        <v>224</v>
      </c>
      <c r="EJ69">
        <v>1</v>
      </c>
      <c r="EK69">
        <v>11001</v>
      </c>
      <c r="EL69" t="s">
        <v>251</v>
      </c>
      <c r="EM69" t="s">
        <v>331</v>
      </c>
      <c r="EO69" t="s">
        <v>224</v>
      </c>
      <c r="EQ69">
        <v>0</v>
      </c>
      <c r="ER69">
        <v>99.4</v>
      </c>
      <c r="ES69">
        <v>99.4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3"/>
        <v>0</v>
      </c>
      <c r="FS69">
        <v>0</v>
      </c>
      <c r="FT69" t="s">
        <v>244</v>
      </c>
      <c r="FU69" t="s">
        <v>245</v>
      </c>
      <c r="FX69">
        <v>110.7</v>
      </c>
      <c r="FY69">
        <v>63.75</v>
      </c>
      <c r="GA69" t="s">
        <v>224</v>
      </c>
      <c r="GD69">
        <v>0</v>
      </c>
      <c r="GF69">
        <v>-1119837873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4"/>
        <v>0</v>
      </c>
      <c r="GM69">
        <f t="shared" si="95"/>
        <v>83.84</v>
      </c>
      <c r="GN69">
        <f t="shared" si="96"/>
        <v>83.84</v>
      </c>
      <c r="GO69">
        <f t="shared" si="97"/>
        <v>0</v>
      </c>
      <c r="GP69">
        <f t="shared" si="98"/>
        <v>0</v>
      </c>
      <c r="GR69">
        <v>0</v>
      </c>
      <c r="GS69">
        <v>3</v>
      </c>
      <c r="GT69">
        <v>0</v>
      </c>
      <c r="GU69" t="s">
        <v>224</v>
      </c>
      <c r="GV69">
        <f t="shared" si="99"/>
        <v>0</v>
      </c>
      <c r="GW69">
        <v>1</v>
      </c>
      <c r="GX69">
        <f t="shared" si="100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ROW(SmtRes!A210)</f>
        <v>210</v>
      </c>
      <c r="D70" s="2">
        <f>ROW(EtalonRes!A230)</f>
        <v>230</v>
      </c>
      <c r="E70" s="2" t="s">
        <v>344</v>
      </c>
      <c r="F70" s="2" t="s">
        <v>345</v>
      </c>
      <c r="G70" s="2" t="s">
        <v>346</v>
      </c>
      <c r="H70" s="2" t="s">
        <v>256</v>
      </c>
      <c r="I70" s="2">
        <f>ROUND(20/100,9)</f>
        <v>0.2</v>
      </c>
      <c r="J70" s="2">
        <v>0</v>
      </c>
      <c r="K70" s="2"/>
      <c r="L70" s="2"/>
      <c r="M70" s="2"/>
      <c r="N70" s="2"/>
      <c r="O70" s="2">
        <f t="shared" si="68"/>
        <v>29.36</v>
      </c>
      <c r="P70" s="2">
        <f t="shared" si="69"/>
        <v>14.73</v>
      </c>
      <c r="Q70" s="2">
        <f t="shared" si="70"/>
        <v>0.53</v>
      </c>
      <c r="R70" s="2">
        <f t="shared" si="71"/>
        <v>0.11</v>
      </c>
      <c r="S70" s="2">
        <f t="shared" si="72"/>
        <v>14.1</v>
      </c>
      <c r="T70" s="2">
        <f t="shared" si="73"/>
        <v>0</v>
      </c>
      <c r="U70" s="2">
        <f t="shared" si="74"/>
        <v>1.5364</v>
      </c>
      <c r="V70" s="2">
        <f t="shared" si="75"/>
        <v>1.0000000000000002E-2</v>
      </c>
      <c r="W70" s="2">
        <f t="shared" si="76"/>
        <v>0</v>
      </c>
      <c r="X70" s="2">
        <f t="shared" si="77"/>
        <v>15.77</v>
      </c>
      <c r="Y70" s="2">
        <f t="shared" si="78"/>
        <v>9.09</v>
      </c>
      <c r="Z70" s="2"/>
      <c r="AA70" s="2">
        <v>16499835</v>
      </c>
      <c r="AB70" s="2">
        <f t="shared" si="79"/>
        <v>146.82050000000001</v>
      </c>
      <c r="AC70" s="2">
        <f t="shared" si="62"/>
        <v>73.64</v>
      </c>
      <c r="AD70" s="2">
        <f>ROUND(((((ET70*1.25))-((EU70*1.25)))+AE70),6)</f>
        <v>2.6625000000000001</v>
      </c>
      <c r="AE70" s="2">
        <f>ROUND(((EU70*1.25)),6)</f>
        <v>0.52500000000000002</v>
      </c>
      <c r="AF70" s="2">
        <f>ROUND(((EV70*1.15)),6)</f>
        <v>70.518000000000001</v>
      </c>
      <c r="AG70" s="2">
        <f t="shared" si="80"/>
        <v>0</v>
      </c>
      <c r="AH70" s="2">
        <f>((EW70*1.15))</f>
        <v>7.6819999999999995</v>
      </c>
      <c r="AI70" s="2">
        <f>((EX70*1.25))</f>
        <v>0.05</v>
      </c>
      <c r="AJ70" s="2">
        <f t="shared" si="81"/>
        <v>0</v>
      </c>
      <c r="AK70" s="2">
        <v>137.09</v>
      </c>
      <c r="AL70" s="2">
        <v>73.64</v>
      </c>
      <c r="AM70" s="2">
        <v>2.13</v>
      </c>
      <c r="AN70" s="2">
        <v>0.42</v>
      </c>
      <c r="AO70" s="2">
        <v>61.32</v>
      </c>
      <c r="AP70" s="2">
        <v>0</v>
      </c>
      <c r="AQ70" s="2">
        <v>6.68</v>
      </c>
      <c r="AR70" s="2">
        <v>0.04</v>
      </c>
      <c r="AS70" s="2">
        <v>0</v>
      </c>
      <c r="AT70" s="2">
        <v>111</v>
      </c>
      <c r="AU70" s="2">
        <v>64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224</v>
      </c>
      <c r="BE70" s="2" t="s">
        <v>224</v>
      </c>
      <c r="BF70" s="2" t="s">
        <v>224</v>
      </c>
      <c r="BG70" s="2" t="s">
        <v>224</v>
      </c>
      <c r="BH70" s="2">
        <v>0</v>
      </c>
      <c r="BI70" s="2">
        <v>1</v>
      </c>
      <c r="BJ70" s="2" t="s">
        <v>347</v>
      </c>
      <c r="BK70" s="2"/>
      <c r="BL70" s="2"/>
      <c r="BM70" s="2">
        <v>11001</v>
      </c>
      <c r="BN70" s="2">
        <v>0</v>
      </c>
      <c r="BO70" s="2" t="s">
        <v>224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224</v>
      </c>
      <c r="BZ70" s="2">
        <v>123</v>
      </c>
      <c r="CA70" s="2">
        <v>75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123</v>
      </c>
      <c r="CO70" s="2">
        <v>0</v>
      </c>
      <c r="CP70" s="2">
        <f t="shared" si="82"/>
        <v>29.36</v>
      </c>
      <c r="CQ70" s="2">
        <f t="shared" si="83"/>
        <v>73.64</v>
      </c>
      <c r="CR70" s="2">
        <f t="shared" si="84"/>
        <v>2.6625000000000001</v>
      </c>
      <c r="CS70" s="2">
        <f t="shared" si="85"/>
        <v>0.52500000000000002</v>
      </c>
      <c r="CT70" s="2">
        <f t="shared" si="86"/>
        <v>70.518000000000001</v>
      </c>
      <c r="CU70" s="2">
        <f t="shared" si="87"/>
        <v>0</v>
      </c>
      <c r="CV70" s="2">
        <f t="shared" si="88"/>
        <v>7.6819999999999995</v>
      </c>
      <c r="CW70" s="2">
        <f t="shared" si="89"/>
        <v>0.05</v>
      </c>
      <c r="CX70" s="2">
        <f t="shared" si="90"/>
        <v>0</v>
      </c>
      <c r="CY70" s="2">
        <f t="shared" si="91"/>
        <v>15.773099999999999</v>
      </c>
      <c r="CZ70" s="2">
        <f t="shared" si="92"/>
        <v>9.0944000000000003</v>
      </c>
      <c r="DA70" s="2"/>
      <c r="DB70" s="2"/>
      <c r="DC70" s="2" t="s">
        <v>224</v>
      </c>
      <c r="DD70" s="2" t="s">
        <v>224</v>
      </c>
      <c r="DE70" s="2" t="s">
        <v>239</v>
      </c>
      <c r="DF70" s="2" t="s">
        <v>239</v>
      </c>
      <c r="DG70" s="2" t="s">
        <v>240</v>
      </c>
      <c r="DH70" s="2" t="s">
        <v>224</v>
      </c>
      <c r="DI70" s="2" t="s">
        <v>240</v>
      </c>
      <c r="DJ70" s="2" t="s">
        <v>239</v>
      </c>
      <c r="DK70" s="2" t="s">
        <v>224</v>
      </c>
      <c r="DL70" s="2" t="s">
        <v>224</v>
      </c>
      <c r="DM70" s="2" t="s">
        <v>224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1003</v>
      </c>
      <c r="DV70" s="2" t="s">
        <v>256</v>
      </c>
      <c r="DW70" s="2" t="s">
        <v>256</v>
      </c>
      <c r="DX70" s="2">
        <v>100</v>
      </c>
      <c r="DY70" s="2"/>
      <c r="DZ70" s="2"/>
      <c r="EA70" s="2"/>
      <c r="EB70" s="2"/>
      <c r="EC70" s="2"/>
      <c r="ED70" s="2"/>
      <c r="EE70" s="2">
        <v>15139101</v>
      </c>
      <c r="EF70" s="2">
        <v>2</v>
      </c>
      <c r="EG70" s="2" t="s">
        <v>233</v>
      </c>
      <c r="EH70" s="2">
        <v>0</v>
      </c>
      <c r="EI70" s="2" t="s">
        <v>224</v>
      </c>
      <c r="EJ70" s="2">
        <v>1</v>
      </c>
      <c r="EK70" s="2">
        <v>11001</v>
      </c>
      <c r="EL70" s="2" t="s">
        <v>251</v>
      </c>
      <c r="EM70" s="2" t="s">
        <v>331</v>
      </c>
      <c r="EN70" s="2"/>
      <c r="EO70" s="2" t="s">
        <v>243</v>
      </c>
      <c r="EP70" s="2"/>
      <c r="EQ70" s="2">
        <v>0</v>
      </c>
      <c r="ER70" s="2">
        <v>137.09</v>
      </c>
      <c r="ES70" s="2">
        <v>73.64</v>
      </c>
      <c r="ET70" s="2">
        <v>2.13</v>
      </c>
      <c r="EU70" s="2">
        <v>0.42</v>
      </c>
      <c r="EV70" s="2">
        <v>61.32</v>
      </c>
      <c r="EW70" s="2">
        <v>6.68</v>
      </c>
      <c r="EX70" s="2">
        <v>0.04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3"/>
        <v>0</v>
      </c>
      <c r="FS70" s="2">
        <v>0</v>
      </c>
      <c r="FT70" s="2" t="s">
        <v>244</v>
      </c>
      <c r="FU70" s="2" t="s">
        <v>245</v>
      </c>
      <c r="FV70" s="2"/>
      <c r="FW70" s="2"/>
      <c r="FX70" s="2">
        <v>110.7</v>
      </c>
      <c r="FY70" s="2">
        <v>63.75</v>
      </c>
      <c r="FZ70" s="2"/>
      <c r="GA70" s="2" t="s">
        <v>224</v>
      </c>
      <c r="GB70" s="2"/>
      <c r="GC70" s="2"/>
      <c r="GD70" s="2">
        <v>0</v>
      </c>
      <c r="GE70" s="2"/>
      <c r="GF70" s="2">
        <v>-1404287246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4"/>
        <v>0</v>
      </c>
      <c r="GM70" s="2">
        <f t="shared" si="95"/>
        <v>54.22</v>
      </c>
      <c r="GN70" s="2">
        <f t="shared" si="96"/>
        <v>54.22</v>
      </c>
      <c r="GO70" s="2">
        <f t="shared" si="97"/>
        <v>0</v>
      </c>
      <c r="GP70" s="2">
        <f t="shared" si="98"/>
        <v>0</v>
      </c>
      <c r="GQ70" s="2"/>
      <c r="GR70" s="2">
        <v>0</v>
      </c>
      <c r="GS70" s="2">
        <v>3</v>
      </c>
      <c r="GT70" s="2">
        <v>0</v>
      </c>
      <c r="GU70" s="2" t="s">
        <v>224</v>
      </c>
      <c r="GV70" s="2">
        <f t="shared" si="99"/>
        <v>0</v>
      </c>
      <c r="GW70" s="2">
        <v>1</v>
      </c>
      <c r="GX70" s="2">
        <f t="shared" si="100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ROW(SmtRes!A222)</f>
        <v>222</v>
      </c>
      <c r="D71">
        <f>ROW(EtalonRes!A242)</f>
        <v>242</v>
      </c>
      <c r="E71" t="s">
        <v>344</v>
      </c>
      <c r="F71" t="s">
        <v>345</v>
      </c>
      <c r="G71" t="s">
        <v>346</v>
      </c>
      <c r="H71" t="s">
        <v>256</v>
      </c>
      <c r="I71">
        <f>ROUND(20/100,9)</f>
        <v>0.2</v>
      </c>
      <c r="J71">
        <v>0</v>
      </c>
      <c r="O71">
        <f t="shared" si="68"/>
        <v>178.54</v>
      </c>
      <c r="P71">
        <f t="shared" si="69"/>
        <v>89.55</v>
      </c>
      <c r="Q71">
        <f t="shared" si="70"/>
        <v>3.24</v>
      </c>
      <c r="R71">
        <f t="shared" si="71"/>
        <v>0.64</v>
      </c>
      <c r="S71">
        <f t="shared" si="72"/>
        <v>85.75</v>
      </c>
      <c r="T71">
        <f t="shared" si="73"/>
        <v>0</v>
      </c>
      <c r="U71">
        <f t="shared" si="74"/>
        <v>1.5364</v>
      </c>
      <c r="V71">
        <f t="shared" si="75"/>
        <v>1.0000000000000002E-2</v>
      </c>
      <c r="W71">
        <f t="shared" si="76"/>
        <v>0</v>
      </c>
      <c r="X71">
        <f t="shared" si="77"/>
        <v>95.89</v>
      </c>
      <c r="Y71">
        <f t="shared" si="78"/>
        <v>55.29</v>
      </c>
      <c r="AA71">
        <v>16499878</v>
      </c>
      <c r="AB71">
        <f t="shared" si="79"/>
        <v>146.82050000000001</v>
      </c>
      <c r="AC71">
        <f t="shared" si="62"/>
        <v>73.64</v>
      </c>
      <c r="AD71">
        <f>ROUND(((((ET71*1.25))-((EU71*1.25)))+AE71),6)</f>
        <v>2.6625000000000001</v>
      </c>
      <c r="AE71">
        <f>ROUND(((EU71*1.25)),6)</f>
        <v>0.52500000000000002</v>
      </c>
      <c r="AF71">
        <f>ROUND(((EV71*1.15)),6)</f>
        <v>70.518000000000001</v>
      </c>
      <c r="AG71">
        <f t="shared" si="80"/>
        <v>0</v>
      </c>
      <c r="AH71">
        <f>((EW71*1.15))</f>
        <v>7.6819999999999995</v>
      </c>
      <c r="AI71">
        <f>((EX71*1.25))</f>
        <v>0.05</v>
      </c>
      <c r="AJ71">
        <f t="shared" si="81"/>
        <v>0</v>
      </c>
      <c r="AK71">
        <v>137.09</v>
      </c>
      <c r="AL71">
        <v>73.64</v>
      </c>
      <c r="AM71">
        <v>2.13</v>
      </c>
      <c r="AN71">
        <v>0.42</v>
      </c>
      <c r="AO71">
        <v>61.32</v>
      </c>
      <c r="AP71">
        <v>0</v>
      </c>
      <c r="AQ71">
        <v>6.68</v>
      </c>
      <c r="AR71">
        <v>0.04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6.08</v>
      </c>
      <c r="BA71">
        <v>6.08</v>
      </c>
      <c r="BB71">
        <v>6.08</v>
      </c>
      <c r="BC71">
        <v>6.08</v>
      </c>
      <c r="BD71" t="s">
        <v>224</v>
      </c>
      <c r="BE71" t="s">
        <v>224</v>
      </c>
      <c r="BF71" t="s">
        <v>224</v>
      </c>
      <c r="BG71" t="s">
        <v>224</v>
      </c>
      <c r="BH71">
        <v>0</v>
      </c>
      <c r="BI71">
        <v>1</v>
      </c>
      <c r="BJ71" t="s">
        <v>347</v>
      </c>
      <c r="BM71">
        <v>11001</v>
      </c>
      <c r="BN71">
        <v>0</v>
      </c>
      <c r="BO71" t="s">
        <v>224</v>
      </c>
      <c r="BP71">
        <v>0</v>
      </c>
      <c r="BQ71">
        <v>2</v>
      </c>
      <c r="BR71">
        <v>0</v>
      </c>
      <c r="BS71">
        <v>6.08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224</v>
      </c>
      <c r="BZ71">
        <v>123</v>
      </c>
      <c r="CA71">
        <v>75</v>
      </c>
      <c r="CF71">
        <v>0</v>
      </c>
      <c r="CG71">
        <v>0</v>
      </c>
      <c r="CM71">
        <v>0</v>
      </c>
      <c r="CN71" t="s">
        <v>123</v>
      </c>
      <c r="CO71">
        <v>0</v>
      </c>
      <c r="CP71">
        <f t="shared" si="82"/>
        <v>178.54</v>
      </c>
      <c r="CQ71">
        <f t="shared" si="83"/>
        <v>447.7312</v>
      </c>
      <c r="CR71">
        <f t="shared" si="84"/>
        <v>16.188000000000002</v>
      </c>
      <c r="CS71">
        <f t="shared" si="85"/>
        <v>3.1920000000000002</v>
      </c>
      <c r="CT71">
        <f t="shared" si="86"/>
        <v>428.74943999999999</v>
      </c>
      <c r="CU71">
        <f t="shared" si="87"/>
        <v>0</v>
      </c>
      <c r="CV71">
        <f t="shared" si="88"/>
        <v>7.6819999999999995</v>
      </c>
      <c r="CW71">
        <f t="shared" si="89"/>
        <v>0.05</v>
      </c>
      <c r="CX71">
        <f t="shared" si="90"/>
        <v>0</v>
      </c>
      <c r="CY71">
        <f t="shared" si="91"/>
        <v>95.892900000000012</v>
      </c>
      <c r="CZ71">
        <f t="shared" si="92"/>
        <v>55.2896</v>
      </c>
      <c r="DC71" t="s">
        <v>224</v>
      </c>
      <c r="DD71" t="s">
        <v>224</v>
      </c>
      <c r="DE71" t="s">
        <v>239</v>
      </c>
      <c r="DF71" t="s">
        <v>239</v>
      </c>
      <c r="DG71" t="s">
        <v>240</v>
      </c>
      <c r="DH71" t="s">
        <v>224</v>
      </c>
      <c r="DI71" t="s">
        <v>240</v>
      </c>
      <c r="DJ71" t="s">
        <v>239</v>
      </c>
      <c r="DK71" t="s">
        <v>224</v>
      </c>
      <c r="DL71" t="s">
        <v>224</v>
      </c>
      <c r="DM71" t="s">
        <v>224</v>
      </c>
      <c r="DN71">
        <v>0</v>
      </c>
      <c r="DO71">
        <v>0</v>
      </c>
      <c r="DP71">
        <v>1</v>
      </c>
      <c r="DQ71">
        <v>1</v>
      </c>
      <c r="DU71">
        <v>1003</v>
      </c>
      <c r="DV71" t="s">
        <v>256</v>
      </c>
      <c r="DW71" t="s">
        <v>256</v>
      </c>
      <c r="DX71">
        <v>100</v>
      </c>
      <c r="EE71">
        <v>15139101</v>
      </c>
      <c r="EF71">
        <v>2</v>
      </c>
      <c r="EG71" t="s">
        <v>233</v>
      </c>
      <c r="EH71">
        <v>0</v>
      </c>
      <c r="EI71" t="s">
        <v>224</v>
      </c>
      <c r="EJ71">
        <v>1</v>
      </c>
      <c r="EK71">
        <v>11001</v>
      </c>
      <c r="EL71" t="s">
        <v>251</v>
      </c>
      <c r="EM71" t="s">
        <v>331</v>
      </c>
      <c r="EO71" t="s">
        <v>243</v>
      </c>
      <c r="EQ71">
        <v>0</v>
      </c>
      <c r="ER71">
        <v>137.09</v>
      </c>
      <c r="ES71">
        <v>73.64</v>
      </c>
      <c r="ET71">
        <v>2.13</v>
      </c>
      <c r="EU71">
        <v>0.42</v>
      </c>
      <c r="EV71">
        <v>61.32</v>
      </c>
      <c r="EW71">
        <v>6.68</v>
      </c>
      <c r="EX71">
        <v>0.04</v>
      </c>
      <c r="EY71">
        <v>0</v>
      </c>
      <c r="FQ71">
        <v>0</v>
      </c>
      <c r="FR71">
        <f t="shared" si="93"/>
        <v>0</v>
      </c>
      <c r="FS71">
        <v>0</v>
      </c>
      <c r="FT71" t="s">
        <v>244</v>
      </c>
      <c r="FU71" t="s">
        <v>245</v>
      </c>
      <c r="FX71">
        <v>110.7</v>
      </c>
      <c r="FY71">
        <v>63.75</v>
      </c>
      <c r="GA71" t="s">
        <v>224</v>
      </c>
      <c r="GD71">
        <v>0</v>
      </c>
      <c r="GF71">
        <v>-1404287246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4"/>
        <v>0</v>
      </c>
      <c r="GM71">
        <f t="shared" si="95"/>
        <v>329.72</v>
      </c>
      <c r="GN71">
        <f t="shared" si="96"/>
        <v>329.72</v>
      </c>
      <c r="GO71">
        <f t="shared" si="97"/>
        <v>0</v>
      </c>
      <c r="GP71">
        <f t="shared" si="98"/>
        <v>0</v>
      </c>
      <c r="GR71">
        <v>0</v>
      </c>
      <c r="GS71">
        <v>3</v>
      </c>
      <c r="GT71">
        <v>0</v>
      </c>
      <c r="GU71" t="s">
        <v>224</v>
      </c>
      <c r="GV71">
        <f t="shared" si="99"/>
        <v>0</v>
      </c>
      <c r="GW71">
        <v>1</v>
      </c>
      <c r="GX71">
        <f t="shared" si="100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205</v>
      </c>
      <c r="D72" s="2"/>
      <c r="E72" s="2" t="s">
        <v>348</v>
      </c>
      <c r="F72" s="2" t="s">
        <v>349</v>
      </c>
      <c r="G72" s="2" t="s">
        <v>350</v>
      </c>
      <c r="H72" s="2" t="s">
        <v>351</v>
      </c>
      <c r="I72" s="2">
        <f>I70*J72</f>
        <v>20.2</v>
      </c>
      <c r="J72" s="2">
        <v>100.99999999999999</v>
      </c>
      <c r="K72" s="2"/>
      <c r="L72" s="2"/>
      <c r="M72" s="2"/>
      <c r="N72" s="2"/>
      <c r="O72" s="2">
        <f t="shared" si="68"/>
        <v>414.1</v>
      </c>
      <c r="P72" s="2">
        <f t="shared" si="69"/>
        <v>414.1</v>
      </c>
      <c r="Q72" s="2">
        <f t="shared" si="70"/>
        <v>0</v>
      </c>
      <c r="R72" s="2">
        <f t="shared" si="71"/>
        <v>0</v>
      </c>
      <c r="S72" s="2">
        <f t="shared" si="72"/>
        <v>0</v>
      </c>
      <c r="T72" s="2">
        <f t="shared" si="73"/>
        <v>0</v>
      </c>
      <c r="U72" s="2">
        <f t="shared" si="74"/>
        <v>0</v>
      </c>
      <c r="V72" s="2">
        <f t="shared" si="75"/>
        <v>0</v>
      </c>
      <c r="W72" s="2">
        <f t="shared" si="76"/>
        <v>0</v>
      </c>
      <c r="X72" s="2">
        <f t="shared" si="77"/>
        <v>0</v>
      </c>
      <c r="Y72" s="2">
        <f t="shared" si="78"/>
        <v>0</v>
      </c>
      <c r="Z72" s="2"/>
      <c r="AA72" s="2">
        <v>16499835</v>
      </c>
      <c r="AB72" s="2">
        <f t="shared" si="79"/>
        <v>20.5</v>
      </c>
      <c r="AC72" s="2">
        <f t="shared" si="62"/>
        <v>20.5</v>
      </c>
      <c r="AD72" s="2">
        <f t="shared" ref="AD72:AD83" si="103">ROUND((((ET72)-(EU72))+AE72),6)</f>
        <v>0</v>
      </c>
      <c r="AE72" s="2">
        <f t="shared" ref="AE72:AE83" si="104">ROUND((EU72),6)</f>
        <v>0</v>
      </c>
      <c r="AF72" s="2">
        <f t="shared" ref="AF72:AF83" si="105">ROUND((EV72),6)</f>
        <v>0</v>
      </c>
      <c r="AG72" s="2">
        <f t="shared" si="80"/>
        <v>0</v>
      </c>
      <c r="AH72" s="2">
        <f t="shared" ref="AH72:AH83" si="106">(EW72)</f>
        <v>0</v>
      </c>
      <c r="AI72" s="2">
        <f t="shared" ref="AI72:AI83" si="107">(EX72)</f>
        <v>0</v>
      </c>
      <c r="AJ72" s="2">
        <f t="shared" si="81"/>
        <v>0</v>
      </c>
      <c r="AK72" s="2">
        <v>20.5</v>
      </c>
      <c r="AL72" s="2">
        <v>20.5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111</v>
      </c>
      <c r="AU72" s="2">
        <v>64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224</v>
      </c>
      <c r="BE72" s="2" t="s">
        <v>224</v>
      </c>
      <c r="BF72" s="2" t="s">
        <v>224</v>
      </c>
      <c r="BG72" s="2" t="s">
        <v>224</v>
      </c>
      <c r="BH72" s="2">
        <v>3</v>
      </c>
      <c r="BI72" s="2">
        <v>1</v>
      </c>
      <c r="BJ72" s="2" t="s">
        <v>352</v>
      </c>
      <c r="BK72" s="2"/>
      <c r="BL72" s="2"/>
      <c r="BM72" s="2">
        <v>11001</v>
      </c>
      <c r="BN72" s="2">
        <v>0</v>
      </c>
      <c r="BO72" s="2" t="s">
        <v>224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224</v>
      </c>
      <c r="BZ72" s="2">
        <v>123</v>
      </c>
      <c r="CA72" s="2">
        <v>75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224</v>
      </c>
      <c r="CO72" s="2">
        <v>0</v>
      </c>
      <c r="CP72" s="2">
        <f t="shared" si="82"/>
        <v>414.1</v>
      </c>
      <c r="CQ72" s="2">
        <f t="shared" si="83"/>
        <v>20.5</v>
      </c>
      <c r="CR72" s="2">
        <f t="shared" si="84"/>
        <v>0</v>
      </c>
      <c r="CS72" s="2">
        <f t="shared" si="85"/>
        <v>0</v>
      </c>
      <c r="CT72" s="2">
        <f t="shared" si="86"/>
        <v>0</v>
      </c>
      <c r="CU72" s="2">
        <f t="shared" si="87"/>
        <v>0</v>
      </c>
      <c r="CV72" s="2">
        <f t="shared" si="88"/>
        <v>0</v>
      </c>
      <c r="CW72" s="2">
        <f t="shared" si="89"/>
        <v>0</v>
      </c>
      <c r="CX72" s="2">
        <f t="shared" si="90"/>
        <v>0</v>
      </c>
      <c r="CY72" s="2">
        <f t="shared" si="91"/>
        <v>0</v>
      </c>
      <c r="CZ72" s="2">
        <f t="shared" si="92"/>
        <v>0</v>
      </c>
      <c r="DA72" s="2"/>
      <c r="DB72" s="2"/>
      <c r="DC72" s="2" t="s">
        <v>224</v>
      </c>
      <c r="DD72" s="2" t="s">
        <v>224</v>
      </c>
      <c r="DE72" s="2" t="s">
        <v>224</v>
      </c>
      <c r="DF72" s="2" t="s">
        <v>224</v>
      </c>
      <c r="DG72" s="2" t="s">
        <v>224</v>
      </c>
      <c r="DH72" s="2" t="s">
        <v>224</v>
      </c>
      <c r="DI72" s="2" t="s">
        <v>224</v>
      </c>
      <c r="DJ72" s="2" t="s">
        <v>224</v>
      </c>
      <c r="DK72" s="2" t="s">
        <v>224</v>
      </c>
      <c r="DL72" s="2" t="s">
        <v>224</v>
      </c>
      <c r="DM72" s="2" t="s">
        <v>224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1003</v>
      </c>
      <c r="DV72" s="2" t="s">
        <v>351</v>
      </c>
      <c r="DW72" s="2" t="s">
        <v>351</v>
      </c>
      <c r="DX72" s="2">
        <v>1</v>
      </c>
      <c r="DY72" s="2"/>
      <c r="DZ72" s="2"/>
      <c r="EA72" s="2"/>
      <c r="EB72" s="2"/>
      <c r="EC72" s="2"/>
      <c r="ED72" s="2"/>
      <c r="EE72" s="2">
        <v>15139101</v>
      </c>
      <c r="EF72" s="2">
        <v>2</v>
      </c>
      <c r="EG72" s="2" t="s">
        <v>233</v>
      </c>
      <c r="EH72" s="2">
        <v>0</v>
      </c>
      <c r="EI72" s="2" t="s">
        <v>224</v>
      </c>
      <c r="EJ72" s="2">
        <v>1</v>
      </c>
      <c r="EK72" s="2">
        <v>11001</v>
      </c>
      <c r="EL72" s="2" t="s">
        <v>251</v>
      </c>
      <c r="EM72" s="2" t="s">
        <v>331</v>
      </c>
      <c r="EN72" s="2"/>
      <c r="EO72" s="2" t="s">
        <v>224</v>
      </c>
      <c r="EP72" s="2"/>
      <c r="EQ72" s="2">
        <v>0</v>
      </c>
      <c r="ER72" s="2">
        <v>20.5</v>
      </c>
      <c r="ES72" s="2">
        <v>20.5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3"/>
        <v>0</v>
      </c>
      <c r="FS72" s="2">
        <v>0</v>
      </c>
      <c r="FT72" s="2" t="s">
        <v>244</v>
      </c>
      <c r="FU72" s="2" t="s">
        <v>245</v>
      </c>
      <c r="FV72" s="2"/>
      <c r="FW72" s="2"/>
      <c r="FX72" s="2">
        <v>110.7</v>
      </c>
      <c r="FY72" s="2">
        <v>63.75</v>
      </c>
      <c r="FZ72" s="2"/>
      <c r="GA72" s="2" t="s">
        <v>224</v>
      </c>
      <c r="GB72" s="2"/>
      <c r="GC72" s="2"/>
      <c r="GD72" s="2">
        <v>0</v>
      </c>
      <c r="GE72" s="2"/>
      <c r="GF72" s="2">
        <v>1244447769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4"/>
        <v>0</v>
      </c>
      <c r="GM72" s="2">
        <f t="shared" si="95"/>
        <v>414.1</v>
      </c>
      <c r="GN72" s="2">
        <f t="shared" si="96"/>
        <v>414.1</v>
      </c>
      <c r="GO72" s="2">
        <f t="shared" si="97"/>
        <v>0</v>
      </c>
      <c r="GP72" s="2">
        <f t="shared" si="98"/>
        <v>0</v>
      </c>
      <c r="GQ72" s="2"/>
      <c r="GR72" s="2">
        <v>0</v>
      </c>
      <c r="GS72" s="2">
        <v>3</v>
      </c>
      <c r="GT72" s="2">
        <v>0</v>
      </c>
      <c r="GU72" s="2" t="s">
        <v>224</v>
      </c>
      <c r="GV72" s="2">
        <f t="shared" si="99"/>
        <v>0</v>
      </c>
      <c r="GW72" s="2">
        <v>1</v>
      </c>
      <c r="GX72" s="2">
        <f t="shared" si="100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217</v>
      </c>
      <c r="E73" t="s">
        <v>348</v>
      </c>
      <c r="F73" t="s">
        <v>349</v>
      </c>
      <c r="G73" t="s">
        <v>350</v>
      </c>
      <c r="H73" t="s">
        <v>351</v>
      </c>
      <c r="I73">
        <f>I71*J73</f>
        <v>20.2</v>
      </c>
      <c r="J73">
        <v>100.99999999999999</v>
      </c>
      <c r="O73">
        <f t="shared" si="68"/>
        <v>2517.73</v>
      </c>
      <c r="P73">
        <f t="shared" si="69"/>
        <v>2517.73</v>
      </c>
      <c r="Q73">
        <f t="shared" si="70"/>
        <v>0</v>
      </c>
      <c r="R73">
        <f t="shared" si="71"/>
        <v>0</v>
      </c>
      <c r="S73">
        <f t="shared" si="72"/>
        <v>0</v>
      </c>
      <c r="T73">
        <f t="shared" si="73"/>
        <v>0</v>
      </c>
      <c r="U73">
        <f t="shared" si="74"/>
        <v>0</v>
      </c>
      <c r="V73">
        <f t="shared" si="75"/>
        <v>0</v>
      </c>
      <c r="W73">
        <f t="shared" si="76"/>
        <v>0</v>
      </c>
      <c r="X73">
        <f t="shared" si="77"/>
        <v>0</v>
      </c>
      <c r="Y73">
        <f t="shared" si="78"/>
        <v>0</v>
      </c>
      <c r="AA73">
        <v>16499878</v>
      </c>
      <c r="AB73">
        <f t="shared" si="79"/>
        <v>20.5</v>
      </c>
      <c r="AC73">
        <f t="shared" si="62"/>
        <v>20.5</v>
      </c>
      <c r="AD73">
        <f t="shared" si="103"/>
        <v>0</v>
      </c>
      <c r="AE73">
        <f t="shared" si="104"/>
        <v>0</v>
      </c>
      <c r="AF73">
        <f t="shared" si="105"/>
        <v>0</v>
      </c>
      <c r="AG73">
        <f t="shared" si="80"/>
        <v>0</v>
      </c>
      <c r="AH73">
        <f t="shared" si="106"/>
        <v>0</v>
      </c>
      <c r="AI73">
        <f t="shared" si="107"/>
        <v>0</v>
      </c>
      <c r="AJ73">
        <f t="shared" si="81"/>
        <v>0</v>
      </c>
      <c r="AK73">
        <v>20.5</v>
      </c>
      <c r="AL73">
        <v>20.5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6.08</v>
      </c>
      <c r="BA73">
        <v>1</v>
      </c>
      <c r="BB73">
        <v>1</v>
      </c>
      <c r="BC73">
        <v>6.08</v>
      </c>
      <c r="BD73" t="s">
        <v>224</v>
      </c>
      <c r="BE73" t="s">
        <v>224</v>
      </c>
      <c r="BF73" t="s">
        <v>224</v>
      </c>
      <c r="BG73" t="s">
        <v>224</v>
      </c>
      <c r="BH73">
        <v>3</v>
      </c>
      <c r="BI73">
        <v>1</v>
      </c>
      <c r="BJ73" t="s">
        <v>352</v>
      </c>
      <c r="BM73">
        <v>11001</v>
      </c>
      <c r="BN73">
        <v>0</v>
      </c>
      <c r="BO73" t="s">
        <v>224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224</v>
      </c>
      <c r="BZ73">
        <v>123</v>
      </c>
      <c r="CA73">
        <v>75</v>
      </c>
      <c r="CF73">
        <v>0</v>
      </c>
      <c r="CG73">
        <v>0</v>
      </c>
      <c r="CM73">
        <v>0</v>
      </c>
      <c r="CN73" t="s">
        <v>224</v>
      </c>
      <c r="CO73">
        <v>0</v>
      </c>
      <c r="CP73">
        <f t="shared" si="82"/>
        <v>2517.73</v>
      </c>
      <c r="CQ73">
        <f t="shared" si="83"/>
        <v>124.64</v>
      </c>
      <c r="CR73">
        <f t="shared" si="84"/>
        <v>0</v>
      </c>
      <c r="CS73">
        <f t="shared" si="85"/>
        <v>0</v>
      </c>
      <c r="CT73">
        <f t="shared" si="86"/>
        <v>0</v>
      </c>
      <c r="CU73">
        <f t="shared" si="87"/>
        <v>0</v>
      </c>
      <c r="CV73">
        <f t="shared" si="88"/>
        <v>0</v>
      </c>
      <c r="CW73">
        <f t="shared" si="89"/>
        <v>0</v>
      </c>
      <c r="CX73">
        <f t="shared" si="90"/>
        <v>0</v>
      </c>
      <c r="CY73">
        <f t="shared" si="91"/>
        <v>0</v>
      </c>
      <c r="CZ73">
        <f t="shared" si="92"/>
        <v>0</v>
      </c>
      <c r="DC73" t="s">
        <v>224</v>
      </c>
      <c r="DD73" t="s">
        <v>224</v>
      </c>
      <c r="DE73" t="s">
        <v>224</v>
      </c>
      <c r="DF73" t="s">
        <v>224</v>
      </c>
      <c r="DG73" t="s">
        <v>224</v>
      </c>
      <c r="DH73" t="s">
        <v>224</v>
      </c>
      <c r="DI73" t="s">
        <v>224</v>
      </c>
      <c r="DJ73" t="s">
        <v>224</v>
      </c>
      <c r="DK73" t="s">
        <v>224</v>
      </c>
      <c r="DL73" t="s">
        <v>224</v>
      </c>
      <c r="DM73" t="s">
        <v>224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351</v>
      </c>
      <c r="DW73" t="s">
        <v>351</v>
      </c>
      <c r="DX73">
        <v>1</v>
      </c>
      <c r="EE73">
        <v>15139101</v>
      </c>
      <c r="EF73">
        <v>2</v>
      </c>
      <c r="EG73" t="s">
        <v>233</v>
      </c>
      <c r="EH73">
        <v>0</v>
      </c>
      <c r="EI73" t="s">
        <v>224</v>
      </c>
      <c r="EJ73">
        <v>1</v>
      </c>
      <c r="EK73">
        <v>11001</v>
      </c>
      <c r="EL73" t="s">
        <v>251</v>
      </c>
      <c r="EM73" t="s">
        <v>331</v>
      </c>
      <c r="EO73" t="s">
        <v>224</v>
      </c>
      <c r="EQ73">
        <v>0</v>
      </c>
      <c r="ER73">
        <v>20.5</v>
      </c>
      <c r="ES73">
        <v>20.5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3"/>
        <v>0</v>
      </c>
      <c r="FS73">
        <v>0</v>
      </c>
      <c r="FT73" t="s">
        <v>244</v>
      </c>
      <c r="FU73" t="s">
        <v>245</v>
      </c>
      <c r="FX73">
        <v>110.7</v>
      </c>
      <c r="FY73">
        <v>63.75</v>
      </c>
      <c r="GA73" t="s">
        <v>224</v>
      </c>
      <c r="GD73">
        <v>0</v>
      </c>
      <c r="GF73">
        <v>1244447769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4"/>
        <v>0</v>
      </c>
      <c r="GM73">
        <f t="shared" si="95"/>
        <v>2517.73</v>
      </c>
      <c r="GN73">
        <f t="shared" si="96"/>
        <v>2517.73</v>
      </c>
      <c r="GO73">
        <f t="shared" si="97"/>
        <v>0</v>
      </c>
      <c r="GP73">
        <f t="shared" si="98"/>
        <v>0</v>
      </c>
      <c r="GR73">
        <v>0</v>
      </c>
      <c r="GS73">
        <v>3</v>
      </c>
      <c r="GT73">
        <v>0</v>
      </c>
      <c r="GU73" t="s">
        <v>224</v>
      </c>
      <c r="GV73">
        <f t="shared" si="99"/>
        <v>0</v>
      </c>
      <c r="GW73">
        <v>1</v>
      </c>
      <c r="GX73">
        <f t="shared" si="100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206</v>
      </c>
      <c r="D74" s="2"/>
      <c r="E74" s="2" t="s">
        <v>353</v>
      </c>
      <c r="F74" s="2" t="s">
        <v>354</v>
      </c>
      <c r="G74" s="2" t="s">
        <v>355</v>
      </c>
      <c r="H74" s="2" t="s">
        <v>356</v>
      </c>
      <c r="I74" s="2">
        <f>I70*J74</f>
        <v>0.02</v>
      </c>
      <c r="J74" s="2">
        <v>9.9999999999999992E-2</v>
      </c>
      <c r="K74" s="2"/>
      <c r="L74" s="2"/>
      <c r="M74" s="2"/>
      <c r="N74" s="2"/>
      <c r="O74" s="2">
        <f t="shared" si="68"/>
        <v>2.02</v>
      </c>
      <c r="P74" s="2">
        <f t="shared" si="69"/>
        <v>2.02</v>
      </c>
      <c r="Q74" s="2">
        <f t="shared" si="70"/>
        <v>0</v>
      </c>
      <c r="R74" s="2">
        <f t="shared" si="71"/>
        <v>0</v>
      </c>
      <c r="S74" s="2">
        <f t="shared" si="72"/>
        <v>0</v>
      </c>
      <c r="T74" s="2">
        <f t="shared" si="73"/>
        <v>0</v>
      </c>
      <c r="U74" s="2">
        <f t="shared" si="74"/>
        <v>0</v>
      </c>
      <c r="V74" s="2">
        <f t="shared" si="75"/>
        <v>0</v>
      </c>
      <c r="W74" s="2">
        <f t="shared" si="76"/>
        <v>0</v>
      </c>
      <c r="X74" s="2">
        <f t="shared" si="77"/>
        <v>0</v>
      </c>
      <c r="Y74" s="2">
        <f t="shared" si="78"/>
        <v>0</v>
      </c>
      <c r="Z74" s="2"/>
      <c r="AA74" s="2">
        <v>16499835</v>
      </c>
      <c r="AB74" s="2">
        <f t="shared" si="79"/>
        <v>101</v>
      </c>
      <c r="AC74" s="2">
        <f t="shared" si="62"/>
        <v>101</v>
      </c>
      <c r="AD74" s="2">
        <f t="shared" si="103"/>
        <v>0</v>
      </c>
      <c r="AE74" s="2">
        <f t="shared" si="104"/>
        <v>0</v>
      </c>
      <c r="AF74" s="2">
        <f t="shared" si="105"/>
        <v>0</v>
      </c>
      <c r="AG74" s="2">
        <f t="shared" si="80"/>
        <v>0</v>
      </c>
      <c r="AH74" s="2">
        <f t="shared" si="106"/>
        <v>0</v>
      </c>
      <c r="AI74" s="2">
        <f t="shared" si="107"/>
        <v>0</v>
      </c>
      <c r="AJ74" s="2">
        <f t="shared" si="81"/>
        <v>0</v>
      </c>
      <c r="AK74" s="2">
        <v>101</v>
      </c>
      <c r="AL74" s="2">
        <v>101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111</v>
      </c>
      <c r="AU74" s="2">
        <v>64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224</v>
      </c>
      <c r="BE74" s="2" t="s">
        <v>224</v>
      </c>
      <c r="BF74" s="2" t="s">
        <v>224</v>
      </c>
      <c r="BG74" s="2" t="s">
        <v>224</v>
      </c>
      <c r="BH74" s="2">
        <v>3</v>
      </c>
      <c r="BI74" s="2">
        <v>1</v>
      </c>
      <c r="BJ74" s="2" t="s">
        <v>357</v>
      </c>
      <c r="BK74" s="2"/>
      <c r="BL74" s="2"/>
      <c r="BM74" s="2">
        <v>11001</v>
      </c>
      <c r="BN74" s="2">
        <v>0</v>
      </c>
      <c r="BO74" s="2" t="s">
        <v>224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224</v>
      </c>
      <c r="BZ74" s="2">
        <v>123</v>
      </c>
      <c r="CA74" s="2">
        <v>75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224</v>
      </c>
      <c r="CO74" s="2">
        <v>0</v>
      </c>
      <c r="CP74" s="2">
        <f t="shared" si="82"/>
        <v>2.02</v>
      </c>
      <c r="CQ74" s="2">
        <f t="shared" si="83"/>
        <v>101</v>
      </c>
      <c r="CR74" s="2">
        <f t="shared" si="84"/>
        <v>0</v>
      </c>
      <c r="CS74" s="2">
        <f t="shared" si="85"/>
        <v>0</v>
      </c>
      <c r="CT74" s="2">
        <f t="shared" si="86"/>
        <v>0</v>
      </c>
      <c r="CU74" s="2">
        <f t="shared" si="87"/>
        <v>0</v>
      </c>
      <c r="CV74" s="2">
        <f t="shared" si="88"/>
        <v>0</v>
      </c>
      <c r="CW74" s="2">
        <f t="shared" si="89"/>
        <v>0</v>
      </c>
      <c r="CX74" s="2">
        <f t="shared" si="90"/>
        <v>0</v>
      </c>
      <c r="CY74" s="2">
        <f t="shared" si="91"/>
        <v>0</v>
      </c>
      <c r="CZ74" s="2">
        <f t="shared" si="92"/>
        <v>0</v>
      </c>
      <c r="DA74" s="2"/>
      <c r="DB74" s="2"/>
      <c r="DC74" s="2" t="s">
        <v>224</v>
      </c>
      <c r="DD74" s="2" t="s">
        <v>224</v>
      </c>
      <c r="DE74" s="2" t="s">
        <v>224</v>
      </c>
      <c r="DF74" s="2" t="s">
        <v>224</v>
      </c>
      <c r="DG74" s="2" t="s">
        <v>224</v>
      </c>
      <c r="DH74" s="2" t="s">
        <v>224</v>
      </c>
      <c r="DI74" s="2" t="s">
        <v>224</v>
      </c>
      <c r="DJ74" s="2" t="s">
        <v>224</v>
      </c>
      <c r="DK74" s="2" t="s">
        <v>224</v>
      </c>
      <c r="DL74" s="2" t="s">
        <v>224</v>
      </c>
      <c r="DM74" s="2" t="s">
        <v>224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1010</v>
      </c>
      <c r="DV74" s="2" t="s">
        <v>356</v>
      </c>
      <c r="DW74" s="2" t="s">
        <v>356</v>
      </c>
      <c r="DX74" s="2">
        <v>100</v>
      </c>
      <c r="DY74" s="2"/>
      <c r="DZ74" s="2"/>
      <c r="EA74" s="2"/>
      <c r="EB74" s="2"/>
      <c r="EC74" s="2"/>
      <c r="ED74" s="2"/>
      <c r="EE74" s="2">
        <v>15139101</v>
      </c>
      <c r="EF74" s="2">
        <v>2</v>
      </c>
      <c r="EG74" s="2" t="s">
        <v>233</v>
      </c>
      <c r="EH74" s="2">
        <v>0</v>
      </c>
      <c r="EI74" s="2" t="s">
        <v>224</v>
      </c>
      <c r="EJ74" s="2">
        <v>1</v>
      </c>
      <c r="EK74" s="2">
        <v>11001</v>
      </c>
      <c r="EL74" s="2" t="s">
        <v>251</v>
      </c>
      <c r="EM74" s="2" t="s">
        <v>331</v>
      </c>
      <c r="EN74" s="2"/>
      <c r="EO74" s="2" t="s">
        <v>224</v>
      </c>
      <c r="EP74" s="2"/>
      <c r="EQ74" s="2">
        <v>0</v>
      </c>
      <c r="ER74" s="2">
        <v>101</v>
      </c>
      <c r="ES74" s="2">
        <v>101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3"/>
        <v>0</v>
      </c>
      <c r="FS74" s="2">
        <v>0</v>
      </c>
      <c r="FT74" s="2" t="s">
        <v>244</v>
      </c>
      <c r="FU74" s="2" t="s">
        <v>245</v>
      </c>
      <c r="FV74" s="2"/>
      <c r="FW74" s="2"/>
      <c r="FX74" s="2">
        <v>110.7</v>
      </c>
      <c r="FY74" s="2">
        <v>63.75</v>
      </c>
      <c r="FZ74" s="2"/>
      <c r="GA74" s="2" t="s">
        <v>224</v>
      </c>
      <c r="GB74" s="2"/>
      <c r="GC74" s="2"/>
      <c r="GD74" s="2">
        <v>0</v>
      </c>
      <c r="GE74" s="2"/>
      <c r="GF74" s="2">
        <v>766681708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4"/>
        <v>0</v>
      </c>
      <c r="GM74" s="2">
        <f t="shared" si="95"/>
        <v>2.02</v>
      </c>
      <c r="GN74" s="2">
        <f t="shared" si="96"/>
        <v>2.02</v>
      </c>
      <c r="GO74" s="2">
        <f t="shared" si="97"/>
        <v>0</v>
      </c>
      <c r="GP74" s="2">
        <f t="shared" si="98"/>
        <v>0</v>
      </c>
      <c r="GQ74" s="2"/>
      <c r="GR74" s="2">
        <v>0</v>
      </c>
      <c r="GS74" s="2">
        <v>3</v>
      </c>
      <c r="GT74" s="2">
        <v>0</v>
      </c>
      <c r="GU74" s="2" t="s">
        <v>224</v>
      </c>
      <c r="GV74" s="2">
        <f t="shared" si="99"/>
        <v>0</v>
      </c>
      <c r="GW74" s="2">
        <v>1</v>
      </c>
      <c r="GX74" s="2">
        <f t="shared" si="100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218</v>
      </c>
      <c r="E75" t="s">
        <v>353</v>
      </c>
      <c r="F75" t="s">
        <v>354</v>
      </c>
      <c r="G75" t="s">
        <v>355</v>
      </c>
      <c r="H75" t="s">
        <v>356</v>
      </c>
      <c r="I75">
        <f>I71*J75</f>
        <v>0.02</v>
      </c>
      <c r="J75">
        <v>9.9999999999999992E-2</v>
      </c>
      <c r="O75">
        <f t="shared" si="68"/>
        <v>12.28</v>
      </c>
      <c r="P75">
        <f t="shared" si="69"/>
        <v>12.28</v>
      </c>
      <c r="Q75">
        <f t="shared" si="70"/>
        <v>0</v>
      </c>
      <c r="R75">
        <f t="shared" si="71"/>
        <v>0</v>
      </c>
      <c r="S75">
        <f t="shared" si="72"/>
        <v>0</v>
      </c>
      <c r="T75">
        <f t="shared" si="73"/>
        <v>0</v>
      </c>
      <c r="U75">
        <f t="shared" si="74"/>
        <v>0</v>
      </c>
      <c r="V75">
        <f t="shared" si="75"/>
        <v>0</v>
      </c>
      <c r="W75">
        <f t="shared" si="76"/>
        <v>0</v>
      </c>
      <c r="X75">
        <f t="shared" si="77"/>
        <v>0</v>
      </c>
      <c r="Y75">
        <f t="shared" si="78"/>
        <v>0</v>
      </c>
      <c r="AA75">
        <v>16499878</v>
      </c>
      <c r="AB75">
        <f t="shared" si="79"/>
        <v>101</v>
      </c>
      <c r="AC75">
        <f t="shared" si="62"/>
        <v>101</v>
      </c>
      <c r="AD75">
        <f t="shared" si="103"/>
        <v>0</v>
      </c>
      <c r="AE75">
        <f t="shared" si="104"/>
        <v>0</v>
      </c>
      <c r="AF75">
        <f t="shared" si="105"/>
        <v>0</v>
      </c>
      <c r="AG75">
        <f t="shared" si="80"/>
        <v>0</v>
      </c>
      <c r="AH75">
        <f t="shared" si="106"/>
        <v>0</v>
      </c>
      <c r="AI75">
        <f t="shared" si="107"/>
        <v>0</v>
      </c>
      <c r="AJ75">
        <f t="shared" si="81"/>
        <v>0</v>
      </c>
      <c r="AK75">
        <v>101</v>
      </c>
      <c r="AL75">
        <v>101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6.08</v>
      </c>
      <c r="BA75">
        <v>1</v>
      </c>
      <c r="BB75">
        <v>1</v>
      </c>
      <c r="BC75">
        <v>6.08</v>
      </c>
      <c r="BD75" t="s">
        <v>224</v>
      </c>
      <c r="BE75" t="s">
        <v>224</v>
      </c>
      <c r="BF75" t="s">
        <v>224</v>
      </c>
      <c r="BG75" t="s">
        <v>224</v>
      </c>
      <c r="BH75">
        <v>3</v>
      </c>
      <c r="BI75">
        <v>1</v>
      </c>
      <c r="BJ75" t="s">
        <v>357</v>
      </c>
      <c r="BM75">
        <v>11001</v>
      </c>
      <c r="BN75">
        <v>0</v>
      </c>
      <c r="BO75" t="s">
        <v>224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224</v>
      </c>
      <c r="BZ75">
        <v>123</v>
      </c>
      <c r="CA75">
        <v>75</v>
      </c>
      <c r="CF75">
        <v>0</v>
      </c>
      <c r="CG75">
        <v>0</v>
      </c>
      <c r="CM75">
        <v>0</v>
      </c>
      <c r="CN75" t="s">
        <v>224</v>
      </c>
      <c r="CO75">
        <v>0</v>
      </c>
      <c r="CP75">
        <f t="shared" si="82"/>
        <v>12.28</v>
      </c>
      <c r="CQ75">
        <f t="shared" si="83"/>
        <v>614.08000000000004</v>
      </c>
      <c r="CR75">
        <f t="shared" si="84"/>
        <v>0</v>
      </c>
      <c r="CS75">
        <f t="shared" si="85"/>
        <v>0</v>
      </c>
      <c r="CT75">
        <f t="shared" si="86"/>
        <v>0</v>
      </c>
      <c r="CU75">
        <f t="shared" si="87"/>
        <v>0</v>
      </c>
      <c r="CV75">
        <f t="shared" si="88"/>
        <v>0</v>
      </c>
      <c r="CW75">
        <f t="shared" si="89"/>
        <v>0</v>
      </c>
      <c r="CX75">
        <f t="shared" si="90"/>
        <v>0</v>
      </c>
      <c r="CY75">
        <f t="shared" si="91"/>
        <v>0</v>
      </c>
      <c r="CZ75">
        <f t="shared" si="92"/>
        <v>0</v>
      </c>
      <c r="DC75" t="s">
        <v>224</v>
      </c>
      <c r="DD75" t="s">
        <v>224</v>
      </c>
      <c r="DE75" t="s">
        <v>224</v>
      </c>
      <c r="DF75" t="s">
        <v>224</v>
      </c>
      <c r="DG75" t="s">
        <v>224</v>
      </c>
      <c r="DH75" t="s">
        <v>224</v>
      </c>
      <c r="DI75" t="s">
        <v>224</v>
      </c>
      <c r="DJ75" t="s">
        <v>224</v>
      </c>
      <c r="DK75" t="s">
        <v>224</v>
      </c>
      <c r="DL75" t="s">
        <v>224</v>
      </c>
      <c r="DM75" t="s">
        <v>224</v>
      </c>
      <c r="DN75">
        <v>0</v>
      </c>
      <c r="DO75">
        <v>0</v>
      </c>
      <c r="DP75">
        <v>1</v>
      </c>
      <c r="DQ75">
        <v>1</v>
      </c>
      <c r="DU75">
        <v>1010</v>
      </c>
      <c r="DV75" t="s">
        <v>356</v>
      </c>
      <c r="DW75" t="s">
        <v>356</v>
      </c>
      <c r="DX75">
        <v>100</v>
      </c>
      <c r="EE75">
        <v>15139101</v>
      </c>
      <c r="EF75">
        <v>2</v>
      </c>
      <c r="EG75" t="s">
        <v>233</v>
      </c>
      <c r="EH75">
        <v>0</v>
      </c>
      <c r="EI75" t="s">
        <v>224</v>
      </c>
      <c r="EJ75">
        <v>1</v>
      </c>
      <c r="EK75">
        <v>11001</v>
      </c>
      <c r="EL75" t="s">
        <v>251</v>
      </c>
      <c r="EM75" t="s">
        <v>331</v>
      </c>
      <c r="EO75" t="s">
        <v>224</v>
      </c>
      <c r="EQ75">
        <v>0</v>
      </c>
      <c r="ER75">
        <v>101</v>
      </c>
      <c r="ES75">
        <v>101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3"/>
        <v>0</v>
      </c>
      <c r="FS75">
        <v>0</v>
      </c>
      <c r="FT75" t="s">
        <v>244</v>
      </c>
      <c r="FU75" t="s">
        <v>245</v>
      </c>
      <c r="FX75">
        <v>110.7</v>
      </c>
      <c r="FY75">
        <v>63.75</v>
      </c>
      <c r="GA75" t="s">
        <v>224</v>
      </c>
      <c r="GD75">
        <v>0</v>
      </c>
      <c r="GF75">
        <v>766681708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4"/>
        <v>0</v>
      </c>
      <c r="GM75">
        <f t="shared" si="95"/>
        <v>12.28</v>
      </c>
      <c r="GN75">
        <f t="shared" si="96"/>
        <v>12.28</v>
      </c>
      <c r="GO75">
        <f t="shared" si="97"/>
        <v>0</v>
      </c>
      <c r="GP75">
        <f t="shared" si="98"/>
        <v>0</v>
      </c>
      <c r="GR75">
        <v>0</v>
      </c>
      <c r="GS75">
        <v>3</v>
      </c>
      <c r="GT75">
        <v>0</v>
      </c>
      <c r="GU75" t="s">
        <v>224</v>
      </c>
      <c r="GV75">
        <f t="shared" si="99"/>
        <v>0</v>
      </c>
      <c r="GW75">
        <v>1</v>
      </c>
      <c r="GX75">
        <f t="shared" si="100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207</v>
      </c>
      <c r="D76" s="2"/>
      <c r="E76" s="2" t="s">
        <v>358</v>
      </c>
      <c r="F76" s="2" t="s">
        <v>359</v>
      </c>
      <c r="G76" s="2" t="s">
        <v>360</v>
      </c>
      <c r="H76" s="2" t="s">
        <v>356</v>
      </c>
      <c r="I76" s="2">
        <f>I70*J76</f>
        <v>0.02</v>
      </c>
      <c r="J76" s="2">
        <v>9.9999999999999992E-2</v>
      </c>
      <c r="K76" s="2"/>
      <c r="L76" s="2"/>
      <c r="M76" s="2"/>
      <c r="N76" s="2"/>
      <c r="O76" s="2">
        <f t="shared" si="68"/>
        <v>2.02</v>
      </c>
      <c r="P76" s="2">
        <f t="shared" si="69"/>
        <v>2.02</v>
      </c>
      <c r="Q76" s="2">
        <f t="shared" si="70"/>
        <v>0</v>
      </c>
      <c r="R76" s="2">
        <f t="shared" si="71"/>
        <v>0</v>
      </c>
      <c r="S76" s="2">
        <f t="shared" si="72"/>
        <v>0</v>
      </c>
      <c r="T76" s="2">
        <f t="shared" si="73"/>
        <v>0</v>
      </c>
      <c r="U76" s="2">
        <f t="shared" si="74"/>
        <v>0</v>
      </c>
      <c r="V76" s="2">
        <f t="shared" si="75"/>
        <v>0</v>
      </c>
      <c r="W76" s="2">
        <f t="shared" si="76"/>
        <v>0</v>
      </c>
      <c r="X76" s="2">
        <f t="shared" si="77"/>
        <v>0</v>
      </c>
      <c r="Y76" s="2">
        <f t="shared" si="78"/>
        <v>0</v>
      </c>
      <c r="Z76" s="2"/>
      <c r="AA76" s="2">
        <v>16499835</v>
      </c>
      <c r="AB76" s="2">
        <f t="shared" si="79"/>
        <v>101</v>
      </c>
      <c r="AC76" s="2">
        <f t="shared" ref="AC76:AC111" si="108">ROUND((ES76),6)</f>
        <v>101</v>
      </c>
      <c r="AD76" s="2">
        <f t="shared" si="103"/>
        <v>0</v>
      </c>
      <c r="AE76" s="2">
        <f t="shared" si="104"/>
        <v>0</v>
      </c>
      <c r="AF76" s="2">
        <f t="shared" si="105"/>
        <v>0</v>
      </c>
      <c r="AG76" s="2">
        <f t="shared" si="80"/>
        <v>0</v>
      </c>
      <c r="AH76" s="2">
        <f t="shared" si="106"/>
        <v>0</v>
      </c>
      <c r="AI76" s="2">
        <f t="shared" si="107"/>
        <v>0</v>
      </c>
      <c r="AJ76" s="2">
        <f t="shared" si="81"/>
        <v>0</v>
      </c>
      <c r="AK76" s="2">
        <v>101</v>
      </c>
      <c r="AL76" s="2">
        <v>101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111</v>
      </c>
      <c r="AU76" s="2">
        <v>64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224</v>
      </c>
      <c r="BE76" s="2" t="s">
        <v>224</v>
      </c>
      <c r="BF76" s="2" t="s">
        <v>224</v>
      </c>
      <c r="BG76" s="2" t="s">
        <v>224</v>
      </c>
      <c r="BH76" s="2">
        <v>3</v>
      </c>
      <c r="BI76" s="2">
        <v>1</v>
      </c>
      <c r="BJ76" s="2" t="s">
        <v>361</v>
      </c>
      <c r="BK76" s="2"/>
      <c r="BL76" s="2"/>
      <c r="BM76" s="2">
        <v>11001</v>
      </c>
      <c r="BN76" s="2">
        <v>0</v>
      </c>
      <c r="BO76" s="2" t="s">
        <v>224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224</v>
      </c>
      <c r="BZ76" s="2">
        <v>123</v>
      </c>
      <c r="CA76" s="2">
        <v>75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224</v>
      </c>
      <c r="CO76" s="2">
        <v>0</v>
      </c>
      <c r="CP76" s="2">
        <f t="shared" si="82"/>
        <v>2.02</v>
      </c>
      <c r="CQ76" s="2">
        <f t="shared" si="83"/>
        <v>101</v>
      </c>
      <c r="CR76" s="2">
        <f t="shared" si="84"/>
        <v>0</v>
      </c>
      <c r="CS76" s="2">
        <f t="shared" si="85"/>
        <v>0</v>
      </c>
      <c r="CT76" s="2">
        <f t="shared" si="86"/>
        <v>0</v>
      </c>
      <c r="CU76" s="2">
        <f t="shared" si="87"/>
        <v>0</v>
      </c>
      <c r="CV76" s="2">
        <f t="shared" si="88"/>
        <v>0</v>
      </c>
      <c r="CW76" s="2">
        <f t="shared" si="89"/>
        <v>0</v>
      </c>
      <c r="CX76" s="2">
        <f t="shared" si="90"/>
        <v>0</v>
      </c>
      <c r="CY76" s="2">
        <f t="shared" si="91"/>
        <v>0</v>
      </c>
      <c r="CZ76" s="2">
        <f t="shared" si="92"/>
        <v>0</v>
      </c>
      <c r="DA76" s="2"/>
      <c r="DB76" s="2"/>
      <c r="DC76" s="2" t="s">
        <v>224</v>
      </c>
      <c r="DD76" s="2" t="s">
        <v>224</v>
      </c>
      <c r="DE76" s="2" t="s">
        <v>224</v>
      </c>
      <c r="DF76" s="2" t="s">
        <v>224</v>
      </c>
      <c r="DG76" s="2" t="s">
        <v>224</v>
      </c>
      <c r="DH76" s="2" t="s">
        <v>224</v>
      </c>
      <c r="DI76" s="2" t="s">
        <v>224</v>
      </c>
      <c r="DJ76" s="2" t="s">
        <v>224</v>
      </c>
      <c r="DK76" s="2" t="s">
        <v>224</v>
      </c>
      <c r="DL76" s="2" t="s">
        <v>224</v>
      </c>
      <c r="DM76" s="2" t="s">
        <v>224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356</v>
      </c>
      <c r="DW76" s="2" t="s">
        <v>356</v>
      </c>
      <c r="DX76" s="2">
        <v>100</v>
      </c>
      <c r="DY76" s="2"/>
      <c r="DZ76" s="2"/>
      <c r="EA76" s="2"/>
      <c r="EB76" s="2"/>
      <c r="EC76" s="2"/>
      <c r="ED76" s="2"/>
      <c r="EE76" s="2">
        <v>15139101</v>
      </c>
      <c r="EF76" s="2">
        <v>2</v>
      </c>
      <c r="EG76" s="2" t="s">
        <v>233</v>
      </c>
      <c r="EH76" s="2">
        <v>0</v>
      </c>
      <c r="EI76" s="2" t="s">
        <v>224</v>
      </c>
      <c r="EJ76" s="2">
        <v>1</v>
      </c>
      <c r="EK76" s="2">
        <v>11001</v>
      </c>
      <c r="EL76" s="2" t="s">
        <v>251</v>
      </c>
      <c r="EM76" s="2" t="s">
        <v>331</v>
      </c>
      <c r="EN76" s="2"/>
      <c r="EO76" s="2" t="s">
        <v>224</v>
      </c>
      <c r="EP76" s="2"/>
      <c r="EQ76" s="2">
        <v>0</v>
      </c>
      <c r="ER76" s="2">
        <v>101</v>
      </c>
      <c r="ES76" s="2">
        <v>101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3"/>
        <v>0</v>
      </c>
      <c r="FS76" s="2">
        <v>0</v>
      </c>
      <c r="FT76" s="2" t="s">
        <v>244</v>
      </c>
      <c r="FU76" s="2" t="s">
        <v>245</v>
      </c>
      <c r="FV76" s="2"/>
      <c r="FW76" s="2"/>
      <c r="FX76" s="2">
        <v>110.7</v>
      </c>
      <c r="FY76" s="2">
        <v>63.75</v>
      </c>
      <c r="FZ76" s="2"/>
      <c r="GA76" s="2" t="s">
        <v>224</v>
      </c>
      <c r="GB76" s="2"/>
      <c r="GC76" s="2"/>
      <c r="GD76" s="2">
        <v>0</v>
      </c>
      <c r="GE76" s="2"/>
      <c r="GF76" s="2">
        <v>191136453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4"/>
        <v>0</v>
      </c>
      <c r="GM76" s="2">
        <f t="shared" si="95"/>
        <v>2.02</v>
      </c>
      <c r="GN76" s="2">
        <f t="shared" si="96"/>
        <v>2.02</v>
      </c>
      <c r="GO76" s="2">
        <f t="shared" si="97"/>
        <v>0</v>
      </c>
      <c r="GP76" s="2">
        <f t="shared" si="98"/>
        <v>0</v>
      </c>
      <c r="GQ76" s="2"/>
      <c r="GR76" s="2">
        <v>0</v>
      </c>
      <c r="GS76" s="2">
        <v>3</v>
      </c>
      <c r="GT76" s="2">
        <v>0</v>
      </c>
      <c r="GU76" s="2" t="s">
        <v>224</v>
      </c>
      <c r="GV76" s="2">
        <f t="shared" si="99"/>
        <v>0</v>
      </c>
      <c r="GW76" s="2">
        <v>1</v>
      </c>
      <c r="GX76" s="2">
        <f t="shared" si="100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219</v>
      </c>
      <c r="E77" t="s">
        <v>358</v>
      </c>
      <c r="F77" t="s">
        <v>359</v>
      </c>
      <c r="G77" t="s">
        <v>360</v>
      </c>
      <c r="H77" t="s">
        <v>356</v>
      </c>
      <c r="I77">
        <f>I71*J77</f>
        <v>0.02</v>
      </c>
      <c r="J77">
        <v>9.9999999999999992E-2</v>
      </c>
      <c r="O77">
        <f t="shared" si="68"/>
        <v>12.28</v>
      </c>
      <c r="P77">
        <f t="shared" si="69"/>
        <v>12.28</v>
      </c>
      <c r="Q77">
        <f t="shared" si="70"/>
        <v>0</v>
      </c>
      <c r="R77">
        <f t="shared" si="71"/>
        <v>0</v>
      </c>
      <c r="S77">
        <f t="shared" si="72"/>
        <v>0</v>
      </c>
      <c r="T77">
        <f t="shared" si="73"/>
        <v>0</v>
      </c>
      <c r="U77">
        <f t="shared" si="74"/>
        <v>0</v>
      </c>
      <c r="V77">
        <f t="shared" si="75"/>
        <v>0</v>
      </c>
      <c r="W77">
        <f t="shared" si="76"/>
        <v>0</v>
      </c>
      <c r="X77">
        <f t="shared" si="77"/>
        <v>0</v>
      </c>
      <c r="Y77">
        <f t="shared" si="78"/>
        <v>0</v>
      </c>
      <c r="AA77">
        <v>16499878</v>
      </c>
      <c r="AB77">
        <f t="shared" si="79"/>
        <v>101</v>
      </c>
      <c r="AC77">
        <f t="shared" si="108"/>
        <v>101</v>
      </c>
      <c r="AD77">
        <f t="shared" si="103"/>
        <v>0</v>
      </c>
      <c r="AE77">
        <f t="shared" si="104"/>
        <v>0</v>
      </c>
      <c r="AF77">
        <f t="shared" si="105"/>
        <v>0</v>
      </c>
      <c r="AG77">
        <f t="shared" si="80"/>
        <v>0</v>
      </c>
      <c r="AH77">
        <f t="shared" si="106"/>
        <v>0</v>
      </c>
      <c r="AI77">
        <f t="shared" si="107"/>
        <v>0</v>
      </c>
      <c r="AJ77">
        <f t="shared" si="81"/>
        <v>0</v>
      </c>
      <c r="AK77">
        <v>101</v>
      </c>
      <c r="AL77">
        <v>101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111</v>
      </c>
      <c r="AU77">
        <v>64</v>
      </c>
      <c r="AV77">
        <v>1</v>
      </c>
      <c r="AW77">
        <v>1</v>
      </c>
      <c r="AZ77">
        <v>6.08</v>
      </c>
      <c r="BA77">
        <v>1</v>
      </c>
      <c r="BB77">
        <v>1</v>
      </c>
      <c r="BC77">
        <v>6.08</v>
      </c>
      <c r="BD77" t="s">
        <v>224</v>
      </c>
      <c r="BE77" t="s">
        <v>224</v>
      </c>
      <c r="BF77" t="s">
        <v>224</v>
      </c>
      <c r="BG77" t="s">
        <v>224</v>
      </c>
      <c r="BH77">
        <v>3</v>
      </c>
      <c r="BI77">
        <v>1</v>
      </c>
      <c r="BJ77" t="s">
        <v>361</v>
      </c>
      <c r="BM77">
        <v>11001</v>
      </c>
      <c r="BN77">
        <v>0</v>
      </c>
      <c r="BO77" t="s">
        <v>224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224</v>
      </c>
      <c r="BZ77">
        <v>123</v>
      </c>
      <c r="CA77">
        <v>75</v>
      </c>
      <c r="CF77">
        <v>0</v>
      </c>
      <c r="CG77">
        <v>0</v>
      </c>
      <c r="CM77">
        <v>0</v>
      </c>
      <c r="CN77" t="s">
        <v>224</v>
      </c>
      <c r="CO77">
        <v>0</v>
      </c>
      <c r="CP77">
        <f t="shared" si="82"/>
        <v>12.28</v>
      </c>
      <c r="CQ77">
        <f t="shared" si="83"/>
        <v>614.08000000000004</v>
      </c>
      <c r="CR77">
        <f t="shared" si="84"/>
        <v>0</v>
      </c>
      <c r="CS77">
        <f t="shared" si="85"/>
        <v>0</v>
      </c>
      <c r="CT77">
        <f t="shared" si="86"/>
        <v>0</v>
      </c>
      <c r="CU77">
        <f t="shared" si="87"/>
        <v>0</v>
      </c>
      <c r="CV77">
        <f t="shared" si="88"/>
        <v>0</v>
      </c>
      <c r="CW77">
        <f t="shared" si="89"/>
        <v>0</v>
      </c>
      <c r="CX77">
        <f t="shared" si="90"/>
        <v>0</v>
      </c>
      <c r="CY77">
        <f t="shared" si="91"/>
        <v>0</v>
      </c>
      <c r="CZ77">
        <f t="shared" si="92"/>
        <v>0</v>
      </c>
      <c r="DC77" t="s">
        <v>224</v>
      </c>
      <c r="DD77" t="s">
        <v>224</v>
      </c>
      <c r="DE77" t="s">
        <v>224</v>
      </c>
      <c r="DF77" t="s">
        <v>224</v>
      </c>
      <c r="DG77" t="s">
        <v>224</v>
      </c>
      <c r="DH77" t="s">
        <v>224</v>
      </c>
      <c r="DI77" t="s">
        <v>224</v>
      </c>
      <c r="DJ77" t="s">
        <v>224</v>
      </c>
      <c r="DK77" t="s">
        <v>224</v>
      </c>
      <c r="DL77" t="s">
        <v>224</v>
      </c>
      <c r="DM77" t="s">
        <v>224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356</v>
      </c>
      <c r="DW77" t="s">
        <v>356</v>
      </c>
      <c r="DX77">
        <v>100</v>
      </c>
      <c r="EE77">
        <v>15139101</v>
      </c>
      <c r="EF77">
        <v>2</v>
      </c>
      <c r="EG77" t="s">
        <v>233</v>
      </c>
      <c r="EH77">
        <v>0</v>
      </c>
      <c r="EI77" t="s">
        <v>224</v>
      </c>
      <c r="EJ77">
        <v>1</v>
      </c>
      <c r="EK77">
        <v>11001</v>
      </c>
      <c r="EL77" t="s">
        <v>251</v>
      </c>
      <c r="EM77" t="s">
        <v>331</v>
      </c>
      <c r="EO77" t="s">
        <v>224</v>
      </c>
      <c r="EQ77">
        <v>0</v>
      </c>
      <c r="ER77">
        <v>101</v>
      </c>
      <c r="ES77">
        <v>101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3"/>
        <v>0</v>
      </c>
      <c r="FS77">
        <v>0</v>
      </c>
      <c r="FT77" t="s">
        <v>244</v>
      </c>
      <c r="FU77" t="s">
        <v>245</v>
      </c>
      <c r="FX77">
        <v>110.7</v>
      </c>
      <c r="FY77">
        <v>63.75</v>
      </c>
      <c r="GA77" t="s">
        <v>224</v>
      </c>
      <c r="GD77">
        <v>0</v>
      </c>
      <c r="GF77">
        <v>191136453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4"/>
        <v>0</v>
      </c>
      <c r="GM77">
        <f t="shared" si="95"/>
        <v>12.28</v>
      </c>
      <c r="GN77">
        <f t="shared" si="96"/>
        <v>12.28</v>
      </c>
      <c r="GO77">
        <f t="shared" si="97"/>
        <v>0</v>
      </c>
      <c r="GP77">
        <f t="shared" si="98"/>
        <v>0</v>
      </c>
      <c r="GR77">
        <v>0</v>
      </c>
      <c r="GS77">
        <v>3</v>
      </c>
      <c r="GT77">
        <v>0</v>
      </c>
      <c r="GU77" t="s">
        <v>224</v>
      </c>
      <c r="GV77">
        <f t="shared" si="99"/>
        <v>0</v>
      </c>
      <c r="GW77">
        <v>1</v>
      </c>
      <c r="GX77">
        <f t="shared" si="100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208</v>
      </c>
      <c r="D78" s="2"/>
      <c r="E78" s="2" t="s">
        <v>362</v>
      </c>
      <c r="F78" s="2" t="s">
        <v>363</v>
      </c>
      <c r="G78" s="2" t="s">
        <v>364</v>
      </c>
      <c r="H78" s="2" t="s">
        <v>356</v>
      </c>
      <c r="I78" s="2">
        <f>I70*J78</f>
        <v>0.08</v>
      </c>
      <c r="J78" s="2">
        <v>0.39999999999999997</v>
      </c>
      <c r="K78" s="2"/>
      <c r="L78" s="2"/>
      <c r="M78" s="2"/>
      <c r="N78" s="2"/>
      <c r="O78" s="2">
        <f t="shared" si="68"/>
        <v>10.24</v>
      </c>
      <c r="P78" s="2">
        <f t="shared" si="69"/>
        <v>10.24</v>
      </c>
      <c r="Q78" s="2">
        <f t="shared" si="70"/>
        <v>0</v>
      </c>
      <c r="R78" s="2">
        <f t="shared" si="71"/>
        <v>0</v>
      </c>
      <c r="S78" s="2">
        <f t="shared" si="72"/>
        <v>0</v>
      </c>
      <c r="T78" s="2">
        <f t="shared" si="73"/>
        <v>0</v>
      </c>
      <c r="U78" s="2">
        <f t="shared" si="74"/>
        <v>0</v>
      </c>
      <c r="V78" s="2">
        <f t="shared" si="75"/>
        <v>0</v>
      </c>
      <c r="W78" s="2">
        <f t="shared" si="76"/>
        <v>0</v>
      </c>
      <c r="X78" s="2">
        <f t="shared" si="77"/>
        <v>0</v>
      </c>
      <c r="Y78" s="2">
        <f t="shared" si="78"/>
        <v>0</v>
      </c>
      <c r="Z78" s="2"/>
      <c r="AA78" s="2">
        <v>16499835</v>
      </c>
      <c r="AB78" s="2">
        <f t="shared" si="79"/>
        <v>128</v>
      </c>
      <c r="AC78" s="2">
        <f t="shared" si="108"/>
        <v>128</v>
      </c>
      <c r="AD78" s="2">
        <f t="shared" si="103"/>
        <v>0</v>
      </c>
      <c r="AE78" s="2">
        <f t="shared" si="104"/>
        <v>0</v>
      </c>
      <c r="AF78" s="2">
        <f t="shared" si="105"/>
        <v>0</v>
      </c>
      <c r="AG78" s="2">
        <f t="shared" si="80"/>
        <v>0</v>
      </c>
      <c r="AH78" s="2">
        <f t="shared" si="106"/>
        <v>0</v>
      </c>
      <c r="AI78" s="2">
        <f t="shared" si="107"/>
        <v>0</v>
      </c>
      <c r="AJ78" s="2">
        <f t="shared" si="81"/>
        <v>0</v>
      </c>
      <c r="AK78" s="2">
        <v>128</v>
      </c>
      <c r="AL78" s="2">
        <v>128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111</v>
      </c>
      <c r="AU78" s="2">
        <v>64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224</v>
      </c>
      <c r="BE78" s="2" t="s">
        <v>224</v>
      </c>
      <c r="BF78" s="2" t="s">
        <v>224</v>
      </c>
      <c r="BG78" s="2" t="s">
        <v>224</v>
      </c>
      <c r="BH78" s="2">
        <v>3</v>
      </c>
      <c r="BI78" s="2">
        <v>1</v>
      </c>
      <c r="BJ78" s="2" t="s">
        <v>365</v>
      </c>
      <c r="BK78" s="2"/>
      <c r="BL78" s="2"/>
      <c r="BM78" s="2">
        <v>11001</v>
      </c>
      <c r="BN78" s="2">
        <v>0</v>
      </c>
      <c r="BO78" s="2" t="s">
        <v>224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224</v>
      </c>
      <c r="BZ78" s="2">
        <v>123</v>
      </c>
      <c r="CA78" s="2">
        <v>75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224</v>
      </c>
      <c r="CO78" s="2">
        <v>0</v>
      </c>
      <c r="CP78" s="2">
        <f t="shared" si="82"/>
        <v>10.24</v>
      </c>
      <c r="CQ78" s="2">
        <f t="shared" si="83"/>
        <v>128</v>
      </c>
      <c r="CR78" s="2">
        <f t="shared" si="84"/>
        <v>0</v>
      </c>
      <c r="CS78" s="2">
        <f t="shared" si="85"/>
        <v>0</v>
      </c>
      <c r="CT78" s="2">
        <f t="shared" si="86"/>
        <v>0</v>
      </c>
      <c r="CU78" s="2">
        <f t="shared" si="87"/>
        <v>0</v>
      </c>
      <c r="CV78" s="2">
        <f t="shared" si="88"/>
        <v>0</v>
      </c>
      <c r="CW78" s="2">
        <f t="shared" si="89"/>
        <v>0</v>
      </c>
      <c r="CX78" s="2">
        <f t="shared" si="90"/>
        <v>0</v>
      </c>
      <c r="CY78" s="2">
        <f t="shared" si="91"/>
        <v>0</v>
      </c>
      <c r="CZ78" s="2">
        <f t="shared" si="92"/>
        <v>0</v>
      </c>
      <c r="DA78" s="2"/>
      <c r="DB78" s="2"/>
      <c r="DC78" s="2" t="s">
        <v>224</v>
      </c>
      <c r="DD78" s="2" t="s">
        <v>224</v>
      </c>
      <c r="DE78" s="2" t="s">
        <v>224</v>
      </c>
      <c r="DF78" s="2" t="s">
        <v>224</v>
      </c>
      <c r="DG78" s="2" t="s">
        <v>224</v>
      </c>
      <c r="DH78" s="2" t="s">
        <v>224</v>
      </c>
      <c r="DI78" s="2" t="s">
        <v>224</v>
      </c>
      <c r="DJ78" s="2" t="s">
        <v>224</v>
      </c>
      <c r="DK78" s="2" t="s">
        <v>224</v>
      </c>
      <c r="DL78" s="2" t="s">
        <v>224</v>
      </c>
      <c r="DM78" s="2" t="s">
        <v>224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1010</v>
      </c>
      <c r="DV78" s="2" t="s">
        <v>356</v>
      </c>
      <c r="DW78" s="2" t="s">
        <v>356</v>
      </c>
      <c r="DX78" s="2">
        <v>100</v>
      </c>
      <c r="DY78" s="2"/>
      <c r="DZ78" s="2"/>
      <c r="EA78" s="2"/>
      <c r="EB78" s="2"/>
      <c r="EC78" s="2"/>
      <c r="ED78" s="2"/>
      <c r="EE78" s="2">
        <v>15139101</v>
      </c>
      <c r="EF78" s="2">
        <v>2</v>
      </c>
      <c r="EG78" s="2" t="s">
        <v>233</v>
      </c>
      <c r="EH78" s="2">
        <v>0</v>
      </c>
      <c r="EI78" s="2" t="s">
        <v>224</v>
      </c>
      <c r="EJ78" s="2">
        <v>1</v>
      </c>
      <c r="EK78" s="2">
        <v>11001</v>
      </c>
      <c r="EL78" s="2" t="s">
        <v>251</v>
      </c>
      <c r="EM78" s="2" t="s">
        <v>331</v>
      </c>
      <c r="EN78" s="2"/>
      <c r="EO78" s="2" t="s">
        <v>224</v>
      </c>
      <c r="EP78" s="2"/>
      <c r="EQ78" s="2">
        <v>0</v>
      </c>
      <c r="ER78" s="2">
        <v>128</v>
      </c>
      <c r="ES78" s="2">
        <v>128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3"/>
        <v>0</v>
      </c>
      <c r="FS78" s="2">
        <v>0</v>
      </c>
      <c r="FT78" s="2" t="s">
        <v>244</v>
      </c>
      <c r="FU78" s="2" t="s">
        <v>245</v>
      </c>
      <c r="FV78" s="2"/>
      <c r="FW78" s="2"/>
      <c r="FX78" s="2">
        <v>110.7</v>
      </c>
      <c r="FY78" s="2">
        <v>63.75</v>
      </c>
      <c r="FZ78" s="2"/>
      <c r="GA78" s="2" t="s">
        <v>224</v>
      </c>
      <c r="GB78" s="2"/>
      <c r="GC78" s="2"/>
      <c r="GD78" s="2">
        <v>0</v>
      </c>
      <c r="GE78" s="2"/>
      <c r="GF78" s="2">
        <v>1073883569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4"/>
        <v>0</v>
      </c>
      <c r="GM78" s="2">
        <f t="shared" si="95"/>
        <v>10.24</v>
      </c>
      <c r="GN78" s="2">
        <f t="shared" si="96"/>
        <v>10.24</v>
      </c>
      <c r="GO78" s="2">
        <f t="shared" si="97"/>
        <v>0</v>
      </c>
      <c r="GP78" s="2">
        <f t="shared" si="98"/>
        <v>0</v>
      </c>
      <c r="GQ78" s="2"/>
      <c r="GR78" s="2">
        <v>0</v>
      </c>
      <c r="GS78" s="2">
        <v>3</v>
      </c>
      <c r="GT78" s="2">
        <v>0</v>
      </c>
      <c r="GU78" s="2" t="s">
        <v>224</v>
      </c>
      <c r="GV78" s="2">
        <f t="shared" si="99"/>
        <v>0</v>
      </c>
      <c r="GW78" s="2">
        <v>1</v>
      </c>
      <c r="GX78" s="2">
        <f t="shared" si="100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220</v>
      </c>
      <c r="E79" t="s">
        <v>362</v>
      </c>
      <c r="F79" t="s">
        <v>363</v>
      </c>
      <c r="G79" t="s">
        <v>364</v>
      </c>
      <c r="H79" t="s">
        <v>356</v>
      </c>
      <c r="I79">
        <f>I71*J79</f>
        <v>0.08</v>
      </c>
      <c r="J79">
        <v>0.39999999999999997</v>
      </c>
      <c r="O79">
        <f t="shared" si="68"/>
        <v>62.26</v>
      </c>
      <c r="P79">
        <f t="shared" si="69"/>
        <v>62.26</v>
      </c>
      <c r="Q79">
        <f t="shared" si="70"/>
        <v>0</v>
      </c>
      <c r="R79">
        <f t="shared" si="71"/>
        <v>0</v>
      </c>
      <c r="S79">
        <f t="shared" si="72"/>
        <v>0</v>
      </c>
      <c r="T79">
        <f t="shared" si="73"/>
        <v>0</v>
      </c>
      <c r="U79">
        <f t="shared" si="74"/>
        <v>0</v>
      </c>
      <c r="V79">
        <f t="shared" si="75"/>
        <v>0</v>
      </c>
      <c r="W79">
        <f t="shared" si="76"/>
        <v>0</v>
      </c>
      <c r="X79">
        <f t="shared" si="77"/>
        <v>0</v>
      </c>
      <c r="Y79">
        <f t="shared" si="78"/>
        <v>0</v>
      </c>
      <c r="AA79">
        <v>16499878</v>
      </c>
      <c r="AB79">
        <f t="shared" si="79"/>
        <v>128</v>
      </c>
      <c r="AC79">
        <f t="shared" si="108"/>
        <v>128</v>
      </c>
      <c r="AD79">
        <f t="shared" si="103"/>
        <v>0</v>
      </c>
      <c r="AE79">
        <f t="shared" si="104"/>
        <v>0</v>
      </c>
      <c r="AF79">
        <f t="shared" si="105"/>
        <v>0</v>
      </c>
      <c r="AG79">
        <f t="shared" si="80"/>
        <v>0</v>
      </c>
      <c r="AH79">
        <f t="shared" si="106"/>
        <v>0</v>
      </c>
      <c r="AI79">
        <f t="shared" si="107"/>
        <v>0</v>
      </c>
      <c r="AJ79">
        <f t="shared" si="81"/>
        <v>0</v>
      </c>
      <c r="AK79">
        <v>128</v>
      </c>
      <c r="AL79">
        <v>128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111</v>
      </c>
      <c r="AU79">
        <v>64</v>
      </c>
      <c r="AV79">
        <v>1</v>
      </c>
      <c r="AW79">
        <v>1</v>
      </c>
      <c r="AZ79">
        <v>6.08</v>
      </c>
      <c r="BA79">
        <v>1</v>
      </c>
      <c r="BB79">
        <v>1</v>
      </c>
      <c r="BC79">
        <v>6.08</v>
      </c>
      <c r="BD79" t="s">
        <v>224</v>
      </c>
      <c r="BE79" t="s">
        <v>224</v>
      </c>
      <c r="BF79" t="s">
        <v>224</v>
      </c>
      <c r="BG79" t="s">
        <v>224</v>
      </c>
      <c r="BH79">
        <v>3</v>
      </c>
      <c r="BI79">
        <v>1</v>
      </c>
      <c r="BJ79" t="s">
        <v>365</v>
      </c>
      <c r="BM79">
        <v>11001</v>
      </c>
      <c r="BN79">
        <v>0</v>
      </c>
      <c r="BO79" t="s">
        <v>224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224</v>
      </c>
      <c r="BZ79">
        <v>123</v>
      </c>
      <c r="CA79">
        <v>75</v>
      </c>
      <c r="CF79">
        <v>0</v>
      </c>
      <c r="CG79">
        <v>0</v>
      </c>
      <c r="CM79">
        <v>0</v>
      </c>
      <c r="CN79" t="s">
        <v>224</v>
      </c>
      <c r="CO79">
        <v>0</v>
      </c>
      <c r="CP79">
        <f t="shared" si="82"/>
        <v>62.26</v>
      </c>
      <c r="CQ79">
        <f t="shared" si="83"/>
        <v>778.24</v>
      </c>
      <c r="CR79">
        <f t="shared" si="84"/>
        <v>0</v>
      </c>
      <c r="CS79">
        <f t="shared" si="85"/>
        <v>0</v>
      </c>
      <c r="CT79">
        <f t="shared" si="86"/>
        <v>0</v>
      </c>
      <c r="CU79">
        <f t="shared" si="87"/>
        <v>0</v>
      </c>
      <c r="CV79">
        <f t="shared" si="88"/>
        <v>0</v>
      </c>
      <c r="CW79">
        <f t="shared" si="89"/>
        <v>0</v>
      </c>
      <c r="CX79">
        <f t="shared" si="90"/>
        <v>0</v>
      </c>
      <c r="CY79">
        <f t="shared" si="91"/>
        <v>0</v>
      </c>
      <c r="CZ79">
        <f t="shared" si="92"/>
        <v>0</v>
      </c>
      <c r="DC79" t="s">
        <v>224</v>
      </c>
      <c r="DD79" t="s">
        <v>224</v>
      </c>
      <c r="DE79" t="s">
        <v>224</v>
      </c>
      <c r="DF79" t="s">
        <v>224</v>
      </c>
      <c r="DG79" t="s">
        <v>224</v>
      </c>
      <c r="DH79" t="s">
        <v>224</v>
      </c>
      <c r="DI79" t="s">
        <v>224</v>
      </c>
      <c r="DJ79" t="s">
        <v>224</v>
      </c>
      <c r="DK79" t="s">
        <v>224</v>
      </c>
      <c r="DL79" t="s">
        <v>224</v>
      </c>
      <c r="DM79" t="s">
        <v>224</v>
      </c>
      <c r="DN79">
        <v>0</v>
      </c>
      <c r="DO79">
        <v>0</v>
      </c>
      <c r="DP79">
        <v>1</v>
      </c>
      <c r="DQ79">
        <v>1</v>
      </c>
      <c r="DU79">
        <v>1010</v>
      </c>
      <c r="DV79" t="s">
        <v>356</v>
      </c>
      <c r="DW79" t="s">
        <v>356</v>
      </c>
      <c r="DX79">
        <v>100</v>
      </c>
      <c r="EE79">
        <v>15139101</v>
      </c>
      <c r="EF79">
        <v>2</v>
      </c>
      <c r="EG79" t="s">
        <v>233</v>
      </c>
      <c r="EH79">
        <v>0</v>
      </c>
      <c r="EI79" t="s">
        <v>224</v>
      </c>
      <c r="EJ79">
        <v>1</v>
      </c>
      <c r="EK79">
        <v>11001</v>
      </c>
      <c r="EL79" t="s">
        <v>251</v>
      </c>
      <c r="EM79" t="s">
        <v>331</v>
      </c>
      <c r="EO79" t="s">
        <v>224</v>
      </c>
      <c r="EQ79">
        <v>0</v>
      </c>
      <c r="ER79">
        <v>128</v>
      </c>
      <c r="ES79">
        <v>128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3"/>
        <v>0</v>
      </c>
      <c r="FS79">
        <v>0</v>
      </c>
      <c r="FT79" t="s">
        <v>244</v>
      </c>
      <c r="FU79" t="s">
        <v>245</v>
      </c>
      <c r="FX79">
        <v>110.7</v>
      </c>
      <c r="FY79">
        <v>63.75</v>
      </c>
      <c r="GA79" t="s">
        <v>224</v>
      </c>
      <c r="GD79">
        <v>0</v>
      </c>
      <c r="GF79">
        <v>1073883569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4"/>
        <v>0</v>
      </c>
      <c r="GM79">
        <f t="shared" si="95"/>
        <v>62.26</v>
      </c>
      <c r="GN79">
        <f t="shared" si="96"/>
        <v>62.26</v>
      </c>
      <c r="GO79">
        <f t="shared" si="97"/>
        <v>0</v>
      </c>
      <c r="GP79">
        <f t="shared" si="98"/>
        <v>0</v>
      </c>
      <c r="GR79">
        <v>0</v>
      </c>
      <c r="GS79">
        <v>3</v>
      </c>
      <c r="GT79">
        <v>0</v>
      </c>
      <c r="GU79" t="s">
        <v>224</v>
      </c>
      <c r="GV79">
        <f t="shared" si="99"/>
        <v>0</v>
      </c>
      <c r="GW79">
        <v>1</v>
      </c>
      <c r="GX79">
        <f t="shared" si="100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209</v>
      </c>
      <c r="D80" s="2"/>
      <c r="E80" s="2" t="s">
        <v>366</v>
      </c>
      <c r="F80" s="2" t="s">
        <v>367</v>
      </c>
      <c r="G80" s="2" t="s">
        <v>368</v>
      </c>
      <c r="H80" s="2" t="s">
        <v>356</v>
      </c>
      <c r="I80" s="2">
        <f>I70*J80</f>
        <v>0.01</v>
      </c>
      <c r="J80" s="2">
        <v>4.9999999999999996E-2</v>
      </c>
      <c r="K80" s="2"/>
      <c r="L80" s="2"/>
      <c r="M80" s="2"/>
      <c r="N80" s="2"/>
      <c r="O80" s="2">
        <f t="shared" si="68"/>
        <v>1.28</v>
      </c>
      <c r="P80" s="2">
        <f t="shared" si="69"/>
        <v>1.28</v>
      </c>
      <c r="Q80" s="2">
        <f t="shared" si="70"/>
        <v>0</v>
      </c>
      <c r="R80" s="2">
        <f t="shared" si="71"/>
        <v>0</v>
      </c>
      <c r="S80" s="2">
        <f t="shared" si="72"/>
        <v>0</v>
      </c>
      <c r="T80" s="2">
        <f t="shared" si="73"/>
        <v>0</v>
      </c>
      <c r="U80" s="2">
        <f t="shared" si="74"/>
        <v>0</v>
      </c>
      <c r="V80" s="2">
        <f t="shared" si="75"/>
        <v>0</v>
      </c>
      <c r="W80" s="2">
        <f t="shared" si="76"/>
        <v>0</v>
      </c>
      <c r="X80" s="2">
        <f t="shared" si="77"/>
        <v>0</v>
      </c>
      <c r="Y80" s="2">
        <f t="shared" si="78"/>
        <v>0</v>
      </c>
      <c r="Z80" s="2"/>
      <c r="AA80" s="2">
        <v>16499835</v>
      </c>
      <c r="AB80" s="2">
        <f t="shared" si="79"/>
        <v>128</v>
      </c>
      <c r="AC80" s="2">
        <f t="shared" si="108"/>
        <v>128</v>
      </c>
      <c r="AD80" s="2">
        <f t="shared" si="103"/>
        <v>0</v>
      </c>
      <c r="AE80" s="2">
        <f t="shared" si="104"/>
        <v>0</v>
      </c>
      <c r="AF80" s="2">
        <f t="shared" si="105"/>
        <v>0</v>
      </c>
      <c r="AG80" s="2">
        <f t="shared" si="80"/>
        <v>0</v>
      </c>
      <c r="AH80" s="2">
        <f t="shared" si="106"/>
        <v>0</v>
      </c>
      <c r="AI80" s="2">
        <f t="shared" si="107"/>
        <v>0</v>
      </c>
      <c r="AJ80" s="2">
        <f t="shared" si="81"/>
        <v>0</v>
      </c>
      <c r="AK80" s="2">
        <v>128</v>
      </c>
      <c r="AL80" s="2">
        <v>128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111</v>
      </c>
      <c r="AU80" s="2">
        <v>64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224</v>
      </c>
      <c r="BE80" s="2" t="s">
        <v>224</v>
      </c>
      <c r="BF80" s="2" t="s">
        <v>224</v>
      </c>
      <c r="BG80" s="2" t="s">
        <v>224</v>
      </c>
      <c r="BH80" s="2">
        <v>3</v>
      </c>
      <c r="BI80" s="2">
        <v>1</v>
      </c>
      <c r="BJ80" s="2" t="s">
        <v>369</v>
      </c>
      <c r="BK80" s="2"/>
      <c r="BL80" s="2"/>
      <c r="BM80" s="2">
        <v>11001</v>
      </c>
      <c r="BN80" s="2">
        <v>0</v>
      </c>
      <c r="BO80" s="2" t="s">
        <v>224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224</v>
      </c>
      <c r="BZ80" s="2">
        <v>123</v>
      </c>
      <c r="CA80" s="2">
        <v>75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224</v>
      </c>
      <c r="CO80" s="2">
        <v>0</v>
      </c>
      <c r="CP80" s="2">
        <f t="shared" si="82"/>
        <v>1.28</v>
      </c>
      <c r="CQ80" s="2">
        <f t="shared" si="83"/>
        <v>128</v>
      </c>
      <c r="CR80" s="2">
        <f t="shared" si="84"/>
        <v>0</v>
      </c>
      <c r="CS80" s="2">
        <f t="shared" si="85"/>
        <v>0</v>
      </c>
      <c r="CT80" s="2">
        <f t="shared" si="86"/>
        <v>0</v>
      </c>
      <c r="CU80" s="2">
        <f t="shared" si="87"/>
        <v>0</v>
      </c>
      <c r="CV80" s="2">
        <f t="shared" si="88"/>
        <v>0</v>
      </c>
      <c r="CW80" s="2">
        <f t="shared" si="89"/>
        <v>0</v>
      </c>
      <c r="CX80" s="2">
        <f t="shared" si="90"/>
        <v>0</v>
      </c>
      <c r="CY80" s="2">
        <f t="shared" si="91"/>
        <v>0</v>
      </c>
      <c r="CZ80" s="2">
        <f t="shared" si="92"/>
        <v>0</v>
      </c>
      <c r="DA80" s="2"/>
      <c r="DB80" s="2"/>
      <c r="DC80" s="2" t="s">
        <v>224</v>
      </c>
      <c r="DD80" s="2" t="s">
        <v>224</v>
      </c>
      <c r="DE80" s="2" t="s">
        <v>224</v>
      </c>
      <c r="DF80" s="2" t="s">
        <v>224</v>
      </c>
      <c r="DG80" s="2" t="s">
        <v>224</v>
      </c>
      <c r="DH80" s="2" t="s">
        <v>224</v>
      </c>
      <c r="DI80" s="2" t="s">
        <v>224</v>
      </c>
      <c r="DJ80" s="2" t="s">
        <v>224</v>
      </c>
      <c r="DK80" s="2" t="s">
        <v>224</v>
      </c>
      <c r="DL80" s="2" t="s">
        <v>224</v>
      </c>
      <c r="DM80" s="2" t="s">
        <v>224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1010</v>
      </c>
      <c r="DV80" s="2" t="s">
        <v>356</v>
      </c>
      <c r="DW80" s="2" t="s">
        <v>356</v>
      </c>
      <c r="DX80" s="2">
        <v>100</v>
      </c>
      <c r="DY80" s="2"/>
      <c r="DZ80" s="2"/>
      <c r="EA80" s="2"/>
      <c r="EB80" s="2"/>
      <c r="EC80" s="2"/>
      <c r="ED80" s="2"/>
      <c r="EE80" s="2">
        <v>15139101</v>
      </c>
      <c r="EF80" s="2">
        <v>2</v>
      </c>
      <c r="EG80" s="2" t="s">
        <v>233</v>
      </c>
      <c r="EH80" s="2">
        <v>0</v>
      </c>
      <c r="EI80" s="2" t="s">
        <v>224</v>
      </c>
      <c r="EJ80" s="2">
        <v>1</v>
      </c>
      <c r="EK80" s="2">
        <v>11001</v>
      </c>
      <c r="EL80" s="2" t="s">
        <v>251</v>
      </c>
      <c r="EM80" s="2" t="s">
        <v>331</v>
      </c>
      <c r="EN80" s="2"/>
      <c r="EO80" s="2" t="s">
        <v>224</v>
      </c>
      <c r="EP80" s="2"/>
      <c r="EQ80" s="2">
        <v>0</v>
      </c>
      <c r="ER80" s="2">
        <v>128</v>
      </c>
      <c r="ES80" s="2">
        <v>128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3"/>
        <v>0</v>
      </c>
      <c r="FS80" s="2">
        <v>0</v>
      </c>
      <c r="FT80" s="2" t="s">
        <v>244</v>
      </c>
      <c r="FU80" s="2" t="s">
        <v>245</v>
      </c>
      <c r="FV80" s="2"/>
      <c r="FW80" s="2"/>
      <c r="FX80" s="2">
        <v>110.7</v>
      </c>
      <c r="FY80" s="2">
        <v>63.75</v>
      </c>
      <c r="FZ80" s="2"/>
      <c r="GA80" s="2" t="s">
        <v>224</v>
      </c>
      <c r="GB80" s="2"/>
      <c r="GC80" s="2"/>
      <c r="GD80" s="2">
        <v>0</v>
      </c>
      <c r="GE80" s="2"/>
      <c r="GF80" s="2">
        <v>1800897042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4"/>
        <v>0</v>
      </c>
      <c r="GM80" s="2">
        <f t="shared" si="95"/>
        <v>1.28</v>
      </c>
      <c r="GN80" s="2">
        <f t="shared" si="96"/>
        <v>1.28</v>
      </c>
      <c r="GO80" s="2">
        <f t="shared" si="97"/>
        <v>0</v>
      </c>
      <c r="GP80" s="2">
        <f t="shared" si="98"/>
        <v>0</v>
      </c>
      <c r="GQ80" s="2"/>
      <c r="GR80" s="2">
        <v>0</v>
      </c>
      <c r="GS80" s="2">
        <v>3</v>
      </c>
      <c r="GT80" s="2">
        <v>0</v>
      </c>
      <c r="GU80" s="2" t="s">
        <v>224</v>
      </c>
      <c r="GV80" s="2">
        <f t="shared" si="99"/>
        <v>0</v>
      </c>
      <c r="GW80" s="2">
        <v>1</v>
      </c>
      <c r="GX80" s="2">
        <f t="shared" si="100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221</v>
      </c>
      <c r="E81" t="s">
        <v>366</v>
      </c>
      <c r="F81" t="s">
        <v>367</v>
      </c>
      <c r="G81" t="s">
        <v>368</v>
      </c>
      <c r="H81" t="s">
        <v>356</v>
      </c>
      <c r="I81">
        <f>I71*J81</f>
        <v>0.01</v>
      </c>
      <c r="J81">
        <v>4.9999999999999996E-2</v>
      </c>
      <c r="O81">
        <f t="shared" si="68"/>
        <v>7.78</v>
      </c>
      <c r="P81">
        <f t="shared" si="69"/>
        <v>7.78</v>
      </c>
      <c r="Q81">
        <f t="shared" si="70"/>
        <v>0</v>
      </c>
      <c r="R81">
        <f t="shared" si="71"/>
        <v>0</v>
      </c>
      <c r="S81">
        <f t="shared" si="72"/>
        <v>0</v>
      </c>
      <c r="T81">
        <f t="shared" si="73"/>
        <v>0</v>
      </c>
      <c r="U81">
        <f t="shared" si="74"/>
        <v>0</v>
      </c>
      <c r="V81">
        <f t="shared" si="75"/>
        <v>0</v>
      </c>
      <c r="W81">
        <f t="shared" si="76"/>
        <v>0</v>
      </c>
      <c r="X81">
        <f t="shared" si="77"/>
        <v>0</v>
      </c>
      <c r="Y81">
        <f t="shared" si="78"/>
        <v>0</v>
      </c>
      <c r="AA81">
        <v>16499878</v>
      </c>
      <c r="AB81">
        <f t="shared" si="79"/>
        <v>128</v>
      </c>
      <c r="AC81">
        <f t="shared" si="108"/>
        <v>128</v>
      </c>
      <c r="AD81">
        <f t="shared" si="103"/>
        <v>0</v>
      </c>
      <c r="AE81">
        <f t="shared" si="104"/>
        <v>0</v>
      </c>
      <c r="AF81">
        <f t="shared" si="105"/>
        <v>0</v>
      </c>
      <c r="AG81">
        <f t="shared" si="80"/>
        <v>0</v>
      </c>
      <c r="AH81">
        <f t="shared" si="106"/>
        <v>0</v>
      </c>
      <c r="AI81">
        <f t="shared" si="107"/>
        <v>0</v>
      </c>
      <c r="AJ81">
        <f t="shared" si="81"/>
        <v>0</v>
      </c>
      <c r="AK81">
        <v>128</v>
      </c>
      <c r="AL81">
        <v>128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111</v>
      </c>
      <c r="AU81">
        <v>64</v>
      </c>
      <c r="AV81">
        <v>1</v>
      </c>
      <c r="AW81">
        <v>1</v>
      </c>
      <c r="AZ81">
        <v>6.08</v>
      </c>
      <c r="BA81">
        <v>1</v>
      </c>
      <c r="BB81">
        <v>1</v>
      </c>
      <c r="BC81">
        <v>6.08</v>
      </c>
      <c r="BD81" t="s">
        <v>224</v>
      </c>
      <c r="BE81" t="s">
        <v>224</v>
      </c>
      <c r="BF81" t="s">
        <v>224</v>
      </c>
      <c r="BG81" t="s">
        <v>224</v>
      </c>
      <c r="BH81">
        <v>3</v>
      </c>
      <c r="BI81">
        <v>1</v>
      </c>
      <c r="BJ81" t="s">
        <v>369</v>
      </c>
      <c r="BM81">
        <v>11001</v>
      </c>
      <c r="BN81">
        <v>0</v>
      </c>
      <c r="BO81" t="s">
        <v>224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224</v>
      </c>
      <c r="BZ81">
        <v>123</v>
      </c>
      <c r="CA81">
        <v>75</v>
      </c>
      <c r="CF81">
        <v>0</v>
      </c>
      <c r="CG81">
        <v>0</v>
      </c>
      <c r="CM81">
        <v>0</v>
      </c>
      <c r="CN81" t="s">
        <v>224</v>
      </c>
      <c r="CO81">
        <v>0</v>
      </c>
      <c r="CP81">
        <f t="shared" si="82"/>
        <v>7.78</v>
      </c>
      <c r="CQ81">
        <f t="shared" si="83"/>
        <v>778.24</v>
      </c>
      <c r="CR81">
        <f t="shared" si="84"/>
        <v>0</v>
      </c>
      <c r="CS81">
        <f t="shared" si="85"/>
        <v>0</v>
      </c>
      <c r="CT81">
        <f t="shared" si="86"/>
        <v>0</v>
      </c>
      <c r="CU81">
        <f t="shared" si="87"/>
        <v>0</v>
      </c>
      <c r="CV81">
        <f t="shared" si="88"/>
        <v>0</v>
      </c>
      <c r="CW81">
        <f t="shared" si="89"/>
        <v>0</v>
      </c>
      <c r="CX81">
        <f t="shared" si="90"/>
        <v>0</v>
      </c>
      <c r="CY81">
        <f t="shared" si="91"/>
        <v>0</v>
      </c>
      <c r="CZ81">
        <f t="shared" si="92"/>
        <v>0</v>
      </c>
      <c r="DC81" t="s">
        <v>224</v>
      </c>
      <c r="DD81" t="s">
        <v>224</v>
      </c>
      <c r="DE81" t="s">
        <v>224</v>
      </c>
      <c r="DF81" t="s">
        <v>224</v>
      </c>
      <c r="DG81" t="s">
        <v>224</v>
      </c>
      <c r="DH81" t="s">
        <v>224</v>
      </c>
      <c r="DI81" t="s">
        <v>224</v>
      </c>
      <c r="DJ81" t="s">
        <v>224</v>
      </c>
      <c r="DK81" t="s">
        <v>224</v>
      </c>
      <c r="DL81" t="s">
        <v>224</v>
      </c>
      <c r="DM81" t="s">
        <v>224</v>
      </c>
      <c r="DN81">
        <v>0</v>
      </c>
      <c r="DO81">
        <v>0</v>
      </c>
      <c r="DP81">
        <v>1</v>
      </c>
      <c r="DQ81">
        <v>1</v>
      </c>
      <c r="DU81">
        <v>1010</v>
      </c>
      <c r="DV81" t="s">
        <v>356</v>
      </c>
      <c r="DW81" t="s">
        <v>356</v>
      </c>
      <c r="DX81">
        <v>100</v>
      </c>
      <c r="EE81">
        <v>15139101</v>
      </c>
      <c r="EF81">
        <v>2</v>
      </c>
      <c r="EG81" t="s">
        <v>233</v>
      </c>
      <c r="EH81">
        <v>0</v>
      </c>
      <c r="EI81" t="s">
        <v>224</v>
      </c>
      <c r="EJ81">
        <v>1</v>
      </c>
      <c r="EK81">
        <v>11001</v>
      </c>
      <c r="EL81" t="s">
        <v>251</v>
      </c>
      <c r="EM81" t="s">
        <v>331</v>
      </c>
      <c r="EO81" t="s">
        <v>224</v>
      </c>
      <c r="EQ81">
        <v>0</v>
      </c>
      <c r="ER81">
        <v>128</v>
      </c>
      <c r="ES81">
        <v>128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3"/>
        <v>0</v>
      </c>
      <c r="FS81">
        <v>0</v>
      </c>
      <c r="FT81" t="s">
        <v>244</v>
      </c>
      <c r="FU81" t="s">
        <v>245</v>
      </c>
      <c r="FX81">
        <v>110.7</v>
      </c>
      <c r="FY81">
        <v>63.75</v>
      </c>
      <c r="GA81" t="s">
        <v>224</v>
      </c>
      <c r="GD81">
        <v>0</v>
      </c>
      <c r="GF81">
        <v>1800897042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4"/>
        <v>0</v>
      </c>
      <c r="GM81">
        <f t="shared" si="95"/>
        <v>7.78</v>
      </c>
      <c r="GN81">
        <f t="shared" si="96"/>
        <v>7.78</v>
      </c>
      <c r="GO81">
        <f t="shared" si="97"/>
        <v>0</v>
      </c>
      <c r="GP81">
        <f t="shared" si="98"/>
        <v>0</v>
      </c>
      <c r="GR81">
        <v>0</v>
      </c>
      <c r="GS81">
        <v>3</v>
      </c>
      <c r="GT81">
        <v>0</v>
      </c>
      <c r="GU81" t="s">
        <v>224</v>
      </c>
      <c r="GV81">
        <f t="shared" si="99"/>
        <v>0</v>
      </c>
      <c r="GW81">
        <v>1</v>
      </c>
      <c r="GX81">
        <f t="shared" si="100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210</v>
      </c>
      <c r="D82" s="2"/>
      <c r="E82" s="2" t="s">
        <v>370</v>
      </c>
      <c r="F82" s="2" t="s">
        <v>371</v>
      </c>
      <c r="G82" s="2" t="s">
        <v>372</v>
      </c>
      <c r="H82" s="2" t="s">
        <v>356</v>
      </c>
      <c r="I82" s="2">
        <f>I70*J82</f>
        <v>0.01</v>
      </c>
      <c r="J82" s="2">
        <v>4.9999999999999996E-2</v>
      </c>
      <c r="K82" s="2"/>
      <c r="L82" s="2"/>
      <c r="M82" s="2"/>
      <c r="N82" s="2"/>
      <c r="O82" s="2">
        <f t="shared" si="68"/>
        <v>1.28</v>
      </c>
      <c r="P82" s="2">
        <f t="shared" si="69"/>
        <v>1.28</v>
      </c>
      <c r="Q82" s="2">
        <f t="shared" si="70"/>
        <v>0</v>
      </c>
      <c r="R82" s="2">
        <f t="shared" si="71"/>
        <v>0</v>
      </c>
      <c r="S82" s="2">
        <f t="shared" si="72"/>
        <v>0</v>
      </c>
      <c r="T82" s="2">
        <f t="shared" si="73"/>
        <v>0</v>
      </c>
      <c r="U82" s="2">
        <f t="shared" si="74"/>
        <v>0</v>
      </c>
      <c r="V82" s="2">
        <f t="shared" si="75"/>
        <v>0</v>
      </c>
      <c r="W82" s="2">
        <f t="shared" si="76"/>
        <v>0</v>
      </c>
      <c r="X82" s="2">
        <f t="shared" si="77"/>
        <v>0</v>
      </c>
      <c r="Y82" s="2">
        <f t="shared" si="78"/>
        <v>0</v>
      </c>
      <c r="Z82" s="2"/>
      <c r="AA82" s="2">
        <v>16499835</v>
      </c>
      <c r="AB82" s="2">
        <f t="shared" si="79"/>
        <v>128</v>
      </c>
      <c r="AC82" s="2">
        <f t="shared" si="108"/>
        <v>128</v>
      </c>
      <c r="AD82" s="2">
        <f t="shared" si="103"/>
        <v>0</v>
      </c>
      <c r="AE82" s="2">
        <f t="shared" si="104"/>
        <v>0</v>
      </c>
      <c r="AF82" s="2">
        <f t="shared" si="105"/>
        <v>0</v>
      </c>
      <c r="AG82" s="2">
        <f t="shared" si="80"/>
        <v>0</v>
      </c>
      <c r="AH82" s="2">
        <f t="shared" si="106"/>
        <v>0</v>
      </c>
      <c r="AI82" s="2">
        <f t="shared" si="107"/>
        <v>0</v>
      </c>
      <c r="AJ82" s="2">
        <f t="shared" si="81"/>
        <v>0</v>
      </c>
      <c r="AK82" s="2">
        <v>128</v>
      </c>
      <c r="AL82" s="2">
        <v>128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111</v>
      </c>
      <c r="AU82" s="2">
        <v>64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224</v>
      </c>
      <c r="BE82" s="2" t="s">
        <v>224</v>
      </c>
      <c r="BF82" s="2" t="s">
        <v>224</v>
      </c>
      <c r="BG82" s="2" t="s">
        <v>224</v>
      </c>
      <c r="BH82" s="2">
        <v>3</v>
      </c>
      <c r="BI82" s="2">
        <v>1</v>
      </c>
      <c r="BJ82" s="2" t="s">
        <v>373</v>
      </c>
      <c r="BK82" s="2"/>
      <c r="BL82" s="2"/>
      <c r="BM82" s="2">
        <v>11001</v>
      </c>
      <c r="BN82" s="2">
        <v>0</v>
      </c>
      <c r="BO82" s="2" t="s">
        <v>224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224</v>
      </c>
      <c r="BZ82" s="2">
        <v>123</v>
      </c>
      <c r="CA82" s="2">
        <v>75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224</v>
      </c>
      <c r="CO82" s="2">
        <v>0</v>
      </c>
      <c r="CP82" s="2">
        <f t="shared" si="82"/>
        <v>1.28</v>
      </c>
      <c r="CQ82" s="2">
        <f t="shared" si="83"/>
        <v>128</v>
      </c>
      <c r="CR82" s="2">
        <f t="shared" si="84"/>
        <v>0</v>
      </c>
      <c r="CS82" s="2">
        <f t="shared" si="85"/>
        <v>0</v>
      </c>
      <c r="CT82" s="2">
        <f t="shared" si="86"/>
        <v>0</v>
      </c>
      <c r="CU82" s="2">
        <f t="shared" si="87"/>
        <v>0</v>
      </c>
      <c r="CV82" s="2">
        <f t="shared" si="88"/>
        <v>0</v>
      </c>
      <c r="CW82" s="2">
        <f t="shared" si="89"/>
        <v>0</v>
      </c>
      <c r="CX82" s="2">
        <f t="shared" si="90"/>
        <v>0</v>
      </c>
      <c r="CY82" s="2">
        <f t="shared" si="91"/>
        <v>0</v>
      </c>
      <c r="CZ82" s="2">
        <f t="shared" si="92"/>
        <v>0</v>
      </c>
      <c r="DA82" s="2"/>
      <c r="DB82" s="2"/>
      <c r="DC82" s="2" t="s">
        <v>224</v>
      </c>
      <c r="DD82" s="2" t="s">
        <v>224</v>
      </c>
      <c r="DE82" s="2" t="s">
        <v>224</v>
      </c>
      <c r="DF82" s="2" t="s">
        <v>224</v>
      </c>
      <c r="DG82" s="2" t="s">
        <v>224</v>
      </c>
      <c r="DH82" s="2" t="s">
        <v>224</v>
      </c>
      <c r="DI82" s="2" t="s">
        <v>224</v>
      </c>
      <c r="DJ82" s="2" t="s">
        <v>224</v>
      </c>
      <c r="DK82" s="2" t="s">
        <v>224</v>
      </c>
      <c r="DL82" s="2" t="s">
        <v>224</v>
      </c>
      <c r="DM82" s="2" t="s">
        <v>224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1010</v>
      </c>
      <c r="DV82" s="2" t="s">
        <v>356</v>
      </c>
      <c r="DW82" s="2" t="s">
        <v>356</v>
      </c>
      <c r="DX82" s="2">
        <v>100</v>
      </c>
      <c r="DY82" s="2"/>
      <c r="DZ82" s="2"/>
      <c r="EA82" s="2"/>
      <c r="EB82" s="2"/>
      <c r="EC82" s="2"/>
      <c r="ED82" s="2"/>
      <c r="EE82" s="2">
        <v>15139101</v>
      </c>
      <c r="EF82" s="2">
        <v>2</v>
      </c>
      <c r="EG82" s="2" t="s">
        <v>233</v>
      </c>
      <c r="EH82" s="2">
        <v>0</v>
      </c>
      <c r="EI82" s="2" t="s">
        <v>224</v>
      </c>
      <c r="EJ82" s="2">
        <v>1</v>
      </c>
      <c r="EK82" s="2">
        <v>11001</v>
      </c>
      <c r="EL82" s="2" t="s">
        <v>251</v>
      </c>
      <c r="EM82" s="2" t="s">
        <v>331</v>
      </c>
      <c r="EN82" s="2"/>
      <c r="EO82" s="2" t="s">
        <v>224</v>
      </c>
      <c r="EP82" s="2"/>
      <c r="EQ82" s="2">
        <v>0</v>
      </c>
      <c r="ER82" s="2">
        <v>128</v>
      </c>
      <c r="ES82" s="2">
        <v>128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3"/>
        <v>0</v>
      </c>
      <c r="FS82" s="2">
        <v>0</v>
      </c>
      <c r="FT82" s="2" t="s">
        <v>244</v>
      </c>
      <c r="FU82" s="2" t="s">
        <v>245</v>
      </c>
      <c r="FV82" s="2"/>
      <c r="FW82" s="2"/>
      <c r="FX82" s="2">
        <v>110.7</v>
      </c>
      <c r="FY82" s="2">
        <v>63.75</v>
      </c>
      <c r="FZ82" s="2"/>
      <c r="GA82" s="2" t="s">
        <v>224</v>
      </c>
      <c r="GB82" s="2"/>
      <c r="GC82" s="2"/>
      <c r="GD82" s="2">
        <v>0</v>
      </c>
      <c r="GE82" s="2"/>
      <c r="GF82" s="2">
        <v>952646044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4"/>
        <v>0</v>
      </c>
      <c r="GM82" s="2">
        <f t="shared" si="95"/>
        <v>1.28</v>
      </c>
      <c r="GN82" s="2">
        <f t="shared" si="96"/>
        <v>1.28</v>
      </c>
      <c r="GO82" s="2">
        <f t="shared" si="97"/>
        <v>0</v>
      </c>
      <c r="GP82" s="2">
        <f t="shared" si="98"/>
        <v>0</v>
      </c>
      <c r="GQ82" s="2"/>
      <c r="GR82" s="2">
        <v>0</v>
      </c>
      <c r="GS82" s="2">
        <v>3</v>
      </c>
      <c r="GT82" s="2">
        <v>0</v>
      </c>
      <c r="GU82" s="2" t="s">
        <v>224</v>
      </c>
      <c r="GV82" s="2">
        <f t="shared" si="99"/>
        <v>0</v>
      </c>
      <c r="GW82" s="2">
        <v>1</v>
      </c>
      <c r="GX82" s="2">
        <f t="shared" si="100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222</v>
      </c>
      <c r="E83" t="s">
        <v>370</v>
      </c>
      <c r="F83" t="s">
        <v>371</v>
      </c>
      <c r="G83" t="s">
        <v>372</v>
      </c>
      <c r="H83" t="s">
        <v>356</v>
      </c>
      <c r="I83">
        <f>I71*J83</f>
        <v>0.01</v>
      </c>
      <c r="J83">
        <v>4.9999999999999996E-2</v>
      </c>
      <c r="O83">
        <f t="shared" si="68"/>
        <v>7.78</v>
      </c>
      <c r="P83">
        <f t="shared" si="69"/>
        <v>7.78</v>
      </c>
      <c r="Q83">
        <f t="shared" si="70"/>
        <v>0</v>
      </c>
      <c r="R83">
        <f t="shared" si="71"/>
        <v>0</v>
      </c>
      <c r="S83">
        <f t="shared" si="72"/>
        <v>0</v>
      </c>
      <c r="T83">
        <f t="shared" si="73"/>
        <v>0</v>
      </c>
      <c r="U83">
        <f t="shared" si="74"/>
        <v>0</v>
      </c>
      <c r="V83">
        <f t="shared" si="75"/>
        <v>0</v>
      </c>
      <c r="W83">
        <f t="shared" si="76"/>
        <v>0</v>
      </c>
      <c r="X83">
        <f t="shared" si="77"/>
        <v>0</v>
      </c>
      <c r="Y83">
        <f t="shared" si="78"/>
        <v>0</v>
      </c>
      <c r="AA83">
        <v>16499878</v>
      </c>
      <c r="AB83">
        <f t="shared" si="79"/>
        <v>128</v>
      </c>
      <c r="AC83">
        <f t="shared" si="108"/>
        <v>128</v>
      </c>
      <c r="AD83">
        <f t="shared" si="103"/>
        <v>0</v>
      </c>
      <c r="AE83">
        <f t="shared" si="104"/>
        <v>0</v>
      </c>
      <c r="AF83">
        <f t="shared" si="105"/>
        <v>0</v>
      </c>
      <c r="AG83">
        <f t="shared" si="80"/>
        <v>0</v>
      </c>
      <c r="AH83">
        <f t="shared" si="106"/>
        <v>0</v>
      </c>
      <c r="AI83">
        <f t="shared" si="107"/>
        <v>0</v>
      </c>
      <c r="AJ83">
        <f t="shared" si="81"/>
        <v>0</v>
      </c>
      <c r="AK83">
        <v>128</v>
      </c>
      <c r="AL83">
        <v>128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111</v>
      </c>
      <c r="AU83">
        <v>64</v>
      </c>
      <c r="AV83">
        <v>1</v>
      </c>
      <c r="AW83">
        <v>1</v>
      </c>
      <c r="AZ83">
        <v>6.08</v>
      </c>
      <c r="BA83">
        <v>1</v>
      </c>
      <c r="BB83">
        <v>1</v>
      </c>
      <c r="BC83">
        <v>6.08</v>
      </c>
      <c r="BD83" t="s">
        <v>224</v>
      </c>
      <c r="BE83" t="s">
        <v>224</v>
      </c>
      <c r="BF83" t="s">
        <v>224</v>
      </c>
      <c r="BG83" t="s">
        <v>224</v>
      </c>
      <c r="BH83">
        <v>3</v>
      </c>
      <c r="BI83">
        <v>1</v>
      </c>
      <c r="BJ83" t="s">
        <v>373</v>
      </c>
      <c r="BM83">
        <v>11001</v>
      </c>
      <c r="BN83">
        <v>0</v>
      </c>
      <c r="BO83" t="s">
        <v>224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224</v>
      </c>
      <c r="BZ83">
        <v>123</v>
      </c>
      <c r="CA83">
        <v>75</v>
      </c>
      <c r="CF83">
        <v>0</v>
      </c>
      <c r="CG83">
        <v>0</v>
      </c>
      <c r="CM83">
        <v>0</v>
      </c>
      <c r="CN83" t="s">
        <v>224</v>
      </c>
      <c r="CO83">
        <v>0</v>
      </c>
      <c r="CP83">
        <f t="shared" si="82"/>
        <v>7.78</v>
      </c>
      <c r="CQ83">
        <f t="shared" si="83"/>
        <v>778.24</v>
      </c>
      <c r="CR83">
        <f t="shared" si="84"/>
        <v>0</v>
      </c>
      <c r="CS83">
        <f t="shared" si="85"/>
        <v>0</v>
      </c>
      <c r="CT83">
        <f t="shared" si="86"/>
        <v>0</v>
      </c>
      <c r="CU83">
        <f t="shared" si="87"/>
        <v>0</v>
      </c>
      <c r="CV83">
        <f t="shared" si="88"/>
        <v>0</v>
      </c>
      <c r="CW83">
        <f t="shared" si="89"/>
        <v>0</v>
      </c>
      <c r="CX83">
        <f t="shared" si="90"/>
        <v>0</v>
      </c>
      <c r="CY83">
        <f t="shared" si="91"/>
        <v>0</v>
      </c>
      <c r="CZ83">
        <f t="shared" si="92"/>
        <v>0</v>
      </c>
      <c r="DC83" t="s">
        <v>224</v>
      </c>
      <c r="DD83" t="s">
        <v>224</v>
      </c>
      <c r="DE83" t="s">
        <v>224</v>
      </c>
      <c r="DF83" t="s">
        <v>224</v>
      </c>
      <c r="DG83" t="s">
        <v>224</v>
      </c>
      <c r="DH83" t="s">
        <v>224</v>
      </c>
      <c r="DI83" t="s">
        <v>224</v>
      </c>
      <c r="DJ83" t="s">
        <v>224</v>
      </c>
      <c r="DK83" t="s">
        <v>224</v>
      </c>
      <c r="DL83" t="s">
        <v>224</v>
      </c>
      <c r="DM83" t="s">
        <v>224</v>
      </c>
      <c r="DN83">
        <v>0</v>
      </c>
      <c r="DO83">
        <v>0</v>
      </c>
      <c r="DP83">
        <v>1</v>
      </c>
      <c r="DQ83">
        <v>1</v>
      </c>
      <c r="DU83">
        <v>1010</v>
      </c>
      <c r="DV83" t="s">
        <v>356</v>
      </c>
      <c r="DW83" t="s">
        <v>356</v>
      </c>
      <c r="DX83">
        <v>100</v>
      </c>
      <c r="EE83">
        <v>15139101</v>
      </c>
      <c r="EF83">
        <v>2</v>
      </c>
      <c r="EG83" t="s">
        <v>233</v>
      </c>
      <c r="EH83">
        <v>0</v>
      </c>
      <c r="EI83" t="s">
        <v>224</v>
      </c>
      <c r="EJ83">
        <v>1</v>
      </c>
      <c r="EK83">
        <v>11001</v>
      </c>
      <c r="EL83" t="s">
        <v>251</v>
      </c>
      <c r="EM83" t="s">
        <v>331</v>
      </c>
      <c r="EO83" t="s">
        <v>224</v>
      </c>
      <c r="EQ83">
        <v>0</v>
      </c>
      <c r="ER83">
        <v>128</v>
      </c>
      <c r="ES83">
        <v>128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3"/>
        <v>0</v>
      </c>
      <c r="FS83">
        <v>0</v>
      </c>
      <c r="FT83" t="s">
        <v>244</v>
      </c>
      <c r="FU83" t="s">
        <v>245</v>
      </c>
      <c r="FX83">
        <v>110.7</v>
      </c>
      <c r="FY83">
        <v>63.75</v>
      </c>
      <c r="GA83" t="s">
        <v>224</v>
      </c>
      <c r="GD83">
        <v>0</v>
      </c>
      <c r="GF83">
        <v>952646044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4"/>
        <v>0</v>
      </c>
      <c r="GM83">
        <f t="shared" si="95"/>
        <v>7.78</v>
      </c>
      <c r="GN83">
        <f t="shared" si="96"/>
        <v>7.78</v>
      </c>
      <c r="GO83">
        <f t="shared" si="97"/>
        <v>0</v>
      </c>
      <c r="GP83">
        <f t="shared" si="98"/>
        <v>0</v>
      </c>
      <c r="GR83">
        <v>0</v>
      </c>
      <c r="GS83">
        <v>3</v>
      </c>
      <c r="GT83">
        <v>0</v>
      </c>
      <c r="GU83" t="s">
        <v>224</v>
      </c>
      <c r="GV83">
        <f t="shared" si="99"/>
        <v>0</v>
      </c>
      <c r="GW83">
        <v>1</v>
      </c>
      <c r="GX83">
        <f t="shared" si="100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ROW(SmtRes!A225)</f>
        <v>225</v>
      </c>
      <c r="D84" s="2">
        <f>ROW(EtalonRes!A245)</f>
        <v>245</v>
      </c>
      <c r="E84" s="2" t="s">
        <v>374</v>
      </c>
      <c r="F84" s="2" t="s">
        <v>375</v>
      </c>
      <c r="G84" s="2" t="s">
        <v>376</v>
      </c>
      <c r="H84" s="2" t="s">
        <v>256</v>
      </c>
      <c r="I84" s="2">
        <v>0.09</v>
      </c>
      <c r="J84" s="2">
        <v>0</v>
      </c>
      <c r="K84" s="2"/>
      <c r="L84" s="2"/>
      <c r="M84" s="2"/>
      <c r="N84" s="2"/>
      <c r="O84" s="2">
        <f t="shared" si="68"/>
        <v>22.29</v>
      </c>
      <c r="P84" s="2">
        <f t="shared" si="69"/>
        <v>7.24</v>
      </c>
      <c r="Q84" s="2">
        <f t="shared" si="70"/>
        <v>0</v>
      </c>
      <c r="R84" s="2">
        <f t="shared" si="71"/>
        <v>0</v>
      </c>
      <c r="S84" s="2">
        <f t="shared" si="72"/>
        <v>15.05</v>
      </c>
      <c r="T84" s="2">
        <f t="shared" si="73"/>
        <v>0</v>
      </c>
      <c r="U84" s="2">
        <f t="shared" si="74"/>
        <v>1.7222399999999998</v>
      </c>
      <c r="V84" s="2">
        <f t="shared" si="75"/>
        <v>0</v>
      </c>
      <c r="W84" s="2">
        <f t="shared" si="76"/>
        <v>0</v>
      </c>
      <c r="X84" s="2">
        <f t="shared" si="77"/>
        <v>16.71</v>
      </c>
      <c r="Y84" s="2">
        <f t="shared" si="78"/>
        <v>9.6300000000000008</v>
      </c>
      <c r="Z84" s="2"/>
      <c r="AA84" s="2">
        <v>16499835</v>
      </c>
      <c r="AB84" s="2">
        <f t="shared" si="79"/>
        <v>247.64449999999999</v>
      </c>
      <c r="AC84" s="2">
        <f t="shared" si="108"/>
        <v>80.400000000000006</v>
      </c>
      <c r="AD84" s="2">
        <f>ROUND(((((ET84*1.25))-((EU84*1.25)))+AE84),6)</f>
        <v>0</v>
      </c>
      <c r="AE84" s="2">
        <f>ROUND(((EU84*1.25)),6)</f>
        <v>0</v>
      </c>
      <c r="AF84" s="2">
        <f>ROUND(((EV84*1.15)),6)</f>
        <v>167.24449999999999</v>
      </c>
      <c r="AG84" s="2">
        <f t="shared" si="80"/>
        <v>0</v>
      </c>
      <c r="AH84" s="2">
        <f>((EW84*1.15))</f>
        <v>19.135999999999999</v>
      </c>
      <c r="AI84" s="2">
        <f>((EX84*1.25))</f>
        <v>0</v>
      </c>
      <c r="AJ84" s="2">
        <f t="shared" si="81"/>
        <v>0</v>
      </c>
      <c r="AK84" s="2">
        <v>225.83</v>
      </c>
      <c r="AL84" s="2">
        <v>80.400000000000006</v>
      </c>
      <c r="AM84" s="2">
        <v>0</v>
      </c>
      <c r="AN84" s="2">
        <v>0</v>
      </c>
      <c r="AO84" s="2">
        <v>145.43</v>
      </c>
      <c r="AP84" s="2">
        <v>0</v>
      </c>
      <c r="AQ84" s="2">
        <v>16.64</v>
      </c>
      <c r="AR84" s="2">
        <v>0</v>
      </c>
      <c r="AS84" s="2">
        <v>0</v>
      </c>
      <c r="AT84" s="2">
        <v>111</v>
      </c>
      <c r="AU84" s="2">
        <v>64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224</v>
      </c>
      <c r="BE84" s="2" t="s">
        <v>224</v>
      </c>
      <c r="BF84" s="2" t="s">
        <v>224</v>
      </c>
      <c r="BG84" s="2" t="s">
        <v>224</v>
      </c>
      <c r="BH84" s="2">
        <v>0</v>
      </c>
      <c r="BI84" s="2">
        <v>1</v>
      </c>
      <c r="BJ84" s="2" t="s">
        <v>377</v>
      </c>
      <c r="BK84" s="2"/>
      <c r="BL84" s="2"/>
      <c r="BM84" s="2">
        <v>11001</v>
      </c>
      <c r="BN84" s="2">
        <v>0</v>
      </c>
      <c r="BO84" s="2" t="s">
        <v>224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224</v>
      </c>
      <c r="BZ84" s="2">
        <v>123</v>
      </c>
      <c r="CA84" s="2">
        <v>75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123</v>
      </c>
      <c r="CO84" s="2">
        <v>0</v>
      </c>
      <c r="CP84" s="2">
        <f t="shared" si="82"/>
        <v>22.29</v>
      </c>
      <c r="CQ84" s="2">
        <f t="shared" si="83"/>
        <v>80.400000000000006</v>
      </c>
      <c r="CR84" s="2">
        <f t="shared" si="84"/>
        <v>0</v>
      </c>
      <c r="CS84" s="2">
        <f t="shared" si="85"/>
        <v>0</v>
      </c>
      <c r="CT84" s="2">
        <f t="shared" si="86"/>
        <v>167.24449999999999</v>
      </c>
      <c r="CU84" s="2">
        <f t="shared" si="87"/>
        <v>0</v>
      </c>
      <c r="CV84" s="2">
        <f t="shared" si="88"/>
        <v>19.135999999999999</v>
      </c>
      <c r="CW84" s="2">
        <f t="shared" si="89"/>
        <v>0</v>
      </c>
      <c r="CX84" s="2">
        <f t="shared" si="90"/>
        <v>0</v>
      </c>
      <c r="CY84" s="2">
        <f t="shared" si="91"/>
        <v>16.705500000000001</v>
      </c>
      <c r="CZ84" s="2">
        <f t="shared" si="92"/>
        <v>9.6319999999999997</v>
      </c>
      <c r="DA84" s="2"/>
      <c r="DB84" s="2"/>
      <c r="DC84" s="2" t="s">
        <v>224</v>
      </c>
      <c r="DD84" s="2" t="s">
        <v>224</v>
      </c>
      <c r="DE84" s="2" t="s">
        <v>239</v>
      </c>
      <c r="DF84" s="2" t="s">
        <v>239</v>
      </c>
      <c r="DG84" s="2" t="s">
        <v>240</v>
      </c>
      <c r="DH84" s="2" t="s">
        <v>224</v>
      </c>
      <c r="DI84" s="2" t="s">
        <v>240</v>
      </c>
      <c r="DJ84" s="2" t="s">
        <v>239</v>
      </c>
      <c r="DK84" s="2" t="s">
        <v>224</v>
      </c>
      <c r="DL84" s="2" t="s">
        <v>224</v>
      </c>
      <c r="DM84" s="2" t="s">
        <v>224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256</v>
      </c>
      <c r="DW84" s="2" t="s">
        <v>256</v>
      </c>
      <c r="DX84" s="2">
        <v>100</v>
      </c>
      <c r="DY84" s="2"/>
      <c r="DZ84" s="2"/>
      <c r="EA84" s="2"/>
      <c r="EB84" s="2"/>
      <c r="EC84" s="2"/>
      <c r="ED84" s="2"/>
      <c r="EE84" s="2">
        <v>15139101</v>
      </c>
      <c r="EF84" s="2">
        <v>2</v>
      </c>
      <c r="EG84" s="2" t="s">
        <v>233</v>
      </c>
      <c r="EH84" s="2">
        <v>0</v>
      </c>
      <c r="EI84" s="2" t="s">
        <v>224</v>
      </c>
      <c r="EJ84" s="2">
        <v>1</v>
      </c>
      <c r="EK84" s="2">
        <v>11001</v>
      </c>
      <c r="EL84" s="2" t="s">
        <v>251</v>
      </c>
      <c r="EM84" s="2" t="s">
        <v>331</v>
      </c>
      <c r="EN84" s="2"/>
      <c r="EO84" s="2" t="s">
        <v>243</v>
      </c>
      <c r="EP84" s="2"/>
      <c r="EQ84" s="2">
        <v>0</v>
      </c>
      <c r="ER84" s="2">
        <v>225.83</v>
      </c>
      <c r="ES84" s="2">
        <v>80.400000000000006</v>
      </c>
      <c r="ET84" s="2">
        <v>0</v>
      </c>
      <c r="EU84" s="2">
        <v>0</v>
      </c>
      <c r="EV84" s="2">
        <v>145.43</v>
      </c>
      <c r="EW84" s="2">
        <v>16.64</v>
      </c>
      <c r="EX84" s="2">
        <v>0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3"/>
        <v>0</v>
      </c>
      <c r="FS84" s="2">
        <v>0</v>
      </c>
      <c r="FT84" s="2" t="s">
        <v>244</v>
      </c>
      <c r="FU84" s="2" t="s">
        <v>245</v>
      </c>
      <c r="FV84" s="2"/>
      <c r="FW84" s="2"/>
      <c r="FX84" s="2">
        <v>110.7</v>
      </c>
      <c r="FY84" s="2">
        <v>63.75</v>
      </c>
      <c r="FZ84" s="2"/>
      <c r="GA84" s="2" t="s">
        <v>224</v>
      </c>
      <c r="GB84" s="2"/>
      <c r="GC84" s="2"/>
      <c r="GD84" s="2">
        <v>0</v>
      </c>
      <c r="GE84" s="2"/>
      <c r="GF84" s="2">
        <v>30217037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4"/>
        <v>0</v>
      </c>
      <c r="GM84" s="2">
        <f t="shared" si="95"/>
        <v>48.63</v>
      </c>
      <c r="GN84" s="2">
        <f t="shared" si="96"/>
        <v>48.63</v>
      </c>
      <c r="GO84" s="2">
        <f t="shared" si="97"/>
        <v>0</v>
      </c>
      <c r="GP84" s="2">
        <f t="shared" si="98"/>
        <v>0</v>
      </c>
      <c r="GQ84" s="2"/>
      <c r="GR84" s="2">
        <v>0</v>
      </c>
      <c r="GS84" s="2">
        <v>3</v>
      </c>
      <c r="GT84" s="2">
        <v>0</v>
      </c>
      <c r="GU84" s="2" t="s">
        <v>224</v>
      </c>
      <c r="GV84" s="2">
        <f t="shared" si="99"/>
        <v>0</v>
      </c>
      <c r="GW84" s="2">
        <v>1</v>
      </c>
      <c r="GX84" s="2">
        <f t="shared" si="100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ROW(SmtRes!A228)</f>
        <v>228</v>
      </c>
      <c r="D85">
        <f>ROW(EtalonRes!A248)</f>
        <v>248</v>
      </c>
      <c r="E85" t="s">
        <v>374</v>
      </c>
      <c r="F85" t="s">
        <v>375</v>
      </c>
      <c r="G85" t="s">
        <v>376</v>
      </c>
      <c r="H85" t="s">
        <v>256</v>
      </c>
      <c r="I85">
        <v>8.9999999999999993E-3</v>
      </c>
      <c r="J85">
        <v>0</v>
      </c>
      <c r="O85">
        <f t="shared" si="68"/>
        <v>13.55</v>
      </c>
      <c r="P85">
        <f t="shared" si="69"/>
        <v>4.4000000000000004</v>
      </c>
      <c r="Q85">
        <f t="shared" si="70"/>
        <v>0</v>
      </c>
      <c r="R85">
        <f t="shared" si="71"/>
        <v>0</v>
      </c>
      <c r="S85">
        <f t="shared" si="72"/>
        <v>9.15</v>
      </c>
      <c r="T85">
        <f t="shared" si="73"/>
        <v>0</v>
      </c>
      <c r="U85">
        <f t="shared" si="74"/>
        <v>0.17222399999999999</v>
      </c>
      <c r="V85">
        <f t="shared" si="75"/>
        <v>0</v>
      </c>
      <c r="W85">
        <f t="shared" si="76"/>
        <v>0</v>
      </c>
      <c r="X85">
        <f t="shared" si="77"/>
        <v>10.16</v>
      </c>
      <c r="Y85">
        <f t="shared" si="78"/>
        <v>5.86</v>
      </c>
      <c r="AA85">
        <v>16499878</v>
      </c>
      <c r="AB85">
        <f t="shared" si="79"/>
        <v>247.64449999999999</v>
      </c>
      <c r="AC85">
        <f t="shared" si="108"/>
        <v>80.400000000000006</v>
      </c>
      <c r="AD85">
        <f>ROUND(((((ET85*1.25))-((EU85*1.25)))+AE85),6)</f>
        <v>0</v>
      </c>
      <c r="AE85">
        <f>ROUND(((EU85*1.25)),6)</f>
        <v>0</v>
      </c>
      <c r="AF85">
        <f>ROUND(((EV85*1.15)),6)</f>
        <v>167.24449999999999</v>
      </c>
      <c r="AG85">
        <f t="shared" si="80"/>
        <v>0</v>
      </c>
      <c r="AH85">
        <f>((EW85*1.15))</f>
        <v>19.135999999999999</v>
      </c>
      <c r="AI85">
        <f>((EX85*1.25))</f>
        <v>0</v>
      </c>
      <c r="AJ85">
        <f t="shared" si="81"/>
        <v>0</v>
      </c>
      <c r="AK85">
        <v>225.83</v>
      </c>
      <c r="AL85">
        <v>80.400000000000006</v>
      </c>
      <c r="AM85">
        <v>0</v>
      </c>
      <c r="AN85">
        <v>0</v>
      </c>
      <c r="AO85">
        <v>145.43</v>
      </c>
      <c r="AP85">
        <v>0</v>
      </c>
      <c r="AQ85">
        <v>16.64</v>
      </c>
      <c r="AR85">
        <v>0</v>
      </c>
      <c r="AS85">
        <v>0</v>
      </c>
      <c r="AT85">
        <v>111</v>
      </c>
      <c r="AU85">
        <v>64</v>
      </c>
      <c r="AV85">
        <v>1</v>
      </c>
      <c r="AW85">
        <v>1</v>
      </c>
      <c r="AZ85">
        <v>6.08</v>
      </c>
      <c r="BA85">
        <v>6.08</v>
      </c>
      <c r="BB85">
        <v>6.08</v>
      </c>
      <c r="BC85">
        <v>6.08</v>
      </c>
      <c r="BD85" t="s">
        <v>224</v>
      </c>
      <c r="BE85" t="s">
        <v>224</v>
      </c>
      <c r="BF85" t="s">
        <v>224</v>
      </c>
      <c r="BG85" t="s">
        <v>224</v>
      </c>
      <c r="BH85">
        <v>0</v>
      </c>
      <c r="BI85">
        <v>1</v>
      </c>
      <c r="BJ85" t="s">
        <v>377</v>
      </c>
      <c r="BM85">
        <v>11001</v>
      </c>
      <c r="BN85">
        <v>0</v>
      </c>
      <c r="BO85" t="s">
        <v>224</v>
      </c>
      <c r="BP85">
        <v>0</v>
      </c>
      <c r="BQ85">
        <v>2</v>
      </c>
      <c r="BR85">
        <v>0</v>
      </c>
      <c r="BS85">
        <v>6.08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224</v>
      </c>
      <c r="BZ85">
        <v>123</v>
      </c>
      <c r="CA85">
        <v>75</v>
      </c>
      <c r="CF85">
        <v>0</v>
      </c>
      <c r="CG85">
        <v>0</v>
      </c>
      <c r="CM85">
        <v>0</v>
      </c>
      <c r="CN85" t="s">
        <v>123</v>
      </c>
      <c r="CO85">
        <v>0</v>
      </c>
      <c r="CP85">
        <f t="shared" si="82"/>
        <v>13.55</v>
      </c>
      <c r="CQ85">
        <f t="shared" si="83"/>
        <v>488.83200000000005</v>
      </c>
      <c r="CR85">
        <f t="shared" si="84"/>
        <v>0</v>
      </c>
      <c r="CS85">
        <f t="shared" si="85"/>
        <v>0</v>
      </c>
      <c r="CT85">
        <f t="shared" si="86"/>
        <v>1016.84656</v>
      </c>
      <c r="CU85">
        <f t="shared" si="87"/>
        <v>0</v>
      </c>
      <c r="CV85">
        <f t="shared" si="88"/>
        <v>19.135999999999999</v>
      </c>
      <c r="CW85">
        <f t="shared" si="89"/>
        <v>0</v>
      </c>
      <c r="CX85">
        <f t="shared" si="90"/>
        <v>0</v>
      </c>
      <c r="CY85">
        <f t="shared" si="91"/>
        <v>10.156500000000001</v>
      </c>
      <c r="CZ85">
        <f t="shared" si="92"/>
        <v>5.8559999999999999</v>
      </c>
      <c r="DC85" t="s">
        <v>224</v>
      </c>
      <c r="DD85" t="s">
        <v>224</v>
      </c>
      <c r="DE85" t="s">
        <v>239</v>
      </c>
      <c r="DF85" t="s">
        <v>239</v>
      </c>
      <c r="DG85" t="s">
        <v>240</v>
      </c>
      <c r="DH85" t="s">
        <v>224</v>
      </c>
      <c r="DI85" t="s">
        <v>240</v>
      </c>
      <c r="DJ85" t="s">
        <v>239</v>
      </c>
      <c r="DK85" t="s">
        <v>224</v>
      </c>
      <c r="DL85" t="s">
        <v>224</v>
      </c>
      <c r="DM85" t="s">
        <v>224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256</v>
      </c>
      <c r="DW85" t="s">
        <v>256</v>
      </c>
      <c r="DX85">
        <v>100</v>
      </c>
      <c r="EE85">
        <v>15139101</v>
      </c>
      <c r="EF85">
        <v>2</v>
      </c>
      <c r="EG85" t="s">
        <v>233</v>
      </c>
      <c r="EH85">
        <v>0</v>
      </c>
      <c r="EI85" t="s">
        <v>224</v>
      </c>
      <c r="EJ85">
        <v>1</v>
      </c>
      <c r="EK85">
        <v>11001</v>
      </c>
      <c r="EL85" t="s">
        <v>251</v>
      </c>
      <c r="EM85" t="s">
        <v>331</v>
      </c>
      <c r="EO85" t="s">
        <v>243</v>
      </c>
      <c r="EQ85">
        <v>0</v>
      </c>
      <c r="ER85">
        <v>225.83</v>
      </c>
      <c r="ES85">
        <v>80.400000000000006</v>
      </c>
      <c r="ET85">
        <v>0</v>
      </c>
      <c r="EU85">
        <v>0</v>
      </c>
      <c r="EV85">
        <v>145.43</v>
      </c>
      <c r="EW85">
        <v>16.64</v>
      </c>
      <c r="EX85">
        <v>0</v>
      </c>
      <c r="EY85">
        <v>0</v>
      </c>
      <c r="FQ85">
        <v>0</v>
      </c>
      <c r="FR85">
        <f t="shared" si="93"/>
        <v>0</v>
      </c>
      <c r="FS85">
        <v>0</v>
      </c>
      <c r="FT85" t="s">
        <v>244</v>
      </c>
      <c r="FU85" t="s">
        <v>245</v>
      </c>
      <c r="FX85">
        <v>110.7</v>
      </c>
      <c r="FY85">
        <v>63.75</v>
      </c>
      <c r="GA85" t="s">
        <v>224</v>
      </c>
      <c r="GD85">
        <v>0</v>
      </c>
      <c r="GF85">
        <v>30217037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4"/>
        <v>0</v>
      </c>
      <c r="GM85">
        <f t="shared" si="95"/>
        <v>29.57</v>
      </c>
      <c r="GN85">
        <f t="shared" si="96"/>
        <v>29.57</v>
      </c>
      <c r="GO85">
        <f t="shared" si="97"/>
        <v>0</v>
      </c>
      <c r="GP85">
        <f t="shared" si="98"/>
        <v>0</v>
      </c>
      <c r="GR85">
        <v>0</v>
      </c>
      <c r="GS85">
        <v>3</v>
      </c>
      <c r="GT85">
        <v>0</v>
      </c>
      <c r="GU85" t="s">
        <v>224</v>
      </c>
      <c r="GV85">
        <f t="shared" si="99"/>
        <v>0</v>
      </c>
      <c r="GW85">
        <v>1</v>
      </c>
      <c r="GX85">
        <f t="shared" si="100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225</v>
      </c>
      <c r="D86" s="2"/>
      <c r="E86" s="2" t="s">
        <v>378</v>
      </c>
      <c r="F86" s="2" t="s">
        <v>379</v>
      </c>
      <c r="G86" s="2" t="s">
        <v>380</v>
      </c>
      <c r="H86" s="2" t="s">
        <v>351</v>
      </c>
      <c r="I86" s="2">
        <f>I84*J86</f>
        <v>9.4499999999999993</v>
      </c>
      <c r="J86" s="2">
        <v>105</v>
      </c>
      <c r="K86" s="2"/>
      <c r="L86" s="2"/>
      <c r="M86" s="2"/>
      <c r="N86" s="2"/>
      <c r="O86" s="2">
        <f t="shared" si="68"/>
        <v>219.15</v>
      </c>
      <c r="P86" s="2">
        <f t="shared" si="69"/>
        <v>219.15</v>
      </c>
      <c r="Q86" s="2">
        <f t="shared" si="70"/>
        <v>0</v>
      </c>
      <c r="R86" s="2">
        <f t="shared" si="71"/>
        <v>0</v>
      </c>
      <c r="S86" s="2">
        <f t="shared" si="72"/>
        <v>0</v>
      </c>
      <c r="T86" s="2">
        <f t="shared" si="73"/>
        <v>0</v>
      </c>
      <c r="U86" s="2">
        <f t="shared" si="74"/>
        <v>0</v>
      </c>
      <c r="V86" s="2">
        <f t="shared" si="75"/>
        <v>0</v>
      </c>
      <c r="W86" s="2">
        <f t="shared" si="76"/>
        <v>0</v>
      </c>
      <c r="X86" s="2">
        <f t="shared" si="77"/>
        <v>0</v>
      </c>
      <c r="Y86" s="2">
        <f t="shared" si="78"/>
        <v>0</v>
      </c>
      <c r="Z86" s="2"/>
      <c r="AA86" s="2">
        <v>16499835</v>
      </c>
      <c r="AB86" s="2">
        <f t="shared" si="79"/>
        <v>23.19</v>
      </c>
      <c r="AC86" s="2">
        <f t="shared" si="108"/>
        <v>23.19</v>
      </c>
      <c r="AD86" s="2">
        <f>ROUND((((ET86)-(EU86))+AE86),6)</f>
        <v>0</v>
      </c>
      <c r="AE86" s="2">
        <f>ROUND((EU86),6)</f>
        <v>0</v>
      </c>
      <c r="AF86" s="2">
        <f>ROUND((EV86),6)</f>
        <v>0</v>
      </c>
      <c r="AG86" s="2">
        <f t="shared" si="80"/>
        <v>0</v>
      </c>
      <c r="AH86" s="2">
        <f>(EW86)</f>
        <v>0</v>
      </c>
      <c r="AI86" s="2">
        <f>(EX86)</f>
        <v>0</v>
      </c>
      <c r="AJ86" s="2">
        <f t="shared" si="81"/>
        <v>0</v>
      </c>
      <c r="AK86" s="2">
        <v>23.19</v>
      </c>
      <c r="AL86" s="2">
        <v>23.19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111</v>
      </c>
      <c r="AU86" s="2">
        <v>64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224</v>
      </c>
      <c r="BE86" s="2" t="s">
        <v>224</v>
      </c>
      <c r="BF86" s="2" t="s">
        <v>224</v>
      </c>
      <c r="BG86" s="2" t="s">
        <v>224</v>
      </c>
      <c r="BH86" s="2">
        <v>3</v>
      </c>
      <c r="BI86" s="2">
        <v>1</v>
      </c>
      <c r="BJ86" s="2" t="s">
        <v>381</v>
      </c>
      <c r="BK86" s="2"/>
      <c r="BL86" s="2"/>
      <c r="BM86" s="2">
        <v>11001</v>
      </c>
      <c r="BN86" s="2">
        <v>0</v>
      </c>
      <c r="BO86" s="2" t="s">
        <v>224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224</v>
      </c>
      <c r="BZ86" s="2">
        <v>123</v>
      </c>
      <c r="CA86" s="2">
        <v>75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224</v>
      </c>
      <c r="CO86" s="2">
        <v>0</v>
      </c>
      <c r="CP86" s="2">
        <f t="shared" si="82"/>
        <v>219.15</v>
      </c>
      <c r="CQ86" s="2">
        <f t="shared" si="83"/>
        <v>23.19</v>
      </c>
      <c r="CR86" s="2">
        <f t="shared" si="84"/>
        <v>0</v>
      </c>
      <c r="CS86" s="2">
        <f t="shared" si="85"/>
        <v>0</v>
      </c>
      <c r="CT86" s="2">
        <f t="shared" si="86"/>
        <v>0</v>
      </c>
      <c r="CU86" s="2">
        <f t="shared" si="87"/>
        <v>0</v>
      </c>
      <c r="CV86" s="2">
        <f t="shared" si="88"/>
        <v>0</v>
      </c>
      <c r="CW86" s="2">
        <f t="shared" si="89"/>
        <v>0</v>
      </c>
      <c r="CX86" s="2">
        <f t="shared" si="90"/>
        <v>0</v>
      </c>
      <c r="CY86" s="2">
        <f t="shared" si="91"/>
        <v>0</v>
      </c>
      <c r="CZ86" s="2">
        <f t="shared" si="92"/>
        <v>0</v>
      </c>
      <c r="DA86" s="2"/>
      <c r="DB86" s="2"/>
      <c r="DC86" s="2" t="s">
        <v>224</v>
      </c>
      <c r="DD86" s="2" t="s">
        <v>224</v>
      </c>
      <c r="DE86" s="2" t="s">
        <v>224</v>
      </c>
      <c r="DF86" s="2" t="s">
        <v>224</v>
      </c>
      <c r="DG86" s="2" t="s">
        <v>224</v>
      </c>
      <c r="DH86" s="2" t="s">
        <v>224</v>
      </c>
      <c r="DI86" s="2" t="s">
        <v>224</v>
      </c>
      <c r="DJ86" s="2" t="s">
        <v>224</v>
      </c>
      <c r="DK86" s="2" t="s">
        <v>224</v>
      </c>
      <c r="DL86" s="2" t="s">
        <v>224</v>
      </c>
      <c r="DM86" s="2" t="s">
        <v>224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1003</v>
      </c>
      <c r="DV86" s="2" t="s">
        <v>351</v>
      </c>
      <c r="DW86" s="2" t="s">
        <v>351</v>
      </c>
      <c r="DX86" s="2">
        <v>1</v>
      </c>
      <c r="DY86" s="2"/>
      <c r="DZ86" s="2"/>
      <c r="EA86" s="2"/>
      <c r="EB86" s="2"/>
      <c r="EC86" s="2"/>
      <c r="ED86" s="2"/>
      <c r="EE86" s="2">
        <v>15139101</v>
      </c>
      <c r="EF86" s="2">
        <v>2</v>
      </c>
      <c r="EG86" s="2" t="s">
        <v>233</v>
      </c>
      <c r="EH86" s="2">
        <v>0</v>
      </c>
      <c r="EI86" s="2" t="s">
        <v>224</v>
      </c>
      <c r="EJ86" s="2">
        <v>1</v>
      </c>
      <c r="EK86" s="2">
        <v>11001</v>
      </c>
      <c r="EL86" s="2" t="s">
        <v>251</v>
      </c>
      <c r="EM86" s="2" t="s">
        <v>331</v>
      </c>
      <c r="EN86" s="2"/>
      <c r="EO86" s="2" t="s">
        <v>224</v>
      </c>
      <c r="EP86" s="2"/>
      <c r="EQ86" s="2">
        <v>0</v>
      </c>
      <c r="ER86" s="2">
        <v>23.19</v>
      </c>
      <c r="ES86" s="2">
        <v>23.19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3"/>
        <v>0</v>
      </c>
      <c r="FS86" s="2">
        <v>0</v>
      </c>
      <c r="FT86" s="2" t="s">
        <v>244</v>
      </c>
      <c r="FU86" s="2" t="s">
        <v>245</v>
      </c>
      <c r="FV86" s="2"/>
      <c r="FW86" s="2"/>
      <c r="FX86" s="2">
        <v>110.7</v>
      </c>
      <c r="FY86" s="2">
        <v>63.75</v>
      </c>
      <c r="FZ86" s="2"/>
      <c r="GA86" s="2" t="s">
        <v>224</v>
      </c>
      <c r="GB86" s="2"/>
      <c r="GC86" s="2"/>
      <c r="GD86" s="2">
        <v>0</v>
      </c>
      <c r="GE86" s="2"/>
      <c r="GF86" s="2">
        <v>210460057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4"/>
        <v>0</v>
      </c>
      <c r="GM86" s="2">
        <f t="shared" si="95"/>
        <v>219.15</v>
      </c>
      <c r="GN86" s="2">
        <f t="shared" si="96"/>
        <v>219.15</v>
      </c>
      <c r="GO86" s="2">
        <f t="shared" si="97"/>
        <v>0</v>
      </c>
      <c r="GP86" s="2">
        <f t="shared" si="98"/>
        <v>0</v>
      </c>
      <c r="GQ86" s="2"/>
      <c r="GR86" s="2">
        <v>0</v>
      </c>
      <c r="GS86" s="2">
        <v>3</v>
      </c>
      <c r="GT86" s="2">
        <v>0</v>
      </c>
      <c r="GU86" s="2" t="s">
        <v>224</v>
      </c>
      <c r="GV86" s="2">
        <f t="shared" si="99"/>
        <v>0</v>
      </c>
      <c r="GW86" s="2">
        <v>1</v>
      </c>
      <c r="GX86" s="2">
        <f t="shared" si="100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228</v>
      </c>
      <c r="E87" t="s">
        <v>378</v>
      </c>
      <c r="F87" t="s">
        <v>379</v>
      </c>
      <c r="G87" t="s">
        <v>380</v>
      </c>
      <c r="H87" t="s">
        <v>351</v>
      </c>
      <c r="I87">
        <f>I85*J87</f>
        <v>0.94499999999999995</v>
      </c>
      <c r="J87">
        <v>105</v>
      </c>
      <c r="O87">
        <f t="shared" si="68"/>
        <v>133.24</v>
      </c>
      <c r="P87">
        <f t="shared" si="69"/>
        <v>133.24</v>
      </c>
      <c r="Q87">
        <f t="shared" si="70"/>
        <v>0</v>
      </c>
      <c r="R87">
        <f t="shared" si="71"/>
        <v>0</v>
      </c>
      <c r="S87">
        <f t="shared" si="72"/>
        <v>0</v>
      </c>
      <c r="T87">
        <f t="shared" si="73"/>
        <v>0</v>
      </c>
      <c r="U87">
        <f t="shared" si="74"/>
        <v>0</v>
      </c>
      <c r="V87">
        <f t="shared" si="75"/>
        <v>0</v>
      </c>
      <c r="W87">
        <f t="shared" si="76"/>
        <v>0</v>
      </c>
      <c r="X87">
        <f t="shared" si="77"/>
        <v>0</v>
      </c>
      <c r="Y87">
        <f t="shared" si="78"/>
        <v>0</v>
      </c>
      <c r="AA87">
        <v>16499878</v>
      </c>
      <c r="AB87">
        <f t="shared" si="79"/>
        <v>23.19</v>
      </c>
      <c r="AC87">
        <f t="shared" si="108"/>
        <v>23.19</v>
      </c>
      <c r="AD87">
        <f>ROUND((((ET87)-(EU87))+AE87),6)</f>
        <v>0</v>
      </c>
      <c r="AE87">
        <f>ROUND((EU87),6)</f>
        <v>0</v>
      </c>
      <c r="AF87">
        <f>ROUND((EV87),6)</f>
        <v>0</v>
      </c>
      <c r="AG87">
        <f t="shared" si="80"/>
        <v>0</v>
      </c>
      <c r="AH87">
        <f>(EW87)</f>
        <v>0</v>
      </c>
      <c r="AI87">
        <f>(EX87)</f>
        <v>0</v>
      </c>
      <c r="AJ87">
        <f t="shared" si="81"/>
        <v>0</v>
      </c>
      <c r="AK87">
        <v>23.19</v>
      </c>
      <c r="AL87">
        <v>23.19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6.08</v>
      </c>
      <c r="BA87">
        <v>1</v>
      </c>
      <c r="BB87">
        <v>1</v>
      </c>
      <c r="BC87">
        <v>6.08</v>
      </c>
      <c r="BD87" t="s">
        <v>224</v>
      </c>
      <c r="BE87" t="s">
        <v>224</v>
      </c>
      <c r="BF87" t="s">
        <v>224</v>
      </c>
      <c r="BG87" t="s">
        <v>224</v>
      </c>
      <c r="BH87">
        <v>3</v>
      </c>
      <c r="BI87">
        <v>1</v>
      </c>
      <c r="BJ87" t="s">
        <v>381</v>
      </c>
      <c r="BM87">
        <v>11001</v>
      </c>
      <c r="BN87">
        <v>0</v>
      </c>
      <c r="BO87" t="s">
        <v>224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224</v>
      </c>
      <c r="BZ87">
        <v>123</v>
      </c>
      <c r="CA87">
        <v>75</v>
      </c>
      <c r="CF87">
        <v>0</v>
      </c>
      <c r="CG87">
        <v>0</v>
      </c>
      <c r="CM87">
        <v>0</v>
      </c>
      <c r="CN87" t="s">
        <v>224</v>
      </c>
      <c r="CO87">
        <v>0</v>
      </c>
      <c r="CP87">
        <f t="shared" si="82"/>
        <v>133.24</v>
      </c>
      <c r="CQ87">
        <f t="shared" si="83"/>
        <v>140.99520000000001</v>
      </c>
      <c r="CR87">
        <f t="shared" si="84"/>
        <v>0</v>
      </c>
      <c r="CS87">
        <f t="shared" si="85"/>
        <v>0</v>
      </c>
      <c r="CT87">
        <f t="shared" si="86"/>
        <v>0</v>
      </c>
      <c r="CU87">
        <f t="shared" si="87"/>
        <v>0</v>
      </c>
      <c r="CV87">
        <f t="shared" si="88"/>
        <v>0</v>
      </c>
      <c r="CW87">
        <f t="shared" si="89"/>
        <v>0</v>
      </c>
      <c r="CX87">
        <f t="shared" si="90"/>
        <v>0</v>
      </c>
      <c r="CY87">
        <f t="shared" si="91"/>
        <v>0</v>
      </c>
      <c r="CZ87">
        <f t="shared" si="92"/>
        <v>0</v>
      </c>
      <c r="DC87" t="s">
        <v>224</v>
      </c>
      <c r="DD87" t="s">
        <v>224</v>
      </c>
      <c r="DE87" t="s">
        <v>224</v>
      </c>
      <c r="DF87" t="s">
        <v>224</v>
      </c>
      <c r="DG87" t="s">
        <v>224</v>
      </c>
      <c r="DH87" t="s">
        <v>224</v>
      </c>
      <c r="DI87" t="s">
        <v>224</v>
      </c>
      <c r="DJ87" t="s">
        <v>224</v>
      </c>
      <c r="DK87" t="s">
        <v>224</v>
      </c>
      <c r="DL87" t="s">
        <v>224</v>
      </c>
      <c r="DM87" t="s">
        <v>224</v>
      </c>
      <c r="DN87">
        <v>0</v>
      </c>
      <c r="DO87">
        <v>0</v>
      </c>
      <c r="DP87">
        <v>1</v>
      </c>
      <c r="DQ87">
        <v>1</v>
      </c>
      <c r="DU87">
        <v>1003</v>
      </c>
      <c r="DV87" t="s">
        <v>351</v>
      </c>
      <c r="DW87" t="s">
        <v>351</v>
      </c>
      <c r="DX87">
        <v>1</v>
      </c>
      <c r="EE87">
        <v>15139101</v>
      </c>
      <c r="EF87">
        <v>2</v>
      </c>
      <c r="EG87" t="s">
        <v>233</v>
      </c>
      <c r="EH87">
        <v>0</v>
      </c>
      <c r="EI87" t="s">
        <v>224</v>
      </c>
      <c r="EJ87">
        <v>1</v>
      </c>
      <c r="EK87">
        <v>11001</v>
      </c>
      <c r="EL87" t="s">
        <v>251</v>
      </c>
      <c r="EM87" t="s">
        <v>331</v>
      </c>
      <c r="EO87" t="s">
        <v>224</v>
      </c>
      <c r="EQ87">
        <v>0</v>
      </c>
      <c r="ER87">
        <v>23.19</v>
      </c>
      <c r="ES87">
        <v>23.19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3"/>
        <v>0</v>
      </c>
      <c r="FS87">
        <v>0</v>
      </c>
      <c r="FT87" t="s">
        <v>244</v>
      </c>
      <c r="FU87" t="s">
        <v>245</v>
      </c>
      <c r="FX87">
        <v>110.7</v>
      </c>
      <c r="FY87">
        <v>63.75</v>
      </c>
      <c r="GA87" t="s">
        <v>224</v>
      </c>
      <c r="GD87">
        <v>0</v>
      </c>
      <c r="GF87">
        <v>210460057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4"/>
        <v>0</v>
      </c>
      <c r="GM87">
        <f t="shared" si="95"/>
        <v>133.24</v>
      </c>
      <c r="GN87">
        <f t="shared" si="96"/>
        <v>133.24</v>
      </c>
      <c r="GO87">
        <f t="shared" si="97"/>
        <v>0</v>
      </c>
      <c r="GP87">
        <f t="shared" si="98"/>
        <v>0</v>
      </c>
      <c r="GR87">
        <v>0</v>
      </c>
      <c r="GS87">
        <v>3</v>
      </c>
      <c r="GT87">
        <v>0</v>
      </c>
      <c r="GU87" t="s">
        <v>224</v>
      </c>
      <c r="GV87">
        <f t="shared" si="99"/>
        <v>0</v>
      </c>
      <c r="GW87">
        <v>1</v>
      </c>
      <c r="GX87">
        <f t="shared" si="100"/>
        <v>0</v>
      </c>
      <c r="HA87">
        <v>0</v>
      </c>
      <c r="HB87"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ROW(SmtRes!A246)</f>
        <v>246</v>
      </c>
      <c r="D88" s="2">
        <f>ROW(EtalonRes!A267)</f>
        <v>267</v>
      </c>
      <c r="E88" s="2" t="s">
        <v>382</v>
      </c>
      <c r="F88" s="2" t="s">
        <v>383</v>
      </c>
      <c r="G88" s="2" t="s">
        <v>384</v>
      </c>
      <c r="H88" s="2" t="s">
        <v>237</v>
      </c>
      <c r="I88" s="2">
        <f>ROUND(355/100,9)</f>
        <v>3.55</v>
      </c>
      <c r="J88" s="2">
        <v>0</v>
      </c>
      <c r="K88" s="2"/>
      <c r="L88" s="2"/>
      <c r="M88" s="2"/>
      <c r="N88" s="2"/>
      <c r="O88" s="2">
        <f t="shared" si="68"/>
        <v>48011.15</v>
      </c>
      <c r="P88" s="2">
        <f t="shared" si="69"/>
        <v>38677.53</v>
      </c>
      <c r="Q88" s="2">
        <f t="shared" si="70"/>
        <v>2661.26</v>
      </c>
      <c r="R88" s="2">
        <f t="shared" si="71"/>
        <v>179.41</v>
      </c>
      <c r="S88" s="2">
        <f t="shared" si="72"/>
        <v>6672.36</v>
      </c>
      <c r="T88" s="2">
        <f t="shared" si="73"/>
        <v>0</v>
      </c>
      <c r="U88" s="2">
        <f t="shared" si="74"/>
        <v>709.82427499999983</v>
      </c>
      <c r="V88" s="2">
        <f t="shared" si="75"/>
        <v>14.244375</v>
      </c>
      <c r="W88" s="2">
        <f t="shared" si="76"/>
        <v>0</v>
      </c>
      <c r="X88" s="2">
        <f t="shared" si="77"/>
        <v>7399.91</v>
      </c>
      <c r="Y88" s="2">
        <f t="shared" si="78"/>
        <v>3768.47</v>
      </c>
      <c r="Z88" s="2"/>
      <c r="AA88" s="2">
        <v>16499835</v>
      </c>
      <c r="AB88" s="2">
        <f t="shared" si="79"/>
        <v>13524.267</v>
      </c>
      <c r="AC88" s="2">
        <f t="shared" si="108"/>
        <v>10895.08</v>
      </c>
      <c r="AD88" s="2">
        <f>ROUND(((((ET88*1.25))-((EU88*1.25)))+AE88),6)</f>
        <v>749.65</v>
      </c>
      <c r="AE88" s="2">
        <f>ROUND(((EU88*1.25)),6)</f>
        <v>50.537500000000001</v>
      </c>
      <c r="AF88" s="2">
        <f>ROUND(((EV88*1.15)),6)</f>
        <v>1879.537</v>
      </c>
      <c r="AG88" s="2">
        <f t="shared" si="80"/>
        <v>0</v>
      </c>
      <c r="AH88" s="2">
        <f>((EW88*1.15))</f>
        <v>199.95049999999998</v>
      </c>
      <c r="AI88" s="2">
        <f>((EX88*1.25))</f>
        <v>4.0125000000000002</v>
      </c>
      <c r="AJ88" s="2">
        <f t="shared" si="81"/>
        <v>0</v>
      </c>
      <c r="AK88" s="2">
        <v>13129.18</v>
      </c>
      <c r="AL88" s="2">
        <v>10895.08</v>
      </c>
      <c r="AM88" s="2">
        <v>599.72</v>
      </c>
      <c r="AN88" s="2">
        <v>40.43</v>
      </c>
      <c r="AO88" s="2">
        <v>1634.38</v>
      </c>
      <c r="AP88" s="2">
        <v>0</v>
      </c>
      <c r="AQ88" s="2">
        <v>173.87</v>
      </c>
      <c r="AR88" s="2">
        <v>3.21</v>
      </c>
      <c r="AS88" s="2">
        <v>0</v>
      </c>
      <c r="AT88" s="2">
        <v>108</v>
      </c>
      <c r="AU88" s="2">
        <v>55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224</v>
      </c>
      <c r="BE88" s="2" t="s">
        <v>224</v>
      </c>
      <c r="BF88" s="2" t="s">
        <v>224</v>
      </c>
      <c r="BG88" s="2" t="s">
        <v>224</v>
      </c>
      <c r="BH88" s="2">
        <v>0</v>
      </c>
      <c r="BI88" s="2">
        <v>1</v>
      </c>
      <c r="BJ88" s="2" t="s">
        <v>385</v>
      </c>
      <c r="BK88" s="2"/>
      <c r="BL88" s="2"/>
      <c r="BM88" s="2">
        <v>12001</v>
      </c>
      <c r="BN88" s="2">
        <v>0</v>
      </c>
      <c r="BO88" s="2" t="s">
        <v>224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224</v>
      </c>
      <c r="BZ88" s="2">
        <v>120</v>
      </c>
      <c r="CA88" s="2">
        <v>65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123</v>
      </c>
      <c r="CO88" s="2">
        <v>0</v>
      </c>
      <c r="CP88" s="2">
        <f t="shared" si="82"/>
        <v>48011.15</v>
      </c>
      <c r="CQ88" s="2">
        <f t="shared" si="83"/>
        <v>10895.08</v>
      </c>
      <c r="CR88" s="2">
        <f t="shared" si="84"/>
        <v>749.65</v>
      </c>
      <c r="CS88" s="2">
        <f t="shared" si="85"/>
        <v>50.537500000000001</v>
      </c>
      <c r="CT88" s="2">
        <f t="shared" si="86"/>
        <v>1879.537</v>
      </c>
      <c r="CU88" s="2">
        <f t="shared" si="87"/>
        <v>0</v>
      </c>
      <c r="CV88" s="2">
        <f t="shared" si="88"/>
        <v>199.95049999999998</v>
      </c>
      <c r="CW88" s="2">
        <f t="shared" si="89"/>
        <v>4.0125000000000002</v>
      </c>
      <c r="CX88" s="2">
        <f t="shared" si="90"/>
        <v>0</v>
      </c>
      <c r="CY88" s="2">
        <f t="shared" si="91"/>
        <v>7399.9115999999995</v>
      </c>
      <c r="CZ88" s="2">
        <f t="shared" si="92"/>
        <v>3768.4734999999996</v>
      </c>
      <c r="DA88" s="2"/>
      <c r="DB88" s="2"/>
      <c r="DC88" s="2" t="s">
        <v>224</v>
      </c>
      <c r="DD88" s="2" t="s">
        <v>224</v>
      </c>
      <c r="DE88" s="2" t="s">
        <v>239</v>
      </c>
      <c r="DF88" s="2" t="s">
        <v>239</v>
      </c>
      <c r="DG88" s="2" t="s">
        <v>240</v>
      </c>
      <c r="DH88" s="2" t="s">
        <v>224</v>
      </c>
      <c r="DI88" s="2" t="s">
        <v>240</v>
      </c>
      <c r="DJ88" s="2" t="s">
        <v>239</v>
      </c>
      <c r="DK88" s="2" t="s">
        <v>224</v>
      </c>
      <c r="DL88" s="2" t="s">
        <v>224</v>
      </c>
      <c r="DM88" s="2" t="s">
        <v>224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237</v>
      </c>
      <c r="DW88" s="2" t="s">
        <v>237</v>
      </c>
      <c r="DX88" s="2">
        <v>100</v>
      </c>
      <c r="DY88" s="2"/>
      <c r="DZ88" s="2"/>
      <c r="EA88" s="2"/>
      <c r="EB88" s="2"/>
      <c r="EC88" s="2"/>
      <c r="ED88" s="2"/>
      <c r="EE88" s="2">
        <v>15139102</v>
      </c>
      <c r="EF88" s="2">
        <v>2</v>
      </c>
      <c r="EG88" s="2" t="s">
        <v>233</v>
      </c>
      <c r="EH88" s="2">
        <v>0</v>
      </c>
      <c r="EI88" s="2" t="s">
        <v>224</v>
      </c>
      <c r="EJ88" s="2">
        <v>1</v>
      </c>
      <c r="EK88" s="2">
        <v>12001</v>
      </c>
      <c r="EL88" s="2" t="s">
        <v>386</v>
      </c>
      <c r="EM88" s="2" t="s">
        <v>387</v>
      </c>
      <c r="EN88" s="2"/>
      <c r="EO88" s="2" t="s">
        <v>243</v>
      </c>
      <c r="EP88" s="2"/>
      <c r="EQ88" s="2">
        <v>0</v>
      </c>
      <c r="ER88" s="2">
        <v>13129.18</v>
      </c>
      <c r="ES88" s="2">
        <v>10895.08</v>
      </c>
      <c r="ET88" s="2">
        <v>599.72</v>
      </c>
      <c r="EU88" s="2">
        <v>40.43</v>
      </c>
      <c r="EV88" s="2">
        <v>1634.38</v>
      </c>
      <c r="EW88" s="2">
        <v>173.87</v>
      </c>
      <c r="EX88" s="2">
        <v>3.21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3"/>
        <v>0</v>
      </c>
      <c r="FS88" s="2">
        <v>0</v>
      </c>
      <c r="FT88" s="2" t="s">
        <v>244</v>
      </c>
      <c r="FU88" s="2" t="s">
        <v>245</v>
      </c>
      <c r="FV88" s="2"/>
      <c r="FW88" s="2"/>
      <c r="FX88" s="2">
        <v>108</v>
      </c>
      <c r="FY88" s="2">
        <v>55.25</v>
      </c>
      <c r="FZ88" s="2"/>
      <c r="GA88" s="2" t="s">
        <v>224</v>
      </c>
      <c r="GB88" s="2"/>
      <c r="GC88" s="2"/>
      <c r="GD88" s="2">
        <v>0</v>
      </c>
      <c r="GE88" s="2"/>
      <c r="GF88" s="2">
        <v>-1626861262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4"/>
        <v>0</v>
      </c>
      <c r="GM88" s="2">
        <f t="shared" si="95"/>
        <v>59179.53</v>
      </c>
      <c r="GN88" s="2">
        <f t="shared" si="96"/>
        <v>59179.53</v>
      </c>
      <c r="GO88" s="2">
        <f t="shared" si="97"/>
        <v>0</v>
      </c>
      <c r="GP88" s="2">
        <f t="shared" si="98"/>
        <v>0</v>
      </c>
      <c r="GQ88" s="2"/>
      <c r="GR88" s="2">
        <v>0</v>
      </c>
      <c r="GS88" s="2">
        <v>3</v>
      </c>
      <c r="GT88" s="2">
        <v>0</v>
      </c>
      <c r="GU88" s="2" t="s">
        <v>224</v>
      </c>
      <c r="GV88" s="2">
        <f t="shared" si="99"/>
        <v>0</v>
      </c>
      <c r="GW88" s="2">
        <v>1</v>
      </c>
      <c r="GX88" s="2">
        <f t="shared" si="100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ROW(SmtRes!A264)</f>
        <v>264</v>
      </c>
      <c r="D89">
        <f>ROW(EtalonRes!A286)</f>
        <v>286</v>
      </c>
      <c r="E89" t="s">
        <v>382</v>
      </c>
      <c r="F89" t="s">
        <v>383</v>
      </c>
      <c r="G89" t="s">
        <v>384</v>
      </c>
      <c r="H89" t="s">
        <v>237</v>
      </c>
      <c r="I89">
        <f>ROUND(355/100,9)</f>
        <v>3.55</v>
      </c>
      <c r="J89">
        <v>0</v>
      </c>
      <c r="O89">
        <f t="shared" si="68"/>
        <v>291907.78999999998</v>
      </c>
      <c r="P89">
        <f t="shared" si="69"/>
        <v>235159.41</v>
      </c>
      <c r="Q89">
        <f t="shared" si="70"/>
        <v>16180.45</v>
      </c>
      <c r="R89">
        <f t="shared" si="71"/>
        <v>1090.8</v>
      </c>
      <c r="S89">
        <f t="shared" si="72"/>
        <v>40567.93</v>
      </c>
      <c r="T89">
        <f t="shared" si="73"/>
        <v>0</v>
      </c>
      <c r="U89">
        <f t="shared" si="74"/>
        <v>709.82427499999983</v>
      </c>
      <c r="V89">
        <f t="shared" si="75"/>
        <v>14.244375</v>
      </c>
      <c r="W89">
        <f t="shared" si="76"/>
        <v>0</v>
      </c>
      <c r="X89">
        <f t="shared" si="77"/>
        <v>44991.43</v>
      </c>
      <c r="Y89">
        <f t="shared" si="78"/>
        <v>22912.3</v>
      </c>
      <c r="AA89">
        <v>16499878</v>
      </c>
      <c r="AB89">
        <f t="shared" si="79"/>
        <v>13524.267</v>
      </c>
      <c r="AC89">
        <f t="shared" si="108"/>
        <v>10895.08</v>
      </c>
      <c r="AD89">
        <f>ROUND(((((ET89*1.25))-((EU89*1.25)))+AE89),6)</f>
        <v>749.65</v>
      </c>
      <c r="AE89">
        <f>ROUND(((EU89*1.25)),6)</f>
        <v>50.537500000000001</v>
      </c>
      <c r="AF89">
        <f>ROUND(((EV89*1.15)),6)</f>
        <v>1879.537</v>
      </c>
      <c r="AG89">
        <f t="shared" si="80"/>
        <v>0</v>
      </c>
      <c r="AH89">
        <f>((EW89*1.15))</f>
        <v>199.95049999999998</v>
      </c>
      <c r="AI89">
        <f>((EX89*1.25))</f>
        <v>4.0125000000000002</v>
      </c>
      <c r="AJ89">
        <f t="shared" si="81"/>
        <v>0</v>
      </c>
      <c r="AK89">
        <v>13129.18</v>
      </c>
      <c r="AL89">
        <v>10895.08</v>
      </c>
      <c r="AM89">
        <v>599.72</v>
      </c>
      <c r="AN89">
        <v>40.43</v>
      </c>
      <c r="AO89">
        <v>1634.38</v>
      </c>
      <c r="AP89">
        <v>0</v>
      </c>
      <c r="AQ89">
        <v>173.87</v>
      </c>
      <c r="AR89">
        <v>3.21</v>
      </c>
      <c r="AS89">
        <v>0</v>
      </c>
      <c r="AT89">
        <v>108</v>
      </c>
      <c r="AU89">
        <v>55</v>
      </c>
      <c r="AV89">
        <v>1</v>
      </c>
      <c r="AW89">
        <v>1</v>
      </c>
      <c r="AZ89">
        <v>6.08</v>
      </c>
      <c r="BA89">
        <v>6.08</v>
      </c>
      <c r="BB89">
        <v>6.08</v>
      </c>
      <c r="BC89">
        <v>6.08</v>
      </c>
      <c r="BD89" t="s">
        <v>224</v>
      </c>
      <c r="BE89" t="s">
        <v>224</v>
      </c>
      <c r="BF89" t="s">
        <v>224</v>
      </c>
      <c r="BG89" t="s">
        <v>224</v>
      </c>
      <c r="BH89">
        <v>0</v>
      </c>
      <c r="BI89">
        <v>1</v>
      </c>
      <c r="BJ89" t="s">
        <v>385</v>
      </c>
      <c r="BM89">
        <v>12001</v>
      </c>
      <c r="BN89">
        <v>0</v>
      </c>
      <c r="BO89" t="s">
        <v>224</v>
      </c>
      <c r="BP89">
        <v>0</v>
      </c>
      <c r="BQ89">
        <v>2</v>
      </c>
      <c r="BR89">
        <v>0</v>
      </c>
      <c r="BS89">
        <v>6.08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224</v>
      </c>
      <c r="BZ89">
        <v>120</v>
      </c>
      <c r="CA89">
        <v>65</v>
      </c>
      <c r="CF89">
        <v>0</v>
      </c>
      <c r="CG89">
        <v>0</v>
      </c>
      <c r="CM89">
        <v>0</v>
      </c>
      <c r="CN89" t="s">
        <v>123</v>
      </c>
      <c r="CO89">
        <v>0</v>
      </c>
      <c r="CP89">
        <f t="shared" si="82"/>
        <v>291907.79000000004</v>
      </c>
      <c r="CQ89">
        <f t="shared" si="83"/>
        <v>66242.0864</v>
      </c>
      <c r="CR89">
        <f t="shared" si="84"/>
        <v>4557.8720000000003</v>
      </c>
      <c r="CS89">
        <f t="shared" si="85"/>
        <v>307.26800000000003</v>
      </c>
      <c r="CT89">
        <f t="shared" si="86"/>
        <v>11427.58496</v>
      </c>
      <c r="CU89">
        <f t="shared" si="87"/>
        <v>0</v>
      </c>
      <c r="CV89">
        <f t="shared" si="88"/>
        <v>199.95049999999998</v>
      </c>
      <c r="CW89">
        <f t="shared" si="89"/>
        <v>4.0125000000000002</v>
      </c>
      <c r="CX89">
        <f t="shared" si="90"/>
        <v>0</v>
      </c>
      <c r="CY89">
        <f t="shared" si="91"/>
        <v>44991.428400000004</v>
      </c>
      <c r="CZ89">
        <f t="shared" si="92"/>
        <v>22912.301500000005</v>
      </c>
      <c r="DC89" t="s">
        <v>224</v>
      </c>
      <c r="DD89" t="s">
        <v>224</v>
      </c>
      <c r="DE89" t="s">
        <v>239</v>
      </c>
      <c r="DF89" t="s">
        <v>239</v>
      </c>
      <c r="DG89" t="s">
        <v>240</v>
      </c>
      <c r="DH89" t="s">
        <v>224</v>
      </c>
      <c r="DI89" t="s">
        <v>240</v>
      </c>
      <c r="DJ89" t="s">
        <v>239</v>
      </c>
      <c r="DK89" t="s">
        <v>224</v>
      </c>
      <c r="DL89" t="s">
        <v>224</v>
      </c>
      <c r="DM89" t="s">
        <v>224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237</v>
      </c>
      <c r="DW89" t="s">
        <v>237</v>
      </c>
      <c r="DX89">
        <v>100</v>
      </c>
      <c r="EE89">
        <v>15139102</v>
      </c>
      <c r="EF89">
        <v>2</v>
      </c>
      <c r="EG89" t="s">
        <v>233</v>
      </c>
      <c r="EH89">
        <v>0</v>
      </c>
      <c r="EI89" t="s">
        <v>224</v>
      </c>
      <c r="EJ89">
        <v>1</v>
      </c>
      <c r="EK89">
        <v>12001</v>
      </c>
      <c r="EL89" t="s">
        <v>386</v>
      </c>
      <c r="EM89" t="s">
        <v>387</v>
      </c>
      <c r="EO89" t="s">
        <v>243</v>
      </c>
      <c r="EQ89">
        <v>0</v>
      </c>
      <c r="ER89">
        <v>13129.18</v>
      </c>
      <c r="ES89">
        <v>10895.08</v>
      </c>
      <c r="ET89">
        <v>599.72</v>
      </c>
      <c r="EU89">
        <v>40.43</v>
      </c>
      <c r="EV89">
        <v>1634.38</v>
      </c>
      <c r="EW89">
        <v>173.87</v>
      </c>
      <c r="EX89">
        <v>3.21</v>
      </c>
      <c r="EY89">
        <v>0</v>
      </c>
      <c r="FQ89">
        <v>0</v>
      </c>
      <c r="FR89">
        <f t="shared" si="93"/>
        <v>0</v>
      </c>
      <c r="FS89">
        <v>0</v>
      </c>
      <c r="FT89" t="s">
        <v>244</v>
      </c>
      <c r="FU89" t="s">
        <v>245</v>
      </c>
      <c r="FX89">
        <v>108</v>
      </c>
      <c r="FY89">
        <v>55.25</v>
      </c>
      <c r="GA89" t="s">
        <v>224</v>
      </c>
      <c r="GD89">
        <v>0</v>
      </c>
      <c r="GF89">
        <v>-1626861262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4"/>
        <v>0</v>
      </c>
      <c r="GM89">
        <f t="shared" si="95"/>
        <v>359811.52</v>
      </c>
      <c r="GN89">
        <f t="shared" si="96"/>
        <v>359811.52</v>
      </c>
      <c r="GO89">
        <f t="shared" si="97"/>
        <v>0</v>
      </c>
      <c r="GP89">
        <f t="shared" si="98"/>
        <v>0</v>
      </c>
      <c r="GR89">
        <v>0</v>
      </c>
      <c r="GS89">
        <v>3</v>
      </c>
      <c r="GT89">
        <v>0</v>
      </c>
      <c r="GU89" t="s">
        <v>224</v>
      </c>
      <c r="GV89">
        <f t="shared" si="99"/>
        <v>0</v>
      </c>
      <c r="GW89">
        <v>1</v>
      </c>
      <c r="GX89">
        <f t="shared" si="100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243</v>
      </c>
      <c r="D90" s="2"/>
      <c r="E90" s="2" t="s">
        <v>388</v>
      </c>
      <c r="F90" s="2" t="s">
        <v>389</v>
      </c>
      <c r="G90" s="2" t="s">
        <v>390</v>
      </c>
      <c r="H90" s="2" t="s">
        <v>277</v>
      </c>
      <c r="I90" s="2">
        <f>I88*J90</f>
        <v>447.3</v>
      </c>
      <c r="J90" s="2">
        <v>126.00000000000001</v>
      </c>
      <c r="K90" s="2"/>
      <c r="L90" s="2"/>
      <c r="M90" s="2"/>
      <c r="N90" s="2"/>
      <c r="O90" s="2">
        <f t="shared" si="68"/>
        <v>46040.59</v>
      </c>
      <c r="P90" s="2">
        <f t="shared" si="69"/>
        <v>46040.59</v>
      </c>
      <c r="Q90" s="2">
        <f t="shared" si="70"/>
        <v>0</v>
      </c>
      <c r="R90" s="2">
        <f t="shared" si="71"/>
        <v>0</v>
      </c>
      <c r="S90" s="2">
        <f t="shared" si="72"/>
        <v>0</v>
      </c>
      <c r="T90" s="2">
        <f t="shared" si="73"/>
        <v>0</v>
      </c>
      <c r="U90" s="2">
        <f t="shared" si="74"/>
        <v>0</v>
      </c>
      <c r="V90" s="2">
        <f t="shared" si="75"/>
        <v>0</v>
      </c>
      <c r="W90" s="2">
        <f t="shared" si="76"/>
        <v>0</v>
      </c>
      <c r="X90" s="2">
        <f t="shared" si="77"/>
        <v>0</v>
      </c>
      <c r="Y90" s="2">
        <f t="shared" si="78"/>
        <v>0</v>
      </c>
      <c r="Z90" s="2"/>
      <c r="AA90" s="2">
        <v>16499835</v>
      </c>
      <c r="AB90" s="2">
        <f t="shared" si="79"/>
        <v>102.93</v>
      </c>
      <c r="AC90" s="2">
        <f t="shared" si="108"/>
        <v>102.93</v>
      </c>
      <c r="AD90" s="2">
        <f>ROUND((((ET90)-(EU90))+AE90),6)</f>
        <v>0</v>
      </c>
      <c r="AE90" s="2">
        <f t="shared" ref="AE90:AF93" si="109">ROUND((EU90),6)</f>
        <v>0</v>
      </c>
      <c r="AF90" s="2">
        <f t="shared" si="109"/>
        <v>0</v>
      </c>
      <c r="AG90" s="2">
        <f t="shared" si="80"/>
        <v>0</v>
      </c>
      <c r="AH90" s="2">
        <f t="shared" ref="AH90:AI93" si="110">(EW90)</f>
        <v>0</v>
      </c>
      <c r="AI90" s="2">
        <f t="shared" si="110"/>
        <v>0</v>
      </c>
      <c r="AJ90" s="2">
        <f t="shared" si="81"/>
        <v>0</v>
      </c>
      <c r="AK90" s="2">
        <v>102.93</v>
      </c>
      <c r="AL90" s="2">
        <v>102.93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108</v>
      </c>
      <c r="AU90" s="2">
        <v>55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224</v>
      </c>
      <c r="BE90" s="2" t="s">
        <v>224</v>
      </c>
      <c r="BF90" s="2" t="s">
        <v>224</v>
      </c>
      <c r="BG90" s="2" t="s">
        <v>224</v>
      </c>
      <c r="BH90" s="2">
        <v>3</v>
      </c>
      <c r="BI90" s="2">
        <v>1</v>
      </c>
      <c r="BJ90" s="2" t="s">
        <v>391</v>
      </c>
      <c r="BK90" s="2"/>
      <c r="BL90" s="2"/>
      <c r="BM90" s="2">
        <v>12001</v>
      </c>
      <c r="BN90" s="2">
        <v>0</v>
      </c>
      <c r="BO90" s="2" t="s">
        <v>224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224</v>
      </c>
      <c r="BZ90" s="2">
        <v>120</v>
      </c>
      <c r="CA90" s="2">
        <v>65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224</v>
      </c>
      <c r="CO90" s="2">
        <v>0</v>
      </c>
      <c r="CP90" s="2">
        <f t="shared" si="82"/>
        <v>46040.59</v>
      </c>
      <c r="CQ90" s="2">
        <f t="shared" si="83"/>
        <v>102.93</v>
      </c>
      <c r="CR90" s="2">
        <f t="shared" si="84"/>
        <v>0</v>
      </c>
      <c r="CS90" s="2">
        <f t="shared" si="85"/>
        <v>0</v>
      </c>
      <c r="CT90" s="2">
        <f t="shared" si="86"/>
        <v>0</v>
      </c>
      <c r="CU90" s="2">
        <f t="shared" si="87"/>
        <v>0</v>
      </c>
      <c r="CV90" s="2">
        <f t="shared" si="88"/>
        <v>0</v>
      </c>
      <c r="CW90" s="2">
        <f t="shared" si="89"/>
        <v>0</v>
      </c>
      <c r="CX90" s="2">
        <f t="shared" si="90"/>
        <v>0</v>
      </c>
      <c r="CY90" s="2">
        <f t="shared" si="91"/>
        <v>0</v>
      </c>
      <c r="CZ90" s="2">
        <f t="shared" si="92"/>
        <v>0</v>
      </c>
      <c r="DA90" s="2"/>
      <c r="DB90" s="2"/>
      <c r="DC90" s="2" t="s">
        <v>224</v>
      </c>
      <c r="DD90" s="2" t="s">
        <v>224</v>
      </c>
      <c r="DE90" s="2" t="s">
        <v>224</v>
      </c>
      <c r="DF90" s="2" t="s">
        <v>224</v>
      </c>
      <c r="DG90" s="2" t="s">
        <v>224</v>
      </c>
      <c r="DH90" s="2" t="s">
        <v>224</v>
      </c>
      <c r="DI90" s="2" t="s">
        <v>224</v>
      </c>
      <c r="DJ90" s="2" t="s">
        <v>224</v>
      </c>
      <c r="DK90" s="2" t="s">
        <v>224</v>
      </c>
      <c r="DL90" s="2" t="s">
        <v>224</v>
      </c>
      <c r="DM90" s="2" t="s">
        <v>224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277</v>
      </c>
      <c r="DW90" s="2" t="s">
        <v>277</v>
      </c>
      <c r="DX90" s="2">
        <v>1</v>
      </c>
      <c r="DY90" s="2"/>
      <c r="DZ90" s="2"/>
      <c r="EA90" s="2"/>
      <c r="EB90" s="2"/>
      <c r="EC90" s="2"/>
      <c r="ED90" s="2"/>
      <c r="EE90" s="2">
        <v>15139102</v>
      </c>
      <c r="EF90" s="2">
        <v>2</v>
      </c>
      <c r="EG90" s="2" t="s">
        <v>233</v>
      </c>
      <c r="EH90" s="2">
        <v>0</v>
      </c>
      <c r="EI90" s="2" t="s">
        <v>224</v>
      </c>
      <c r="EJ90" s="2">
        <v>1</v>
      </c>
      <c r="EK90" s="2">
        <v>12001</v>
      </c>
      <c r="EL90" s="2" t="s">
        <v>386</v>
      </c>
      <c r="EM90" s="2" t="s">
        <v>387</v>
      </c>
      <c r="EN90" s="2"/>
      <c r="EO90" s="2" t="s">
        <v>224</v>
      </c>
      <c r="EP90" s="2"/>
      <c r="EQ90" s="2">
        <v>0</v>
      </c>
      <c r="ER90" s="2">
        <v>102.93</v>
      </c>
      <c r="ES90" s="2">
        <v>102.93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3"/>
        <v>0</v>
      </c>
      <c r="FS90" s="2">
        <v>0</v>
      </c>
      <c r="FT90" s="2" t="s">
        <v>244</v>
      </c>
      <c r="FU90" s="2" t="s">
        <v>245</v>
      </c>
      <c r="FV90" s="2"/>
      <c r="FW90" s="2"/>
      <c r="FX90" s="2">
        <v>108</v>
      </c>
      <c r="FY90" s="2">
        <v>55.25</v>
      </c>
      <c r="FZ90" s="2"/>
      <c r="GA90" s="2" t="s">
        <v>224</v>
      </c>
      <c r="GB90" s="2"/>
      <c r="GC90" s="2"/>
      <c r="GD90" s="2">
        <v>0</v>
      </c>
      <c r="GE90" s="2"/>
      <c r="GF90" s="2">
        <v>-1534712107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4"/>
        <v>0</v>
      </c>
      <c r="GM90" s="2">
        <f t="shared" si="95"/>
        <v>46040.59</v>
      </c>
      <c r="GN90" s="2">
        <f t="shared" si="96"/>
        <v>46040.59</v>
      </c>
      <c r="GO90" s="2">
        <f t="shared" si="97"/>
        <v>0</v>
      </c>
      <c r="GP90" s="2">
        <f t="shared" si="98"/>
        <v>0</v>
      </c>
      <c r="GQ90" s="2"/>
      <c r="GR90" s="2">
        <v>0</v>
      </c>
      <c r="GS90" s="2">
        <v>3</v>
      </c>
      <c r="GT90" s="2">
        <v>0</v>
      </c>
      <c r="GU90" s="2" t="s">
        <v>224</v>
      </c>
      <c r="GV90" s="2">
        <f t="shared" si="99"/>
        <v>0</v>
      </c>
      <c r="GW90" s="2">
        <v>1</v>
      </c>
      <c r="GX90" s="2">
        <f t="shared" si="100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261</v>
      </c>
      <c r="E91" t="s">
        <v>388</v>
      </c>
      <c r="F91" t="s">
        <v>389</v>
      </c>
      <c r="G91" t="s">
        <v>390</v>
      </c>
      <c r="H91" t="s">
        <v>277</v>
      </c>
      <c r="I91">
        <f>I89*J91</f>
        <v>447.3</v>
      </c>
      <c r="J91">
        <v>126.00000000000001</v>
      </c>
      <c r="O91">
        <f t="shared" si="68"/>
        <v>279926.78000000003</v>
      </c>
      <c r="P91">
        <f t="shared" si="69"/>
        <v>279926.78000000003</v>
      </c>
      <c r="Q91">
        <f t="shared" si="70"/>
        <v>0</v>
      </c>
      <c r="R91">
        <f t="shared" si="71"/>
        <v>0</v>
      </c>
      <c r="S91">
        <f t="shared" si="72"/>
        <v>0</v>
      </c>
      <c r="T91">
        <f t="shared" si="73"/>
        <v>0</v>
      </c>
      <c r="U91">
        <f t="shared" si="74"/>
        <v>0</v>
      </c>
      <c r="V91">
        <f t="shared" si="75"/>
        <v>0</v>
      </c>
      <c r="W91">
        <f t="shared" si="76"/>
        <v>0</v>
      </c>
      <c r="X91">
        <f t="shared" si="77"/>
        <v>0</v>
      </c>
      <c r="Y91">
        <f t="shared" si="78"/>
        <v>0</v>
      </c>
      <c r="AA91">
        <v>16499878</v>
      </c>
      <c r="AB91">
        <f t="shared" si="79"/>
        <v>102.93</v>
      </c>
      <c r="AC91">
        <f t="shared" si="108"/>
        <v>102.93</v>
      </c>
      <c r="AD91">
        <f>ROUND((((ET91)-(EU91))+AE91),6)</f>
        <v>0</v>
      </c>
      <c r="AE91">
        <f t="shared" si="109"/>
        <v>0</v>
      </c>
      <c r="AF91">
        <f t="shared" si="109"/>
        <v>0</v>
      </c>
      <c r="AG91">
        <f t="shared" si="80"/>
        <v>0</v>
      </c>
      <c r="AH91">
        <f t="shared" si="110"/>
        <v>0</v>
      </c>
      <c r="AI91">
        <f t="shared" si="110"/>
        <v>0</v>
      </c>
      <c r="AJ91">
        <f t="shared" si="81"/>
        <v>0</v>
      </c>
      <c r="AK91">
        <v>102.93</v>
      </c>
      <c r="AL91">
        <v>102.93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108</v>
      </c>
      <c r="AU91">
        <v>55</v>
      </c>
      <c r="AV91">
        <v>1</v>
      </c>
      <c r="AW91">
        <v>1</v>
      </c>
      <c r="AZ91">
        <v>6.08</v>
      </c>
      <c r="BA91">
        <v>1</v>
      </c>
      <c r="BB91">
        <v>1</v>
      </c>
      <c r="BC91">
        <v>6.08</v>
      </c>
      <c r="BD91" t="s">
        <v>224</v>
      </c>
      <c r="BE91" t="s">
        <v>224</v>
      </c>
      <c r="BF91" t="s">
        <v>224</v>
      </c>
      <c r="BG91" t="s">
        <v>224</v>
      </c>
      <c r="BH91">
        <v>3</v>
      </c>
      <c r="BI91">
        <v>1</v>
      </c>
      <c r="BJ91" t="s">
        <v>391</v>
      </c>
      <c r="BM91">
        <v>12001</v>
      </c>
      <c r="BN91">
        <v>0</v>
      </c>
      <c r="BO91" t="s">
        <v>224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224</v>
      </c>
      <c r="BZ91">
        <v>120</v>
      </c>
      <c r="CA91">
        <v>65</v>
      </c>
      <c r="CF91">
        <v>0</v>
      </c>
      <c r="CG91">
        <v>0</v>
      </c>
      <c r="CM91">
        <v>0</v>
      </c>
      <c r="CN91" t="s">
        <v>224</v>
      </c>
      <c r="CO91">
        <v>0</v>
      </c>
      <c r="CP91">
        <f t="shared" si="82"/>
        <v>279926.78000000003</v>
      </c>
      <c r="CQ91">
        <f t="shared" si="83"/>
        <v>625.81440000000009</v>
      </c>
      <c r="CR91">
        <f t="shared" si="84"/>
        <v>0</v>
      </c>
      <c r="CS91">
        <f t="shared" si="85"/>
        <v>0</v>
      </c>
      <c r="CT91">
        <f t="shared" si="86"/>
        <v>0</v>
      </c>
      <c r="CU91">
        <f t="shared" si="87"/>
        <v>0</v>
      </c>
      <c r="CV91">
        <f t="shared" si="88"/>
        <v>0</v>
      </c>
      <c r="CW91">
        <f t="shared" si="89"/>
        <v>0</v>
      </c>
      <c r="CX91">
        <f t="shared" si="90"/>
        <v>0</v>
      </c>
      <c r="CY91">
        <f t="shared" si="91"/>
        <v>0</v>
      </c>
      <c r="CZ91">
        <f t="shared" si="92"/>
        <v>0</v>
      </c>
      <c r="DC91" t="s">
        <v>224</v>
      </c>
      <c r="DD91" t="s">
        <v>224</v>
      </c>
      <c r="DE91" t="s">
        <v>224</v>
      </c>
      <c r="DF91" t="s">
        <v>224</v>
      </c>
      <c r="DG91" t="s">
        <v>224</v>
      </c>
      <c r="DH91" t="s">
        <v>224</v>
      </c>
      <c r="DI91" t="s">
        <v>224</v>
      </c>
      <c r="DJ91" t="s">
        <v>224</v>
      </c>
      <c r="DK91" t="s">
        <v>224</v>
      </c>
      <c r="DL91" t="s">
        <v>224</v>
      </c>
      <c r="DM91" t="s">
        <v>224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277</v>
      </c>
      <c r="DW91" t="s">
        <v>277</v>
      </c>
      <c r="DX91">
        <v>1</v>
      </c>
      <c r="EE91">
        <v>15139102</v>
      </c>
      <c r="EF91">
        <v>2</v>
      </c>
      <c r="EG91" t="s">
        <v>233</v>
      </c>
      <c r="EH91">
        <v>0</v>
      </c>
      <c r="EI91" t="s">
        <v>224</v>
      </c>
      <c r="EJ91">
        <v>1</v>
      </c>
      <c r="EK91">
        <v>12001</v>
      </c>
      <c r="EL91" t="s">
        <v>386</v>
      </c>
      <c r="EM91" t="s">
        <v>387</v>
      </c>
      <c r="EO91" t="s">
        <v>224</v>
      </c>
      <c r="EQ91">
        <v>0</v>
      </c>
      <c r="ER91">
        <v>102.93</v>
      </c>
      <c r="ES91">
        <v>102.93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3"/>
        <v>0</v>
      </c>
      <c r="FS91">
        <v>0</v>
      </c>
      <c r="FT91" t="s">
        <v>244</v>
      </c>
      <c r="FU91" t="s">
        <v>245</v>
      </c>
      <c r="FX91">
        <v>108</v>
      </c>
      <c r="FY91">
        <v>55.25</v>
      </c>
      <c r="GA91" t="s">
        <v>224</v>
      </c>
      <c r="GD91">
        <v>0</v>
      </c>
      <c r="GF91">
        <v>-1534712107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4"/>
        <v>0</v>
      </c>
      <c r="GM91">
        <f t="shared" si="95"/>
        <v>279926.78000000003</v>
      </c>
      <c r="GN91">
        <f t="shared" si="96"/>
        <v>279926.78000000003</v>
      </c>
      <c r="GO91">
        <f t="shared" si="97"/>
        <v>0</v>
      </c>
      <c r="GP91">
        <f t="shared" si="98"/>
        <v>0</v>
      </c>
      <c r="GR91">
        <v>0</v>
      </c>
      <c r="GS91">
        <v>3</v>
      </c>
      <c r="GT91">
        <v>0</v>
      </c>
      <c r="GU91" t="s">
        <v>224</v>
      </c>
      <c r="GV91">
        <f t="shared" si="99"/>
        <v>0</v>
      </c>
      <c r="GW91">
        <v>1</v>
      </c>
      <c r="GX91">
        <f t="shared" si="100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ROW(SmtRes!A276)</f>
        <v>276</v>
      </c>
      <c r="D92" s="2">
        <f>ROW(EtalonRes!A298)</f>
        <v>298</v>
      </c>
      <c r="E92" s="2" t="s">
        <v>392</v>
      </c>
      <c r="F92" s="2" t="s">
        <v>393</v>
      </c>
      <c r="G92" s="2" t="s">
        <v>394</v>
      </c>
      <c r="H92" s="2" t="s">
        <v>256</v>
      </c>
      <c r="I92" s="2">
        <f>ROUND(30/100,9)</f>
        <v>0.3</v>
      </c>
      <c r="J92" s="2">
        <v>0</v>
      </c>
      <c r="K92" s="2"/>
      <c r="L92" s="2"/>
      <c r="M92" s="2"/>
      <c r="N92" s="2"/>
      <c r="O92" s="2">
        <f t="shared" ref="O92:O111" si="111">ROUND(CP92,2)</f>
        <v>5678.86</v>
      </c>
      <c r="P92" s="2">
        <f t="shared" ref="P92:P111" si="112">ROUND(CQ92*I92,2)</f>
        <v>5380.09</v>
      </c>
      <c r="Q92" s="2">
        <f t="shared" ref="Q92:Q111" si="113">ROUND(CR92*I92,2)</f>
        <v>81.89</v>
      </c>
      <c r="R92" s="2">
        <f t="shared" ref="R92:R111" si="114">ROUND(CS92*I92,2)</f>
        <v>12.31</v>
      </c>
      <c r="S92" s="2">
        <f t="shared" ref="S92:S111" si="115">ROUND(CT92*I92,2)</f>
        <v>216.88</v>
      </c>
      <c r="T92" s="2">
        <f t="shared" ref="T92:T111" si="116">ROUND(CU92*I92,2)</f>
        <v>0</v>
      </c>
      <c r="U92" s="2">
        <f t="shared" ref="U92:U111" si="117">CV92*I92</f>
        <v>25.425000000000001</v>
      </c>
      <c r="V92" s="2">
        <f t="shared" ref="V92:V111" si="118">CW92*I92</f>
        <v>0.95699999999999996</v>
      </c>
      <c r="W92" s="2">
        <f t="shared" ref="W92:W111" si="119">ROUND(CX92*I92,2)</f>
        <v>0</v>
      </c>
      <c r="X92" s="2">
        <f t="shared" ref="X92:X111" si="120">ROUND(CY92,2)</f>
        <v>247.53</v>
      </c>
      <c r="Y92" s="2">
        <f t="shared" ref="Y92:Y111" si="121">ROUND(CZ92,2)</f>
        <v>126.05</v>
      </c>
      <c r="Z92" s="2"/>
      <c r="AA92" s="2">
        <v>16499835</v>
      </c>
      <c r="AB92" s="2">
        <f t="shared" ref="AB92:AB111" si="122">ROUND((AC92+AD92+AF92),6)</f>
        <v>18929.53</v>
      </c>
      <c r="AC92" s="2">
        <f t="shared" si="108"/>
        <v>17933.63</v>
      </c>
      <c r="AD92" s="2">
        <f>ROUND((((ET92)-(EU92))+AE92),6)</f>
        <v>272.98</v>
      </c>
      <c r="AE92" s="2">
        <f t="shared" si="109"/>
        <v>41.02</v>
      </c>
      <c r="AF92" s="2">
        <f t="shared" si="109"/>
        <v>722.92</v>
      </c>
      <c r="AG92" s="2">
        <f t="shared" ref="AG92:AG111" si="123">ROUND((AP92),6)</f>
        <v>0</v>
      </c>
      <c r="AH92" s="2">
        <f t="shared" si="110"/>
        <v>84.75</v>
      </c>
      <c r="AI92" s="2">
        <f t="shared" si="110"/>
        <v>3.19</v>
      </c>
      <c r="AJ92" s="2">
        <f t="shared" ref="AJ92:AJ111" si="124">ROUND((AS92),6)</f>
        <v>0</v>
      </c>
      <c r="AK92" s="2">
        <v>18929.53</v>
      </c>
      <c r="AL92" s="2">
        <v>17933.63</v>
      </c>
      <c r="AM92" s="2">
        <v>272.98</v>
      </c>
      <c r="AN92" s="2">
        <v>41.02</v>
      </c>
      <c r="AO92" s="2">
        <v>722.92</v>
      </c>
      <c r="AP92" s="2">
        <v>0</v>
      </c>
      <c r="AQ92" s="2">
        <v>84.75</v>
      </c>
      <c r="AR92" s="2">
        <v>3.19</v>
      </c>
      <c r="AS92" s="2">
        <v>0</v>
      </c>
      <c r="AT92" s="2">
        <v>108</v>
      </c>
      <c r="AU92" s="2">
        <v>55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224</v>
      </c>
      <c r="BE92" s="2" t="s">
        <v>224</v>
      </c>
      <c r="BF92" s="2" t="s">
        <v>224</v>
      </c>
      <c r="BG92" s="2" t="s">
        <v>224</v>
      </c>
      <c r="BH92" s="2">
        <v>0</v>
      </c>
      <c r="BI92" s="2">
        <v>1</v>
      </c>
      <c r="BJ92" s="2" t="s">
        <v>395</v>
      </c>
      <c r="BK92" s="2"/>
      <c r="BL92" s="2"/>
      <c r="BM92" s="2">
        <v>12001</v>
      </c>
      <c r="BN92" s="2">
        <v>0</v>
      </c>
      <c r="BO92" s="2" t="s">
        <v>224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224</v>
      </c>
      <c r="BZ92" s="2">
        <v>120</v>
      </c>
      <c r="CA92" s="2">
        <v>65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224</v>
      </c>
      <c r="CO92" s="2">
        <v>0</v>
      </c>
      <c r="CP92" s="2">
        <f t="shared" ref="CP92:CP111" si="125">(P92+Q92+S92)</f>
        <v>5678.8600000000006</v>
      </c>
      <c r="CQ92" s="2">
        <f t="shared" ref="CQ92:CQ111" si="126">AC92*BC92</f>
        <v>17933.63</v>
      </c>
      <c r="CR92" s="2">
        <f t="shared" ref="CR92:CR111" si="127">AD92*BB92</f>
        <v>272.98</v>
      </c>
      <c r="CS92" s="2">
        <f t="shared" ref="CS92:CS111" si="128">AE92*BS92</f>
        <v>41.02</v>
      </c>
      <c r="CT92" s="2">
        <f t="shared" ref="CT92:CT111" si="129">AF92*BA92</f>
        <v>722.92</v>
      </c>
      <c r="CU92" s="2">
        <f t="shared" ref="CU92:CU111" si="130">AG92</f>
        <v>0</v>
      </c>
      <c r="CV92" s="2">
        <f t="shared" ref="CV92:CV111" si="131">AH92</f>
        <v>84.75</v>
      </c>
      <c r="CW92" s="2">
        <f t="shared" ref="CW92:CW111" si="132">AI92</f>
        <v>3.19</v>
      </c>
      <c r="CX92" s="2">
        <f t="shared" ref="CX92:CX111" si="133">AJ92</f>
        <v>0</v>
      </c>
      <c r="CY92" s="2">
        <f t="shared" ref="CY92:CY111" si="134">(((S92+R92)*AT92)/100)</f>
        <v>247.52520000000001</v>
      </c>
      <c r="CZ92" s="2">
        <f t="shared" ref="CZ92:CZ111" si="135">(((S92+R92)*AU92)/100)</f>
        <v>126.0545</v>
      </c>
      <c r="DA92" s="2"/>
      <c r="DB92" s="2"/>
      <c r="DC92" s="2" t="s">
        <v>224</v>
      </c>
      <c r="DD92" s="2" t="s">
        <v>224</v>
      </c>
      <c r="DE92" s="2" t="s">
        <v>224</v>
      </c>
      <c r="DF92" s="2" t="s">
        <v>224</v>
      </c>
      <c r="DG92" s="2" t="s">
        <v>224</v>
      </c>
      <c r="DH92" s="2" t="s">
        <v>224</v>
      </c>
      <c r="DI92" s="2" t="s">
        <v>224</v>
      </c>
      <c r="DJ92" s="2" t="s">
        <v>224</v>
      </c>
      <c r="DK92" s="2" t="s">
        <v>224</v>
      </c>
      <c r="DL92" s="2" t="s">
        <v>224</v>
      </c>
      <c r="DM92" s="2" t="s">
        <v>224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1003</v>
      </c>
      <c r="DV92" s="2" t="s">
        <v>256</v>
      </c>
      <c r="DW92" s="2" t="s">
        <v>256</v>
      </c>
      <c r="DX92" s="2">
        <v>100</v>
      </c>
      <c r="DY92" s="2"/>
      <c r="DZ92" s="2"/>
      <c r="EA92" s="2"/>
      <c r="EB92" s="2"/>
      <c r="EC92" s="2"/>
      <c r="ED92" s="2"/>
      <c r="EE92" s="2">
        <v>15139102</v>
      </c>
      <c r="EF92" s="2">
        <v>2</v>
      </c>
      <c r="EG92" s="2" t="s">
        <v>233</v>
      </c>
      <c r="EH92" s="2">
        <v>0</v>
      </c>
      <c r="EI92" s="2" t="s">
        <v>224</v>
      </c>
      <c r="EJ92" s="2">
        <v>1</v>
      </c>
      <c r="EK92" s="2">
        <v>12001</v>
      </c>
      <c r="EL92" s="2" t="s">
        <v>386</v>
      </c>
      <c r="EM92" s="2" t="s">
        <v>387</v>
      </c>
      <c r="EN92" s="2"/>
      <c r="EO92" s="2" t="s">
        <v>224</v>
      </c>
      <c r="EP92" s="2"/>
      <c r="EQ92" s="2">
        <v>0</v>
      </c>
      <c r="ER92" s="2">
        <v>18929.53</v>
      </c>
      <c r="ES92" s="2">
        <v>17933.63</v>
      </c>
      <c r="ET92" s="2">
        <v>272.98</v>
      </c>
      <c r="EU92" s="2">
        <v>41.02</v>
      </c>
      <c r="EV92" s="2">
        <v>722.92</v>
      </c>
      <c r="EW92" s="2">
        <v>84.75</v>
      </c>
      <c r="EX92" s="2">
        <v>3.19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11" si="136">ROUND(IF(AND(BH92=3,BI92=3),P92,0),2)</f>
        <v>0</v>
      </c>
      <c r="FS92" s="2">
        <v>0</v>
      </c>
      <c r="FT92" s="2" t="s">
        <v>244</v>
      </c>
      <c r="FU92" s="2" t="s">
        <v>245</v>
      </c>
      <c r="FV92" s="2"/>
      <c r="FW92" s="2"/>
      <c r="FX92" s="2">
        <v>108</v>
      </c>
      <c r="FY92" s="2">
        <v>55.25</v>
      </c>
      <c r="FZ92" s="2"/>
      <c r="GA92" s="2" t="s">
        <v>224</v>
      </c>
      <c r="GB92" s="2"/>
      <c r="GC92" s="2"/>
      <c r="GD92" s="2">
        <v>0</v>
      </c>
      <c r="GE92" s="2"/>
      <c r="GF92" s="2">
        <v>-636269161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11" si="137">ROUND(IF(AND(BH92=3,BI92=3,FS92&lt;&gt;0),P92,0),2)</f>
        <v>0</v>
      </c>
      <c r="GM92" s="2">
        <f t="shared" ref="GM92:GM111" si="138">ROUND(O92+X92+Y92+GK92,2)+GX92</f>
        <v>6052.44</v>
      </c>
      <c r="GN92" s="2">
        <f t="shared" ref="GN92:GN111" si="139">IF(OR(BI92=0,BI92=1),ROUND(O92+X92+Y92+GK92,2),0)</f>
        <v>6052.44</v>
      </c>
      <c r="GO92" s="2">
        <f t="shared" ref="GO92:GO111" si="140">IF(BI92=2,ROUND(O92+X92+Y92+GK92,2),0)</f>
        <v>0</v>
      </c>
      <c r="GP92" s="2">
        <f t="shared" ref="GP92:GP111" si="141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224</v>
      </c>
      <c r="GV92" s="2">
        <f t="shared" ref="GV92:GV111" si="142">ROUND(GT92,6)</f>
        <v>0</v>
      </c>
      <c r="GW92" s="2">
        <v>1</v>
      </c>
      <c r="GX92" s="2">
        <f t="shared" ref="GX92:GX111" si="143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ROW(SmtRes!A288)</f>
        <v>288</v>
      </c>
      <c r="D93">
        <f>ROW(EtalonRes!A310)</f>
        <v>310</v>
      </c>
      <c r="E93" t="s">
        <v>392</v>
      </c>
      <c r="F93" t="s">
        <v>393</v>
      </c>
      <c r="G93" t="s">
        <v>394</v>
      </c>
      <c r="H93" t="s">
        <v>256</v>
      </c>
      <c r="I93">
        <f>ROUND(30/100,9)</f>
        <v>0.3</v>
      </c>
      <c r="J93">
        <v>0</v>
      </c>
      <c r="O93">
        <f t="shared" si="111"/>
        <v>34527.47</v>
      </c>
      <c r="P93">
        <f t="shared" si="112"/>
        <v>32710.94</v>
      </c>
      <c r="Q93">
        <f t="shared" si="113"/>
        <v>497.92</v>
      </c>
      <c r="R93">
        <f t="shared" si="114"/>
        <v>74.819999999999993</v>
      </c>
      <c r="S93">
        <f t="shared" si="115"/>
        <v>1318.61</v>
      </c>
      <c r="T93">
        <f t="shared" si="116"/>
        <v>0</v>
      </c>
      <c r="U93">
        <f t="shared" si="117"/>
        <v>25.425000000000001</v>
      </c>
      <c r="V93">
        <f t="shared" si="118"/>
        <v>0.95699999999999996</v>
      </c>
      <c r="W93">
        <f t="shared" si="119"/>
        <v>0</v>
      </c>
      <c r="X93">
        <f t="shared" si="120"/>
        <v>1504.9</v>
      </c>
      <c r="Y93">
        <f t="shared" si="121"/>
        <v>766.39</v>
      </c>
      <c r="AA93">
        <v>16499878</v>
      </c>
      <c r="AB93">
        <f t="shared" si="122"/>
        <v>18929.53</v>
      </c>
      <c r="AC93">
        <f t="shared" si="108"/>
        <v>17933.63</v>
      </c>
      <c r="AD93">
        <f>ROUND((((ET93)-(EU93))+AE93),6)</f>
        <v>272.98</v>
      </c>
      <c r="AE93">
        <f t="shared" si="109"/>
        <v>41.02</v>
      </c>
      <c r="AF93">
        <f t="shared" si="109"/>
        <v>722.92</v>
      </c>
      <c r="AG93">
        <f t="shared" si="123"/>
        <v>0</v>
      </c>
      <c r="AH93">
        <f t="shared" si="110"/>
        <v>84.75</v>
      </c>
      <c r="AI93">
        <f t="shared" si="110"/>
        <v>3.19</v>
      </c>
      <c r="AJ93">
        <f t="shared" si="124"/>
        <v>0</v>
      </c>
      <c r="AK93">
        <v>18929.53</v>
      </c>
      <c r="AL93">
        <v>17933.63</v>
      </c>
      <c r="AM93">
        <v>272.98</v>
      </c>
      <c r="AN93">
        <v>41.02</v>
      </c>
      <c r="AO93">
        <v>722.92</v>
      </c>
      <c r="AP93">
        <v>0</v>
      </c>
      <c r="AQ93">
        <v>84.75</v>
      </c>
      <c r="AR93">
        <v>3.19</v>
      </c>
      <c r="AS93">
        <v>0</v>
      </c>
      <c r="AT93">
        <v>108</v>
      </c>
      <c r="AU93">
        <v>55</v>
      </c>
      <c r="AV93">
        <v>1</v>
      </c>
      <c r="AW93">
        <v>1</v>
      </c>
      <c r="AZ93">
        <v>6.08</v>
      </c>
      <c r="BA93">
        <v>6.08</v>
      </c>
      <c r="BB93">
        <v>6.08</v>
      </c>
      <c r="BC93">
        <v>6.08</v>
      </c>
      <c r="BD93" t="s">
        <v>224</v>
      </c>
      <c r="BE93" t="s">
        <v>224</v>
      </c>
      <c r="BF93" t="s">
        <v>224</v>
      </c>
      <c r="BG93" t="s">
        <v>224</v>
      </c>
      <c r="BH93">
        <v>0</v>
      </c>
      <c r="BI93">
        <v>1</v>
      </c>
      <c r="BJ93" t="s">
        <v>395</v>
      </c>
      <c r="BM93">
        <v>12001</v>
      </c>
      <c r="BN93">
        <v>0</v>
      </c>
      <c r="BO93" t="s">
        <v>224</v>
      </c>
      <c r="BP93">
        <v>0</v>
      </c>
      <c r="BQ93">
        <v>2</v>
      </c>
      <c r="BR93">
        <v>0</v>
      </c>
      <c r="BS93">
        <v>6.08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224</v>
      </c>
      <c r="BZ93">
        <v>120</v>
      </c>
      <c r="CA93">
        <v>65</v>
      </c>
      <c r="CF93">
        <v>0</v>
      </c>
      <c r="CG93">
        <v>0</v>
      </c>
      <c r="CM93">
        <v>0</v>
      </c>
      <c r="CN93" t="s">
        <v>224</v>
      </c>
      <c r="CO93">
        <v>0</v>
      </c>
      <c r="CP93">
        <f t="shared" si="125"/>
        <v>34527.47</v>
      </c>
      <c r="CQ93">
        <f t="shared" si="126"/>
        <v>109036.47040000001</v>
      </c>
      <c r="CR93">
        <f t="shared" si="127"/>
        <v>1659.7184000000002</v>
      </c>
      <c r="CS93">
        <f t="shared" si="128"/>
        <v>249.40160000000003</v>
      </c>
      <c r="CT93">
        <f t="shared" si="129"/>
        <v>4395.3535999999995</v>
      </c>
      <c r="CU93">
        <f t="shared" si="130"/>
        <v>0</v>
      </c>
      <c r="CV93">
        <f t="shared" si="131"/>
        <v>84.75</v>
      </c>
      <c r="CW93">
        <f t="shared" si="132"/>
        <v>3.19</v>
      </c>
      <c r="CX93">
        <f t="shared" si="133"/>
        <v>0</v>
      </c>
      <c r="CY93">
        <f t="shared" si="134"/>
        <v>1504.9043999999997</v>
      </c>
      <c r="CZ93">
        <f t="shared" si="135"/>
        <v>766.38649999999996</v>
      </c>
      <c r="DC93" t="s">
        <v>224</v>
      </c>
      <c r="DD93" t="s">
        <v>224</v>
      </c>
      <c r="DE93" t="s">
        <v>224</v>
      </c>
      <c r="DF93" t="s">
        <v>224</v>
      </c>
      <c r="DG93" t="s">
        <v>224</v>
      </c>
      <c r="DH93" t="s">
        <v>224</v>
      </c>
      <c r="DI93" t="s">
        <v>224</v>
      </c>
      <c r="DJ93" t="s">
        <v>224</v>
      </c>
      <c r="DK93" t="s">
        <v>224</v>
      </c>
      <c r="DL93" t="s">
        <v>224</v>
      </c>
      <c r="DM93" t="s">
        <v>224</v>
      </c>
      <c r="DN93">
        <v>0</v>
      </c>
      <c r="DO93">
        <v>0</v>
      </c>
      <c r="DP93">
        <v>1</v>
      </c>
      <c r="DQ93">
        <v>1</v>
      </c>
      <c r="DU93">
        <v>1003</v>
      </c>
      <c r="DV93" t="s">
        <v>256</v>
      </c>
      <c r="DW93" t="s">
        <v>256</v>
      </c>
      <c r="DX93">
        <v>100</v>
      </c>
      <c r="EE93">
        <v>15139102</v>
      </c>
      <c r="EF93">
        <v>2</v>
      </c>
      <c r="EG93" t="s">
        <v>233</v>
      </c>
      <c r="EH93">
        <v>0</v>
      </c>
      <c r="EI93" t="s">
        <v>224</v>
      </c>
      <c r="EJ93">
        <v>1</v>
      </c>
      <c r="EK93">
        <v>12001</v>
      </c>
      <c r="EL93" t="s">
        <v>386</v>
      </c>
      <c r="EM93" t="s">
        <v>387</v>
      </c>
      <c r="EO93" t="s">
        <v>224</v>
      </c>
      <c r="EQ93">
        <v>0</v>
      </c>
      <c r="ER93">
        <v>18929.53</v>
      </c>
      <c r="ES93">
        <v>17933.63</v>
      </c>
      <c r="ET93">
        <v>272.98</v>
      </c>
      <c r="EU93">
        <v>41.02</v>
      </c>
      <c r="EV93">
        <v>722.92</v>
      </c>
      <c r="EW93">
        <v>84.75</v>
      </c>
      <c r="EX93">
        <v>3.19</v>
      </c>
      <c r="EY93">
        <v>0</v>
      </c>
      <c r="FQ93">
        <v>0</v>
      </c>
      <c r="FR93">
        <f t="shared" si="136"/>
        <v>0</v>
      </c>
      <c r="FS93">
        <v>0</v>
      </c>
      <c r="FT93" t="s">
        <v>244</v>
      </c>
      <c r="FU93" t="s">
        <v>245</v>
      </c>
      <c r="FX93">
        <v>108</v>
      </c>
      <c r="FY93">
        <v>55.25</v>
      </c>
      <c r="GA93" t="s">
        <v>224</v>
      </c>
      <c r="GD93">
        <v>0</v>
      </c>
      <c r="GF93">
        <v>-636269161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7"/>
        <v>0</v>
      </c>
      <c r="GM93">
        <f t="shared" si="138"/>
        <v>36798.76</v>
      </c>
      <c r="GN93">
        <f t="shared" si="139"/>
        <v>36798.76</v>
      </c>
      <c r="GO93">
        <f t="shared" si="140"/>
        <v>0</v>
      </c>
      <c r="GP93">
        <f t="shared" si="141"/>
        <v>0</v>
      </c>
      <c r="GR93">
        <v>0</v>
      </c>
      <c r="GS93">
        <v>3</v>
      </c>
      <c r="GT93">
        <v>0</v>
      </c>
      <c r="GU93" t="s">
        <v>224</v>
      </c>
      <c r="GV93">
        <f t="shared" si="142"/>
        <v>0</v>
      </c>
      <c r="GW93">
        <v>1</v>
      </c>
      <c r="GX93">
        <f t="shared" si="143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ROW(SmtRes!A296)</f>
        <v>296</v>
      </c>
      <c r="D94" s="2">
        <f>ROW(EtalonRes!A318)</f>
        <v>318</v>
      </c>
      <c r="E94" s="2" t="s">
        <v>396</v>
      </c>
      <c r="F94" s="2" t="s">
        <v>397</v>
      </c>
      <c r="G94" s="2" t="s">
        <v>398</v>
      </c>
      <c r="H94" s="2" t="s">
        <v>237</v>
      </c>
      <c r="I94" s="2">
        <f>ROUND(30/100,9)</f>
        <v>0.3</v>
      </c>
      <c r="J94" s="2">
        <v>0</v>
      </c>
      <c r="K94" s="2"/>
      <c r="L94" s="2"/>
      <c r="M94" s="2"/>
      <c r="N94" s="2"/>
      <c r="O94" s="2">
        <f t="shared" si="111"/>
        <v>110.45</v>
      </c>
      <c r="P94" s="2">
        <f t="shared" si="112"/>
        <v>54.7</v>
      </c>
      <c r="Q94" s="2">
        <f t="shared" si="113"/>
        <v>9.18</v>
      </c>
      <c r="R94" s="2">
        <f t="shared" si="114"/>
        <v>1.41</v>
      </c>
      <c r="S94" s="2">
        <f t="shared" si="115"/>
        <v>46.57</v>
      </c>
      <c r="T94" s="2">
        <f t="shared" si="116"/>
        <v>0</v>
      </c>
      <c r="U94" s="2">
        <f t="shared" si="117"/>
        <v>4.9541999999999993</v>
      </c>
      <c r="V94" s="2">
        <f t="shared" si="118"/>
        <v>0.10875</v>
      </c>
      <c r="W94" s="2">
        <f t="shared" si="119"/>
        <v>0</v>
      </c>
      <c r="X94" s="2">
        <f t="shared" si="120"/>
        <v>51.82</v>
      </c>
      <c r="Y94" s="2">
        <f t="shared" si="121"/>
        <v>26.39</v>
      </c>
      <c r="Z94" s="2"/>
      <c r="AA94" s="2">
        <v>16499835</v>
      </c>
      <c r="AB94" s="2">
        <f t="shared" si="122"/>
        <v>368.14449999999999</v>
      </c>
      <c r="AC94" s="2">
        <f t="shared" si="108"/>
        <v>182.33</v>
      </c>
      <c r="AD94" s="2">
        <f>ROUND(((((ET94*1.25))-((EU94*1.25)))+AE94),6)</f>
        <v>30.587499999999999</v>
      </c>
      <c r="AE94" s="2">
        <f>ROUND(((EU94*1.25)),6)</f>
        <v>4.6875</v>
      </c>
      <c r="AF94" s="2">
        <f>ROUND(((EV94*1.15)),6)</f>
        <v>155.227</v>
      </c>
      <c r="AG94" s="2">
        <f t="shared" si="123"/>
        <v>0</v>
      </c>
      <c r="AH94" s="2">
        <f>((EW94*1.15))</f>
        <v>16.513999999999999</v>
      </c>
      <c r="AI94" s="2">
        <f>((EX94*1.25))</f>
        <v>0.36249999999999999</v>
      </c>
      <c r="AJ94" s="2">
        <f t="shared" si="124"/>
        <v>0</v>
      </c>
      <c r="AK94" s="2">
        <v>341.78</v>
      </c>
      <c r="AL94" s="2">
        <v>182.33</v>
      </c>
      <c r="AM94" s="2">
        <v>24.47</v>
      </c>
      <c r="AN94" s="2">
        <v>3.75</v>
      </c>
      <c r="AO94" s="2">
        <v>134.97999999999999</v>
      </c>
      <c r="AP94" s="2">
        <v>0</v>
      </c>
      <c r="AQ94" s="2">
        <v>14.36</v>
      </c>
      <c r="AR94" s="2">
        <v>0.28999999999999998</v>
      </c>
      <c r="AS94" s="2">
        <v>0</v>
      </c>
      <c r="AT94" s="2">
        <v>108</v>
      </c>
      <c r="AU94" s="2">
        <v>55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224</v>
      </c>
      <c r="BE94" s="2" t="s">
        <v>224</v>
      </c>
      <c r="BF94" s="2" t="s">
        <v>224</v>
      </c>
      <c r="BG94" s="2" t="s">
        <v>224</v>
      </c>
      <c r="BH94" s="2">
        <v>0</v>
      </c>
      <c r="BI94" s="2">
        <v>1</v>
      </c>
      <c r="BJ94" s="2" t="s">
        <v>399</v>
      </c>
      <c r="BK94" s="2"/>
      <c r="BL94" s="2"/>
      <c r="BM94" s="2">
        <v>12001</v>
      </c>
      <c r="BN94" s="2">
        <v>0</v>
      </c>
      <c r="BO94" s="2" t="s">
        <v>224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224</v>
      </c>
      <c r="BZ94" s="2">
        <v>120</v>
      </c>
      <c r="CA94" s="2">
        <v>65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123</v>
      </c>
      <c r="CO94" s="2">
        <v>0</v>
      </c>
      <c r="CP94" s="2">
        <f t="shared" si="125"/>
        <v>110.45</v>
      </c>
      <c r="CQ94" s="2">
        <f t="shared" si="126"/>
        <v>182.33</v>
      </c>
      <c r="CR94" s="2">
        <f t="shared" si="127"/>
        <v>30.587499999999999</v>
      </c>
      <c r="CS94" s="2">
        <f t="shared" si="128"/>
        <v>4.6875</v>
      </c>
      <c r="CT94" s="2">
        <f t="shared" si="129"/>
        <v>155.227</v>
      </c>
      <c r="CU94" s="2">
        <f t="shared" si="130"/>
        <v>0</v>
      </c>
      <c r="CV94" s="2">
        <f t="shared" si="131"/>
        <v>16.513999999999999</v>
      </c>
      <c r="CW94" s="2">
        <f t="shared" si="132"/>
        <v>0.36249999999999999</v>
      </c>
      <c r="CX94" s="2">
        <f t="shared" si="133"/>
        <v>0</v>
      </c>
      <c r="CY94" s="2">
        <f t="shared" si="134"/>
        <v>51.81839999999999</v>
      </c>
      <c r="CZ94" s="2">
        <f t="shared" si="135"/>
        <v>26.388999999999996</v>
      </c>
      <c r="DA94" s="2"/>
      <c r="DB94" s="2"/>
      <c r="DC94" s="2" t="s">
        <v>224</v>
      </c>
      <c r="DD94" s="2" t="s">
        <v>224</v>
      </c>
      <c r="DE94" s="2" t="s">
        <v>239</v>
      </c>
      <c r="DF94" s="2" t="s">
        <v>239</v>
      </c>
      <c r="DG94" s="2" t="s">
        <v>240</v>
      </c>
      <c r="DH94" s="2" t="s">
        <v>224</v>
      </c>
      <c r="DI94" s="2" t="s">
        <v>240</v>
      </c>
      <c r="DJ94" s="2" t="s">
        <v>239</v>
      </c>
      <c r="DK94" s="2" t="s">
        <v>224</v>
      </c>
      <c r="DL94" s="2" t="s">
        <v>224</v>
      </c>
      <c r="DM94" s="2" t="s">
        <v>224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237</v>
      </c>
      <c r="DW94" s="2" t="s">
        <v>237</v>
      </c>
      <c r="DX94" s="2">
        <v>100</v>
      </c>
      <c r="DY94" s="2"/>
      <c r="DZ94" s="2"/>
      <c r="EA94" s="2"/>
      <c r="EB94" s="2"/>
      <c r="EC94" s="2"/>
      <c r="ED94" s="2"/>
      <c r="EE94" s="2">
        <v>15139102</v>
      </c>
      <c r="EF94" s="2">
        <v>2</v>
      </c>
      <c r="EG94" s="2" t="s">
        <v>233</v>
      </c>
      <c r="EH94" s="2">
        <v>0</v>
      </c>
      <c r="EI94" s="2" t="s">
        <v>224</v>
      </c>
      <c r="EJ94" s="2">
        <v>1</v>
      </c>
      <c r="EK94" s="2">
        <v>12001</v>
      </c>
      <c r="EL94" s="2" t="s">
        <v>386</v>
      </c>
      <c r="EM94" s="2" t="s">
        <v>387</v>
      </c>
      <c r="EN94" s="2"/>
      <c r="EO94" s="2" t="s">
        <v>243</v>
      </c>
      <c r="EP94" s="2"/>
      <c r="EQ94" s="2">
        <v>0</v>
      </c>
      <c r="ER94" s="2">
        <v>341.78</v>
      </c>
      <c r="ES94" s="2">
        <v>182.33</v>
      </c>
      <c r="ET94" s="2">
        <v>24.47</v>
      </c>
      <c r="EU94" s="2">
        <v>3.75</v>
      </c>
      <c r="EV94" s="2">
        <v>134.97999999999999</v>
      </c>
      <c r="EW94" s="2">
        <v>14.36</v>
      </c>
      <c r="EX94" s="2">
        <v>0.28999999999999998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6"/>
        <v>0</v>
      </c>
      <c r="FS94" s="2">
        <v>0</v>
      </c>
      <c r="FT94" s="2" t="s">
        <v>244</v>
      </c>
      <c r="FU94" s="2" t="s">
        <v>245</v>
      </c>
      <c r="FV94" s="2"/>
      <c r="FW94" s="2"/>
      <c r="FX94" s="2">
        <v>108</v>
      </c>
      <c r="FY94" s="2">
        <v>55.25</v>
      </c>
      <c r="FZ94" s="2"/>
      <c r="GA94" s="2" t="s">
        <v>224</v>
      </c>
      <c r="GB94" s="2"/>
      <c r="GC94" s="2"/>
      <c r="GD94" s="2">
        <v>0</v>
      </c>
      <c r="GE94" s="2"/>
      <c r="GF94" s="2">
        <v>-2034083964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7"/>
        <v>0</v>
      </c>
      <c r="GM94" s="2">
        <f t="shared" si="138"/>
        <v>188.66</v>
      </c>
      <c r="GN94" s="2">
        <f t="shared" si="139"/>
        <v>188.66</v>
      </c>
      <c r="GO94" s="2">
        <f t="shared" si="140"/>
        <v>0</v>
      </c>
      <c r="GP94" s="2">
        <f t="shared" si="141"/>
        <v>0</v>
      </c>
      <c r="GQ94" s="2"/>
      <c r="GR94" s="2">
        <v>0</v>
      </c>
      <c r="GS94" s="2">
        <v>3</v>
      </c>
      <c r="GT94" s="2">
        <v>0</v>
      </c>
      <c r="GU94" s="2" t="s">
        <v>224</v>
      </c>
      <c r="GV94" s="2">
        <f t="shared" si="142"/>
        <v>0</v>
      </c>
      <c r="GW94" s="2">
        <v>1</v>
      </c>
      <c r="GX94" s="2">
        <f t="shared" si="143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ROW(SmtRes!A304)</f>
        <v>304</v>
      </c>
      <c r="D95">
        <f>ROW(EtalonRes!A326)</f>
        <v>326</v>
      </c>
      <c r="E95" t="s">
        <v>396</v>
      </c>
      <c r="F95" t="s">
        <v>397</v>
      </c>
      <c r="G95" t="s">
        <v>398</v>
      </c>
      <c r="H95" t="s">
        <v>237</v>
      </c>
      <c r="I95">
        <f>ROUND(30/100,9)</f>
        <v>0.3</v>
      </c>
      <c r="J95">
        <v>0</v>
      </c>
      <c r="O95">
        <f t="shared" si="111"/>
        <v>671.49</v>
      </c>
      <c r="P95">
        <f t="shared" si="112"/>
        <v>332.57</v>
      </c>
      <c r="Q95">
        <f t="shared" si="113"/>
        <v>55.79</v>
      </c>
      <c r="R95">
        <f t="shared" si="114"/>
        <v>8.5500000000000007</v>
      </c>
      <c r="S95">
        <f t="shared" si="115"/>
        <v>283.13</v>
      </c>
      <c r="T95">
        <f t="shared" si="116"/>
        <v>0</v>
      </c>
      <c r="U95">
        <f t="shared" si="117"/>
        <v>4.9541999999999993</v>
      </c>
      <c r="V95">
        <f t="shared" si="118"/>
        <v>0.10875</v>
      </c>
      <c r="W95">
        <f t="shared" si="119"/>
        <v>0</v>
      </c>
      <c r="X95">
        <f t="shared" si="120"/>
        <v>315.01</v>
      </c>
      <c r="Y95">
        <f t="shared" si="121"/>
        <v>160.41999999999999</v>
      </c>
      <c r="AA95">
        <v>16499878</v>
      </c>
      <c r="AB95">
        <f t="shared" si="122"/>
        <v>368.14449999999999</v>
      </c>
      <c r="AC95">
        <f t="shared" si="108"/>
        <v>182.33</v>
      </c>
      <c r="AD95">
        <f>ROUND(((((ET95*1.25))-((EU95*1.25)))+AE95),6)</f>
        <v>30.587499999999999</v>
      </c>
      <c r="AE95">
        <f>ROUND(((EU95*1.25)),6)</f>
        <v>4.6875</v>
      </c>
      <c r="AF95">
        <f>ROUND(((EV95*1.15)),6)</f>
        <v>155.227</v>
      </c>
      <c r="AG95">
        <f t="shared" si="123"/>
        <v>0</v>
      </c>
      <c r="AH95">
        <f>((EW95*1.15))</f>
        <v>16.513999999999999</v>
      </c>
      <c r="AI95">
        <f>((EX95*1.25))</f>
        <v>0.36249999999999999</v>
      </c>
      <c r="AJ95">
        <f t="shared" si="124"/>
        <v>0</v>
      </c>
      <c r="AK95">
        <v>341.78</v>
      </c>
      <c r="AL95">
        <v>182.33</v>
      </c>
      <c r="AM95">
        <v>24.47</v>
      </c>
      <c r="AN95">
        <v>3.75</v>
      </c>
      <c r="AO95">
        <v>134.97999999999999</v>
      </c>
      <c r="AP95">
        <v>0</v>
      </c>
      <c r="AQ95">
        <v>14.36</v>
      </c>
      <c r="AR95">
        <v>0.28999999999999998</v>
      </c>
      <c r="AS95">
        <v>0</v>
      </c>
      <c r="AT95">
        <v>108</v>
      </c>
      <c r="AU95">
        <v>55</v>
      </c>
      <c r="AV95">
        <v>1</v>
      </c>
      <c r="AW95">
        <v>1</v>
      </c>
      <c r="AZ95">
        <v>6.08</v>
      </c>
      <c r="BA95">
        <v>6.08</v>
      </c>
      <c r="BB95">
        <v>6.08</v>
      </c>
      <c r="BC95">
        <v>6.08</v>
      </c>
      <c r="BD95" t="s">
        <v>224</v>
      </c>
      <c r="BE95" t="s">
        <v>224</v>
      </c>
      <c r="BF95" t="s">
        <v>224</v>
      </c>
      <c r="BG95" t="s">
        <v>224</v>
      </c>
      <c r="BH95">
        <v>0</v>
      </c>
      <c r="BI95">
        <v>1</v>
      </c>
      <c r="BJ95" t="s">
        <v>399</v>
      </c>
      <c r="BM95">
        <v>12001</v>
      </c>
      <c r="BN95">
        <v>0</v>
      </c>
      <c r="BO95" t="s">
        <v>224</v>
      </c>
      <c r="BP95">
        <v>0</v>
      </c>
      <c r="BQ95">
        <v>2</v>
      </c>
      <c r="BR95">
        <v>0</v>
      </c>
      <c r="BS95">
        <v>6.08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224</v>
      </c>
      <c r="BZ95">
        <v>120</v>
      </c>
      <c r="CA95">
        <v>65</v>
      </c>
      <c r="CF95">
        <v>0</v>
      </c>
      <c r="CG95">
        <v>0</v>
      </c>
      <c r="CM95">
        <v>0</v>
      </c>
      <c r="CN95" t="s">
        <v>123</v>
      </c>
      <c r="CO95">
        <v>0</v>
      </c>
      <c r="CP95">
        <f t="shared" si="125"/>
        <v>671.49</v>
      </c>
      <c r="CQ95">
        <f t="shared" si="126"/>
        <v>1108.5664000000002</v>
      </c>
      <c r="CR95">
        <f t="shared" si="127"/>
        <v>185.97199999999998</v>
      </c>
      <c r="CS95">
        <f t="shared" si="128"/>
        <v>28.5</v>
      </c>
      <c r="CT95">
        <f t="shared" si="129"/>
        <v>943.78016000000002</v>
      </c>
      <c r="CU95">
        <f t="shared" si="130"/>
        <v>0</v>
      </c>
      <c r="CV95">
        <f t="shared" si="131"/>
        <v>16.513999999999999</v>
      </c>
      <c r="CW95">
        <f t="shared" si="132"/>
        <v>0.36249999999999999</v>
      </c>
      <c r="CX95">
        <f t="shared" si="133"/>
        <v>0</v>
      </c>
      <c r="CY95">
        <f t="shared" si="134"/>
        <v>315.01440000000002</v>
      </c>
      <c r="CZ95">
        <f t="shared" si="135"/>
        <v>160.42400000000001</v>
      </c>
      <c r="DC95" t="s">
        <v>224</v>
      </c>
      <c r="DD95" t="s">
        <v>224</v>
      </c>
      <c r="DE95" t="s">
        <v>239</v>
      </c>
      <c r="DF95" t="s">
        <v>239</v>
      </c>
      <c r="DG95" t="s">
        <v>240</v>
      </c>
      <c r="DH95" t="s">
        <v>224</v>
      </c>
      <c r="DI95" t="s">
        <v>240</v>
      </c>
      <c r="DJ95" t="s">
        <v>239</v>
      </c>
      <c r="DK95" t="s">
        <v>224</v>
      </c>
      <c r="DL95" t="s">
        <v>224</v>
      </c>
      <c r="DM95" t="s">
        <v>224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237</v>
      </c>
      <c r="DW95" t="s">
        <v>237</v>
      </c>
      <c r="DX95">
        <v>100</v>
      </c>
      <c r="EE95">
        <v>15139102</v>
      </c>
      <c r="EF95">
        <v>2</v>
      </c>
      <c r="EG95" t="s">
        <v>233</v>
      </c>
      <c r="EH95">
        <v>0</v>
      </c>
      <c r="EI95" t="s">
        <v>224</v>
      </c>
      <c r="EJ95">
        <v>1</v>
      </c>
      <c r="EK95">
        <v>12001</v>
      </c>
      <c r="EL95" t="s">
        <v>386</v>
      </c>
      <c r="EM95" t="s">
        <v>387</v>
      </c>
      <c r="EO95" t="s">
        <v>243</v>
      </c>
      <c r="EQ95">
        <v>0</v>
      </c>
      <c r="ER95">
        <v>341.78</v>
      </c>
      <c r="ES95">
        <v>182.33</v>
      </c>
      <c r="ET95">
        <v>24.47</v>
      </c>
      <c r="EU95">
        <v>3.75</v>
      </c>
      <c r="EV95">
        <v>134.97999999999999</v>
      </c>
      <c r="EW95">
        <v>14.36</v>
      </c>
      <c r="EX95">
        <v>0.28999999999999998</v>
      </c>
      <c r="EY95">
        <v>0</v>
      </c>
      <c r="FQ95">
        <v>0</v>
      </c>
      <c r="FR95">
        <f t="shared" si="136"/>
        <v>0</v>
      </c>
      <c r="FS95">
        <v>0</v>
      </c>
      <c r="FT95" t="s">
        <v>244</v>
      </c>
      <c r="FU95" t="s">
        <v>245</v>
      </c>
      <c r="FX95">
        <v>108</v>
      </c>
      <c r="FY95">
        <v>55.25</v>
      </c>
      <c r="GA95" t="s">
        <v>224</v>
      </c>
      <c r="GD95">
        <v>0</v>
      </c>
      <c r="GF95">
        <v>-2034083964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7"/>
        <v>0</v>
      </c>
      <c r="GM95">
        <f t="shared" si="138"/>
        <v>1146.92</v>
      </c>
      <c r="GN95">
        <f t="shared" si="139"/>
        <v>1146.92</v>
      </c>
      <c r="GO95">
        <f t="shared" si="140"/>
        <v>0</v>
      </c>
      <c r="GP95">
        <f t="shared" si="141"/>
        <v>0</v>
      </c>
      <c r="GR95">
        <v>0</v>
      </c>
      <c r="GS95">
        <v>3</v>
      </c>
      <c r="GT95">
        <v>0</v>
      </c>
      <c r="GU95" t="s">
        <v>224</v>
      </c>
      <c r="GV95">
        <f t="shared" si="142"/>
        <v>0</v>
      </c>
      <c r="GW95">
        <v>1</v>
      </c>
      <c r="GX95">
        <f t="shared" si="143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295</v>
      </c>
      <c r="D96" s="2"/>
      <c r="E96" s="2" t="s">
        <v>400</v>
      </c>
      <c r="F96" s="2" t="s">
        <v>401</v>
      </c>
      <c r="G96" s="2" t="s">
        <v>402</v>
      </c>
      <c r="H96" s="2" t="s">
        <v>277</v>
      </c>
      <c r="I96" s="2">
        <f>I94*J96</f>
        <v>34.200000000000003</v>
      </c>
      <c r="J96" s="2">
        <v>114.00000000000001</v>
      </c>
      <c r="K96" s="2"/>
      <c r="L96" s="2"/>
      <c r="M96" s="2"/>
      <c r="N96" s="2"/>
      <c r="O96" s="2">
        <f t="shared" si="111"/>
        <v>467.51</v>
      </c>
      <c r="P96" s="2">
        <f t="shared" si="112"/>
        <v>467.51</v>
      </c>
      <c r="Q96" s="2">
        <f t="shared" si="113"/>
        <v>0</v>
      </c>
      <c r="R96" s="2">
        <f t="shared" si="114"/>
        <v>0</v>
      </c>
      <c r="S96" s="2">
        <f t="shared" si="115"/>
        <v>0</v>
      </c>
      <c r="T96" s="2">
        <f t="shared" si="116"/>
        <v>0</v>
      </c>
      <c r="U96" s="2">
        <f t="shared" si="117"/>
        <v>0</v>
      </c>
      <c r="V96" s="2">
        <f t="shared" si="118"/>
        <v>0</v>
      </c>
      <c r="W96" s="2">
        <f t="shared" si="119"/>
        <v>0</v>
      </c>
      <c r="X96" s="2">
        <f t="shared" si="120"/>
        <v>0</v>
      </c>
      <c r="Y96" s="2">
        <f t="shared" si="121"/>
        <v>0</v>
      </c>
      <c r="Z96" s="2"/>
      <c r="AA96" s="2">
        <v>16499835</v>
      </c>
      <c r="AB96" s="2">
        <f t="shared" si="122"/>
        <v>13.67</v>
      </c>
      <c r="AC96" s="2">
        <f t="shared" si="108"/>
        <v>13.67</v>
      </c>
      <c r="AD96" s="2">
        <f>ROUND((((ET96)-(EU96))+AE96),6)</f>
        <v>0</v>
      </c>
      <c r="AE96" s="2">
        <f t="shared" ref="AE96:AF99" si="144">ROUND((EU96),6)</f>
        <v>0</v>
      </c>
      <c r="AF96" s="2">
        <f t="shared" si="144"/>
        <v>0</v>
      </c>
      <c r="AG96" s="2">
        <f t="shared" si="123"/>
        <v>0</v>
      </c>
      <c r="AH96" s="2">
        <f t="shared" ref="AH96:AI99" si="145">(EW96)</f>
        <v>0</v>
      </c>
      <c r="AI96" s="2">
        <f t="shared" si="145"/>
        <v>0</v>
      </c>
      <c r="AJ96" s="2">
        <f t="shared" si="124"/>
        <v>0</v>
      </c>
      <c r="AK96" s="2">
        <v>13.67</v>
      </c>
      <c r="AL96" s="2">
        <v>13.67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108</v>
      </c>
      <c r="AU96" s="2">
        <v>55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224</v>
      </c>
      <c r="BE96" s="2" t="s">
        <v>224</v>
      </c>
      <c r="BF96" s="2" t="s">
        <v>224</v>
      </c>
      <c r="BG96" s="2" t="s">
        <v>224</v>
      </c>
      <c r="BH96" s="2">
        <v>3</v>
      </c>
      <c r="BI96" s="2">
        <v>1</v>
      </c>
      <c r="BJ96" s="2" t="s">
        <v>403</v>
      </c>
      <c r="BK96" s="2"/>
      <c r="BL96" s="2"/>
      <c r="BM96" s="2">
        <v>12001</v>
      </c>
      <c r="BN96" s="2">
        <v>0</v>
      </c>
      <c r="BO96" s="2" t="s">
        <v>224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224</v>
      </c>
      <c r="BZ96" s="2">
        <v>120</v>
      </c>
      <c r="CA96" s="2">
        <v>65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224</v>
      </c>
      <c r="CO96" s="2">
        <v>0</v>
      </c>
      <c r="CP96" s="2">
        <f t="shared" si="125"/>
        <v>467.51</v>
      </c>
      <c r="CQ96" s="2">
        <f t="shared" si="126"/>
        <v>13.67</v>
      </c>
      <c r="CR96" s="2">
        <f t="shared" si="127"/>
        <v>0</v>
      </c>
      <c r="CS96" s="2">
        <f t="shared" si="128"/>
        <v>0</v>
      </c>
      <c r="CT96" s="2">
        <f t="shared" si="129"/>
        <v>0</v>
      </c>
      <c r="CU96" s="2">
        <f t="shared" si="130"/>
        <v>0</v>
      </c>
      <c r="CV96" s="2">
        <f t="shared" si="131"/>
        <v>0</v>
      </c>
      <c r="CW96" s="2">
        <f t="shared" si="132"/>
        <v>0</v>
      </c>
      <c r="CX96" s="2">
        <f t="shared" si="133"/>
        <v>0</v>
      </c>
      <c r="CY96" s="2">
        <f t="shared" si="134"/>
        <v>0</v>
      </c>
      <c r="CZ96" s="2">
        <f t="shared" si="135"/>
        <v>0</v>
      </c>
      <c r="DA96" s="2"/>
      <c r="DB96" s="2"/>
      <c r="DC96" s="2" t="s">
        <v>224</v>
      </c>
      <c r="DD96" s="2" t="s">
        <v>224</v>
      </c>
      <c r="DE96" s="2" t="s">
        <v>224</v>
      </c>
      <c r="DF96" s="2" t="s">
        <v>224</v>
      </c>
      <c r="DG96" s="2" t="s">
        <v>224</v>
      </c>
      <c r="DH96" s="2" t="s">
        <v>224</v>
      </c>
      <c r="DI96" s="2" t="s">
        <v>224</v>
      </c>
      <c r="DJ96" s="2" t="s">
        <v>224</v>
      </c>
      <c r="DK96" s="2" t="s">
        <v>224</v>
      </c>
      <c r="DL96" s="2" t="s">
        <v>224</v>
      </c>
      <c r="DM96" s="2" t="s">
        <v>224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277</v>
      </c>
      <c r="DW96" s="2" t="s">
        <v>277</v>
      </c>
      <c r="DX96" s="2">
        <v>1</v>
      </c>
      <c r="DY96" s="2"/>
      <c r="DZ96" s="2"/>
      <c r="EA96" s="2"/>
      <c r="EB96" s="2"/>
      <c r="EC96" s="2"/>
      <c r="ED96" s="2"/>
      <c r="EE96" s="2">
        <v>15139102</v>
      </c>
      <c r="EF96" s="2">
        <v>2</v>
      </c>
      <c r="EG96" s="2" t="s">
        <v>233</v>
      </c>
      <c r="EH96" s="2">
        <v>0</v>
      </c>
      <c r="EI96" s="2" t="s">
        <v>224</v>
      </c>
      <c r="EJ96" s="2">
        <v>1</v>
      </c>
      <c r="EK96" s="2">
        <v>12001</v>
      </c>
      <c r="EL96" s="2" t="s">
        <v>386</v>
      </c>
      <c r="EM96" s="2" t="s">
        <v>387</v>
      </c>
      <c r="EN96" s="2"/>
      <c r="EO96" s="2" t="s">
        <v>224</v>
      </c>
      <c r="EP96" s="2"/>
      <c r="EQ96" s="2">
        <v>0</v>
      </c>
      <c r="ER96" s="2">
        <v>13.67</v>
      </c>
      <c r="ES96" s="2">
        <v>13.67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6"/>
        <v>0</v>
      </c>
      <c r="FS96" s="2">
        <v>0</v>
      </c>
      <c r="FT96" s="2" t="s">
        <v>244</v>
      </c>
      <c r="FU96" s="2" t="s">
        <v>245</v>
      </c>
      <c r="FV96" s="2"/>
      <c r="FW96" s="2"/>
      <c r="FX96" s="2">
        <v>108</v>
      </c>
      <c r="FY96" s="2">
        <v>55.25</v>
      </c>
      <c r="FZ96" s="2"/>
      <c r="GA96" s="2" t="s">
        <v>224</v>
      </c>
      <c r="GB96" s="2"/>
      <c r="GC96" s="2"/>
      <c r="GD96" s="2">
        <v>0</v>
      </c>
      <c r="GE96" s="2"/>
      <c r="GF96" s="2">
        <v>1827405917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7"/>
        <v>0</v>
      </c>
      <c r="GM96" s="2">
        <f t="shared" si="138"/>
        <v>467.51</v>
      </c>
      <c r="GN96" s="2">
        <f t="shared" si="139"/>
        <v>467.51</v>
      </c>
      <c r="GO96" s="2">
        <f t="shared" si="140"/>
        <v>0</v>
      </c>
      <c r="GP96" s="2">
        <f t="shared" si="141"/>
        <v>0</v>
      </c>
      <c r="GQ96" s="2"/>
      <c r="GR96" s="2">
        <v>0</v>
      </c>
      <c r="GS96" s="2">
        <v>3</v>
      </c>
      <c r="GT96" s="2">
        <v>0</v>
      </c>
      <c r="GU96" s="2" t="s">
        <v>224</v>
      </c>
      <c r="GV96" s="2">
        <f t="shared" si="142"/>
        <v>0</v>
      </c>
      <c r="GW96" s="2">
        <v>1</v>
      </c>
      <c r="GX96" s="2">
        <f t="shared" si="143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303</v>
      </c>
      <c r="E97" t="s">
        <v>400</v>
      </c>
      <c r="F97" t="s">
        <v>401</v>
      </c>
      <c r="G97" t="s">
        <v>402</v>
      </c>
      <c r="H97" t="s">
        <v>277</v>
      </c>
      <c r="I97">
        <f>I95*J97</f>
        <v>34.200000000000003</v>
      </c>
      <c r="J97">
        <v>114.00000000000001</v>
      </c>
      <c r="O97">
        <f t="shared" si="111"/>
        <v>2842.49</v>
      </c>
      <c r="P97">
        <f t="shared" si="112"/>
        <v>2842.49</v>
      </c>
      <c r="Q97">
        <f t="shared" si="113"/>
        <v>0</v>
      </c>
      <c r="R97">
        <f t="shared" si="114"/>
        <v>0</v>
      </c>
      <c r="S97">
        <f t="shared" si="115"/>
        <v>0</v>
      </c>
      <c r="T97">
        <f t="shared" si="116"/>
        <v>0</v>
      </c>
      <c r="U97">
        <f t="shared" si="117"/>
        <v>0</v>
      </c>
      <c r="V97">
        <f t="shared" si="118"/>
        <v>0</v>
      </c>
      <c r="W97">
        <f t="shared" si="119"/>
        <v>0</v>
      </c>
      <c r="X97">
        <f t="shared" si="120"/>
        <v>0</v>
      </c>
      <c r="Y97">
        <f t="shared" si="121"/>
        <v>0</v>
      </c>
      <c r="AA97">
        <v>16499878</v>
      </c>
      <c r="AB97">
        <f t="shared" si="122"/>
        <v>13.67</v>
      </c>
      <c r="AC97">
        <f t="shared" si="108"/>
        <v>13.67</v>
      </c>
      <c r="AD97">
        <f>ROUND((((ET97)-(EU97))+AE97),6)</f>
        <v>0</v>
      </c>
      <c r="AE97">
        <f t="shared" si="144"/>
        <v>0</v>
      </c>
      <c r="AF97">
        <f t="shared" si="144"/>
        <v>0</v>
      </c>
      <c r="AG97">
        <f t="shared" si="123"/>
        <v>0</v>
      </c>
      <c r="AH97">
        <f t="shared" si="145"/>
        <v>0</v>
      </c>
      <c r="AI97">
        <f t="shared" si="145"/>
        <v>0</v>
      </c>
      <c r="AJ97">
        <f t="shared" si="124"/>
        <v>0</v>
      </c>
      <c r="AK97">
        <v>13.67</v>
      </c>
      <c r="AL97">
        <v>13.67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108</v>
      </c>
      <c r="AU97">
        <v>55</v>
      </c>
      <c r="AV97">
        <v>1</v>
      </c>
      <c r="AW97">
        <v>1</v>
      </c>
      <c r="AZ97">
        <v>6.08</v>
      </c>
      <c r="BA97">
        <v>1</v>
      </c>
      <c r="BB97">
        <v>1</v>
      </c>
      <c r="BC97">
        <v>6.08</v>
      </c>
      <c r="BD97" t="s">
        <v>224</v>
      </c>
      <c r="BE97" t="s">
        <v>224</v>
      </c>
      <c r="BF97" t="s">
        <v>224</v>
      </c>
      <c r="BG97" t="s">
        <v>224</v>
      </c>
      <c r="BH97">
        <v>3</v>
      </c>
      <c r="BI97">
        <v>1</v>
      </c>
      <c r="BJ97" t="s">
        <v>403</v>
      </c>
      <c r="BM97">
        <v>12001</v>
      </c>
      <c r="BN97">
        <v>0</v>
      </c>
      <c r="BO97" t="s">
        <v>224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224</v>
      </c>
      <c r="BZ97">
        <v>120</v>
      </c>
      <c r="CA97">
        <v>65</v>
      </c>
      <c r="CF97">
        <v>0</v>
      </c>
      <c r="CG97">
        <v>0</v>
      </c>
      <c r="CM97">
        <v>0</v>
      </c>
      <c r="CN97" t="s">
        <v>224</v>
      </c>
      <c r="CO97">
        <v>0</v>
      </c>
      <c r="CP97">
        <f t="shared" si="125"/>
        <v>2842.49</v>
      </c>
      <c r="CQ97">
        <f t="shared" si="126"/>
        <v>83.113600000000005</v>
      </c>
      <c r="CR97">
        <f t="shared" si="127"/>
        <v>0</v>
      </c>
      <c r="CS97">
        <f t="shared" si="128"/>
        <v>0</v>
      </c>
      <c r="CT97">
        <f t="shared" si="129"/>
        <v>0</v>
      </c>
      <c r="CU97">
        <f t="shared" si="130"/>
        <v>0</v>
      </c>
      <c r="CV97">
        <f t="shared" si="131"/>
        <v>0</v>
      </c>
      <c r="CW97">
        <f t="shared" si="132"/>
        <v>0</v>
      </c>
      <c r="CX97">
        <f t="shared" si="133"/>
        <v>0</v>
      </c>
      <c r="CY97">
        <f t="shared" si="134"/>
        <v>0</v>
      </c>
      <c r="CZ97">
        <f t="shared" si="135"/>
        <v>0</v>
      </c>
      <c r="DC97" t="s">
        <v>224</v>
      </c>
      <c r="DD97" t="s">
        <v>224</v>
      </c>
      <c r="DE97" t="s">
        <v>224</v>
      </c>
      <c r="DF97" t="s">
        <v>224</v>
      </c>
      <c r="DG97" t="s">
        <v>224</v>
      </c>
      <c r="DH97" t="s">
        <v>224</v>
      </c>
      <c r="DI97" t="s">
        <v>224</v>
      </c>
      <c r="DJ97" t="s">
        <v>224</v>
      </c>
      <c r="DK97" t="s">
        <v>224</v>
      </c>
      <c r="DL97" t="s">
        <v>224</v>
      </c>
      <c r="DM97" t="s">
        <v>224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277</v>
      </c>
      <c r="DW97" t="s">
        <v>277</v>
      </c>
      <c r="DX97">
        <v>1</v>
      </c>
      <c r="EE97">
        <v>15139102</v>
      </c>
      <c r="EF97">
        <v>2</v>
      </c>
      <c r="EG97" t="s">
        <v>233</v>
      </c>
      <c r="EH97">
        <v>0</v>
      </c>
      <c r="EI97" t="s">
        <v>224</v>
      </c>
      <c r="EJ97">
        <v>1</v>
      </c>
      <c r="EK97">
        <v>12001</v>
      </c>
      <c r="EL97" t="s">
        <v>386</v>
      </c>
      <c r="EM97" t="s">
        <v>387</v>
      </c>
      <c r="EO97" t="s">
        <v>224</v>
      </c>
      <c r="EQ97">
        <v>0</v>
      </c>
      <c r="ER97">
        <v>13.67</v>
      </c>
      <c r="ES97">
        <v>13.67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6"/>
        <v>0</v>
      </c>
      <c r="FS97">
        <v>0</v>
      </c>
      <c r="FT97" t="s">
        <v>244</v>
      </c>
      <c r="FU97" t="s">
        <v>245</v>
      </c>
      <c r="FX97">
        <v>108</v>
      </c>
      <c r="FY97">
        <v>55.25</v>
      </c>
      <c r="GA97" t="s">
        <v>224</v>
      </c>
      <c r="GD97">
        <v>0</v>
      </c>
      <c r="GF97">
        <v>1827405917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7"/>
        <v>0</v>
      </c>
      <c r="GM97">
        <f t="shared" si="138"/>
        <v>2842.49</v>
      </c>
      <c r="GN97">
        <f t="shared" si="139"/>
        <v>2842.49</v>
      </c>
      <c r="GO97">
        <f t="shared" si="140"/>
        <v>0</v>
      </c>
      <c r="GP97">
        <f t="shared" si="141"/>
        <v>0</v>
      </c>
      <c r="GR97">
        <v>0</v>
      </c>
      <c r="GS97">
        <v>3</v>
      </c>
      <c r="GT97">
        <v>0</v>
      </c>
      <c r="GU97" t="s">
        <v>224</v>
      </c>
      <c r="GV97">
        <f t="shared" si="142"/>
        <v>0</v>
      </c>
      <c r="GW97">
        <v>1</v>
      </c>
      <c r="GX97">
        <f t="shared" si="143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296</v>
      </c>
      <c r="D98" s="2"/>
      <c r="E98" s="2" t="s">
        <v>404</v>
      </c>
      <c r="F98" s="2" t="s">
        <v>405</v>
      </c>
      <c r="G98" s="2" t="s">
        <v>406</v>
      </c>
      <c r="H98" s="2" t="s">
        <v>277</v>
      </c>
      <c r="I98" s="2">
        <f>I94*J98</f>
        <v>34.799999999999997</v>
      </c>
      <c r="J98" s="2">
        <v>116</v>
      </c>
      <c r="K98" s="2"/>
      <c r="L98" s="2"/>
      <c r="M98" s="2"/>
      <c r="N98" s="2"/>
      <c r="O98" s="2">
        <f t="shared" si="111"/>
        <v>564.46</v>
      </c>
      <c r="P98" s="2">
        <f t="shared" si="112"/>
        <v>564.46</v>
      </c>
      <c r="Q98" s="2">
        <f t="shared" si="113"/>
        <v>0</v>
      </c>
      <c r="R98" s="2">
        <f t="shared" si="114"/>
        <v>0</v>
      </c>
      <c r="S98" s="2">
        <f t="shared" si="115"/>
        <v>0</v>
      </c>
      <c r="T98" s="2">
        <f t="shared" si="116"/>
        <v>0</v>
      </c>
      <c r="U98" s="2">
        <f t="shared" si="117"/>
        <v>0</v>
      </c>
      <c r="V98" s="2">
        <f t="shared" si="118"/>
        <v>0</v>
      </c>
      <c r="W98" s="2">
        <f t="shared" si="119"/>
        <v>0</v>
      </c>
      <c r="X98" s="2">
        <f t="shared" si="120"/>
        <v>0</v>
      </c>
      <c r="Y98" s="2">
        <f t="shared" si="121"/>
        <v>0</v>
      </c>
      <c r="Z98" s="2"/>
      <c r="AA98" s="2">
        <v>16499835</v>
      </c>
      <c r="AB98" s="2">
        <f t="shared" si="122"/>
        <v>16.22</v>
      </c>
      <c r="AC98" s="2">
        <f t="shared" si="108"/>
        <v>16.22</v>
      </c>
      <c r="AD98" s="2">
        <f>ROUND((((ET98)-(EU98))+AE98),6)</f>
        <v>0</v>
      </c>
      <c r="AE98" s="2">
        <f t="shared" si="144"/>
        <v>0</v>
      </c>
      <c r="AF98" s="2">
        <f t="shared" si="144"/>
        <v>0</v>
      </c>
      <c r="AG98" s="2">
        <f t="shared" si="123"/>
        <v>0</v>
      </c>
      <c r="AH98" s="2">
        <f t="shared" si="145"/>
        <v>0</v>
      </c>
      <c r="AI98" s="2">
        <f t="shared" si="145"/>
        <v>0</v>
      </c>
      <c r="AJ98" s="2">
        <f t="shared" si="124"/>
        <v>0</v>
      </c>
      <c r="AK98" s="2">
        <v>16.22</v>
      </c>
      <c r="AL98" s="2">
        <v>16.22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108</v>
      </c>
      <c r="AU98" s="2">
        <v>55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224</v>
      </c>
      <c r="BE98" s="2" t="s">
        <v>224</v>
      </c>
      <c r="BF98" s="2" t="s">
        <v>224</v>
      </c>
      <c r="BG98" s="2" t="s">
        <v>224</v>
      </c>
      <c r="BH98" s="2">
        <v>3</v>
      </c>
      <c r="BI98" s="2">
        <v>1</v>
      </c>
      <c r="BJ98" s="2" t="s">
        <v>407</v>
      </c>
      <c r="BK98" s="2"/>
      <c r="BL98" s="2"/>
      <c r="BM98" s="2">
        <v>12001</v>
      </c>
      <c r="BN98" s="2">
        <v>0</v>
      </c>
      <c r="BO98" s="2" t="s">
        <v>224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224</v>
      </c>
      <c r="BZ98" s="2">
        <v>120</v>
      </c>
      <c r="CA98" s="2">
        <v>65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224</v>
      </c>
      <c r="CO98" s="2">
        <v>0</v>
      </c>
      <c r="CP98" s="2">
        <f t="shared" si="125"/>
        <v>564.46</v>
      </c>
      <c r="CQ98" s="2">
        <f t="shared" si="126"/>
        <v>16.22</v>
      </c>
      <c r="CR98" s="2">
        <f t="shared" si="127"/>
        <v>0</v>
      </c>
      <c r="CS98" s="2">
        <f t="shared" si="128"/>
        <v>0</v>
      </c>
      <c r="CT98" s="2">
        <f t="shared" si="129"/>
        <v>0</v>
      </c>
      <c r="CU98" s="2">
        <f t="shared" si="130"/>
        <v>0</v>
      </c>
      <c r="CV98" s="2">
        <f t="shared" si="131"/>
        <v>0</v>
      </c>
      <c r="CW98" s="2">
        <f t="shared" si="132"/>
        <v>0</v>
      </c>
      <c r="CX98" s="2">
        <f t="shared" si="133"/>
        <v>0</v>
      </c>
      <c r="CY98" s="2">
        <f t="shared" si="134"/>
        <v>0</v>
      </c>
      <c r="CZ98" s="2">
        <f t="shared" si="135"/>
        <v>0</v>
      </c>
      <c r="DA98" s="2"/>
      <c r="DB98" s="2"/>
      <c r="DC98" s="2" t="s">
        <v>224</v>
      </c>
      <c r="DD98" s="2" t="s">
        <v>224</v>
      </c>
      <c r="DE98" s="2" t="s">
        <v>224</v>
      </c>
      <c r="DF98" s="2" t="s">
        <v>224</v>
      </c>
      <c r="DG98" s="2" t="s">
        <v>224</v>
      </c>
      <c r="DH98" s="2" t="s">
        <v>224</v>
      </c>
      <c r="DI98" s="2" t="s">
        <v>224</v>
      </c>
      <c r="DJ98" s="2" t="s">
        <v>224</v>
      </c>
      <c r="DK98" s="2" t="s">
        <v>224</v>
      </c>
      <c r="DL98" s="2" t="s">
        <v>224</v>
      </c>
      <c r="DM98" s="2" t="s">
        <v>224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277</v>
      </c>
      <c r="DW98" s="2" t="s">
        <v>277</v>
      </c>
      <c r="DX98" s="2">
        <v>1</v>
      </c>
      <c r="DY98" s="2"/>
      <c r="DZ98" s="2"/>
      <c r="EA98" s="2"/>
      <c r="EB98" s="2"/>
      <c r="EC98" s="2"/>
      <c r="ED98" s="2"/>
      <c r="EE98" s="2">
        <v>15139102</v>
      </c>
      <c r="EF98" s="2">
        <v>2</v>
      </c>
      <c r="EG98" s="2" t="s">
        <v>233</v>
      </c>
      <c r="EH98" s="2">
        <v>0</v>
      </c>
      <c r="EI98" s="2" t="s">
        <v>224</v>
      </c>
      <c r="EJ98" s="2">
        <v>1</v>
      </c>
      <c r="EK98" s="2">
        <v>12001</v>
      </c>
      <c r="EL98" s="2" t="s">
        <v>386</v>
      </c>
      <c r="EM98" s="2" t="s">
        <v>387</v>
      </c>
      <c r="EN98" s="2"/>
      <c r="EO98" s="2" t="s">
        <v>224</v>
      </c>
      <c r="EP98" s="2"/>
      <c r="EQ98" s="2">
        <v>0</v>
      </c>
      <c r="ER98" s="2">
        <v>16.22</v>
      </c>
      <c r="ES98" s="2">
        <v>16.22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6"/>
        <v>0</v>
      </c>
      <c r="FS98" s="2">
        <v>0</v>
      </c>
      <c r="FT98" s="2" t="s">
        <v>244</v>
      </c>
      <c r="FU98" s="2" t="s">
        <v>245</v>
      </c>
      <c r="FV98" s="2"/>
      <c r="FW98" s="2"/>
      <c r="FX98" s="2">
        <v>108</v>
      </c>
      <c r="FY98" s="2">
        <v>55.25</v>
      </c>
      <c r="FZ98" s="2"/>
      <c r="GA98" s="2" t="s">
        <v>224</v>
      </c>
      <c r="GB98" s="2"/>
      <c r="GC98" s="2"/>
      <c r="GD98" s="2">
        <v>0</v>
      </c>
      <c r="GE98" s="2"/>
      <c r="GF98" s="2">
        <v>-719230251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7"/>
        <v>0</v>
      </c>
      <c r="GM98" s="2">
        <f t="shared" si="138"/>
        <v>564.46</v>
      </c>
      <c r="GN98" s="2">
        <f t="shared" si="139"/>
        <v>564.46</v>
      </c>
      <c r="GO98" s="2">
        <f t="shared" si="140"/>
        <v>0</v>
      </c>
      <c r="GP98" s="2">
        <f t="shared" si="141"/>
        <v>0</v>
      </c>
      <c r="GQ98" s="2"/>
      <c r="GR98" s="2">
        <v>0</v>
      </c>
      <c r="GS98" s="2">
        <v>3</v>
      </c>
      <c r="GT98" s="2">
        <v>0</v>
      </c>
      <c r="GU98" s="2" t="s">
        <v>224</v>
      </c>
      <c r="GV98" s="2">
        <f t="shared" si="142"/>
        <v>0</v>
      </c>
      <c r="GW98" s="2">
        <v>1</v>
      </c>
      <c r="GX98" s="2">
        <f t="shared" si="143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304</v>
      </c>
      <c r="E99" t="s">
        <v>404</v>
      </c>
      <c r="F99" t="s">
        <v>405</v>
      </c>
      <c r="G99" t="s">
        <v>406</v>
      </c>
      <c r="H99" t="s">
        <v>277</v>
      </c>
      <c r="I99">
        <f>I95*J99</f>
        <v>34.799999999999997</v>
      </c>
      <c r="J99">
        <v>116</v>
      </c>
      <c r="O99">
        <f t="shared" si="111"/>
        <v>3431.89</v>
      </c>
      <c r="P99">
        <f t="shared" si="112"/>
        <v>3431.89</v>
      </c>
      <c r="Q99">
        <f t="shared" si="113"/>
        <v>0</v>
      </c>
      <c r="R99">
        <f t="shared" si="114"/>
        <v>0</v>
      </c>
      <c r="S99">
        <f t="shared" si="115"/>
        <v>0</v>
      </c>
      <c r="T99">
        <f t="shared" si="116"/>
        <v>0</v>
      </c>
      <c r="U99">
        <f t="shared" si="117"/>
        <v>0</v>
      </c>
      <c r="V99">
        <f t="shared" si="118"/>
        <v>0</v>
      </c>
      <c r="W99">
        <f t="shared" si="119"/>
        <v>0</v>
      </c>
      <c r="X99">
        <f t="shared" si="120"/>
        <v>0</v>
      </c>
      <c r="Y99">
        <f t="shared" si="121"/>
        <v>0</v>
      </c>
      <c r="AA99">
        <v>16499878</v>
      </c>
      <c r="AB99">
        <f t="shared" si="122"/>
        <v>16.22</v>
      </c>
      <c r="AC99">
        <f t="shared" si="108"/>
        <v>16.22</v>
      </c>
      <c r="AD99">
        <f>ROUND((((ET99)-(EU99))+AE99),6)</f>
        <v>0</v>
      </c>
      <c r="AE99">
        <f t="shared" si="144"/>
        <v>0</v>
      </c>
      <c r="AF99">
        <f t="shared" si="144"/>
        <v>0</v>
      </c>
      <c r="AG99">
        <f t="shared" si="123"/>
        <v>0</v>
      </c>
      <c r="AH99">
        <f t="shared" si="145"/>
        <v>0</v>
      </c>
      <c r="AI99">
        <f t="shared" si="145"/>
        <v>0</v>
      </c>
      <c r="AJ99">
        <f t="shared" si="124"/>
        <v>0</v>
      </c>
      <c r="AK99">
        <v>16.22</v>
      </c>
      <c r="AL99">
        <v>16.22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108</v>
      </c>
      <c r="AU99">
        <v>55</v>
      </c>
      <c r="AV99">
        <v>1</v>
      </c>
      <c r="AW99">
        <v>1</v>
      </c>
      <c r="AZ99">
        <v>6.08</v>
      </c>
      <c r="BA99">
        <v>1</v>
      </c>
      <c r="BB99">
        <v>1</v>
      </c>
      <c r="BC99">
        <v>6.08</v>
      </c>
      <c r="BD99" t="s">
        <v>224</v>
      </c>
      <c r="BE99" t="s">
        <v>224</v>
      </c>
      <c r="BF99" t="s">
        <v>224</v>
      </c>
      <c r="BG99" t="s">
        <v>224</v>
      </c>
      <c r="BH99">
        <v>3</v>
      </c>
      <c r="BI99">
        <v>1</v>
      </c>
      <c r="BJ99" t="s">
        <v>407</v>
      </c>
      <c r="BM99">
        <v>12001</v>
      </c>
      <c r="BN99">
        <v>0</v>
      </c>
      <c r="BO99" t="s">
        <v>224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224</v>
      </c>
      <c r="BZ99">
        <v>120</v>
      </c>
      <c r="CA99">
        <v>65</v>
      </c>
      <c r="CF99">
        <v>0</v>
      </c>
      <c r="CG99">
        <v>0</v>
      </c>
      <c r="CM99">
        <v>0</v>
      </c>
      <c r="CN99" t="s">
        <v>224</v>
      </c>
      <c r="CO99">
        <v>0</v>
      </c>
      <c r="CP99">
        <f t="shared" si="125"/>
        <v>3431.89</v>
      </c>
      <c r="CQ99">
        <f t="shared" si="126"/>
        <v>98.617599999999996</v>
      </c>
      <c r="CR99">
        <f t="shared" si="127"/>
        <v>0</v>
      </c>
      <c r="CS99">
        <f t="shared" si="128"/>
        <v>0</v>
      </c>
      <c r="CT99">
        <f t="shared" si="129"/>
        <v>0</v>
      </c>
      <c r="CU99">
        <f t="shared" si="130"/>
        <v>0</v>
      </c>
      <c r="CV99">
        <f t="shared" si="131"/>
        <v>0</v>
      </c>
      <c r="CW99">
        <f t="shared" si="132"/>
        <v>0</v>
      </c>
      <c r="CX99">
        <f t="shared" si="133"/>
        <v>0</v>
      </c>
      <c r="CY99">
        <f t="shared" si="134"/>
        <v>0</v>
      </c>
      <c r="CZ99">
        <f t="shared" si="135"/>
        <v>0</v>
      </c>
      <c r="DC99" t="s">
        <v>224</v>
      </c>
      <c r="DD99" t="s">
        <v>224</v>
      </c>
      <c r="DE99" t="s">
        <v>224</v>
      </c>
      <c r="DF99" t="s">
        <v>224</v>
      </c>
      <c r="DG99" t="s">
        <v>224</v>
      </c>
      <c r="DH99" t="s">
        <v>224</v>
      </c>
      <c r="DI99" t="s">
        <v>224</v>
      </c>
      <c r="DJ99" t="s">
        <v>224</v>
      </c>
      <c r="DK99" t="s">
        <v>224</v>
      </c>
      <c r="DL99" t="s">
        <v>224</v>
      </c>
      <c r="DM99" t="s">
        <v>224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277</v>
      </c>
      <c r="DW99" t="s">
        <v>277</v>
      </c>
      <c r="DX99">
        <v>1</v>
      </c>
      <c r="EE99">
        <v>15139102</v>
      </c>
      <c r="EF99">
        <v>2</v>
      </c>
      <c r="EG99" t="s">
        <v>233</v>
      </c>
      <c r="EH99">
        <v>0</v>
      </c>
      <c r="EI99" t="s">
        <v>224</v>
      </c>
      <c r="EJ99">
        <v>1</v>
      </c>
      <c r="EK99">
        <v>12001</v>
      </c>
      <c r="EL99" t="s">
        <v>386</v>
      </c>
      <c r="EM99" t="s">
        <v>387</v>
      </c>
      <c r="EO99" t="s">
        <v>224</v>
      </c>
      <c r="EQ99">
        <v>0</v>
      </c>
      <c r="ER99">
        <v>16.22</v>
      </c>
      <c r="ES99">
        <v>16.22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6"/>
        <v>0</v>
      </c>
      <c r="FS99">
        <v>0</v>
      </c>
      <c r="FT99" t="s">
        <v>244</v>
      </c>
      <c r="FU99" t="s">
        <v>245</v>
      </c>
      <c r="FX99">
        <v>108</v>
      </c>
      <c r="FY99">
        <v>55.25</v>
      </c>
      <c r="GA99" t="s">
        <v>224</v>
      </c>
      <c r="GD99">
        <v>0</v>
      </c>
      <c r="GF99">
        <v>-719230251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7"/>
        <v>0</v>
      </c>
      <c r="GM99">
        <f t="shared" si="138"/>
        <v>3431.89</v>
      </c>
      <c r="GN99">
        <f t="shared" si="139"/>
        <v>3431.89</v>
      </c>
      <c r="GO99">
        <f t="shared" si="140"/>
        <v>0</v>
      </c>
      <c r="GP99">
        <f t="shared" si="141"/>
        <v>0</v>
      </c>
      <c r="GR99">
        <v>0</v>
      </c>
      <c r="GS99">
        <v>3</v>
      </c>
      <c r="GT99">
        <v>0</v>
      </c>
      <c r="GU99" t="s">
        <v>224</v>
      </c>
      <c r="GV99">
        <f t="shared" si="142"/>
        <v>0</v>
      </c>
      <c r="GW99">
        <v>1</v>
      </c>
      <c r="GX99">
        <f t="shared" si="143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ROW(SmtRes!A328)</f>
        <v>328</v>
      </c>
      <c r="D100" s="2">
        <f>ROW(EtalonRes!A351)</f>
        <v>351</v>
      </c>
      <c r="E100" s="2" t="s">
        <v>408</v>
      </c>
      <c r="F100" s="2" t="s">
        <v>286</v>
      </c>
      <c r="G100" s="2" t="s">
        <v>409</v>
      </c>
      <c r="H100" s="2" t="s">
        <v>288</v>
      </c>
      <c r="I100" s="2">
        <v>0.1</v>
      </c>
      <c r="J100" s="2">
        <v>0</v>
      </c>
      <c r="K100" s="2"/>
      <c r="L100" s="2"/>
      <c r="M100" s="2"/>
      <c r="N100" s="2"/>
      <c r="O100" s="2">
        <f t="shared" si="111"/>
        <v>407.12</v>
      </c>
      <c r="P100" s="2">
        <f t="shared" si="112"/>
        <v>49.02</v>
      </c>
      <c r="Q100" s="2">
        <f t="shared" si="113"/>
        <v>304.45</v>
      </c>
      <c r="R100" s="2">
        <f t="shared" si="114"/>
        <v>15.48</v>
      </c>
      <c r="S100" s="2">
        <f t="shared" si="115"/>
        <v>53.65</v>
      </c>
      <c r="T100" s="2">
        <f t="shared" si="116"/>
        <v>0</v>
      </c>
      <c r="U100" s="2">
        <f t="shared" si="117"/>
        <v>5.3325499999999995</v>
      </c>
      <c r="V100" s="2">
        <f t="shared" si="118"/>
        <v>1.1087499999999999</v>
      </c>
      <c r="W100" s="2">
        <f t="shared" si="119"/>
        <v>0</v>
      </c>
      <c r="X100" s="2">
        <f t="shared" si="120"/>
        <v>56</v>
      </c>
      <c r="Y100" s="2">
        <f t="shared" si="121"/>
        <v>49.77</v>
      </c>
      <c r="Z100" s="2"/>
      <c r="AA100" s="2">
        <v>16499835</v>
      </c>
      <c r="AB100" s="2">
        <f t="shared" si="122"/>
        <v>4071.1469999999999</v>
      </c>
      <c r="AC100" s="2">
        <f t="shared" si="108"/>
        <v>490.22</v>
      </c>
      <c r="AD100" s="2">
        <f>ROUND(((((ET100*1.25))-((EU100*1.25)))+AE100),6)</f>
        <v>3044.4749999999999</v>
      </c>
      <c r="AE100" s="2">
        <f>ROUND(((EU100*1.25)),6)</f>
        <v>154.8125</v>
      </c>
      <c r="AF100" s="2">
        <f>ROUND(((EV100*1.15)),6)</f>
        <v>536.452</v>
      </c>
      <c r="AG100" s="2">
        <f t="shared" si="123"/>
        <v>0</v>
      </c>
      <c r="AH100" s="2">
        <f>((EW100*1.15))</f>
        <v>53.325499999999991</v>
      </c>
      <c r="AI100" s="2">
        <f>((EX100*1.25))</f>
        <v>11.087499999999999</v>
      </c>
      <c r="AJ100" s="2">
        <f t="shared" si="124"/>
        <v>0</v>
      </c>
      <c r="AK100" s="2">
        <v>3392.28</v>
      </c>
      <c r="AL100" s="2">
        <v>490.22</v>
      </c>
      <c r="AM100" s="2">
        <v>2435.58</v>
      </c>
      <c r="AN100" s="2">
        <v>123.85</v>
      </c>
      <c r="AO100" s="2">
        <v>466.48</v>
      </c>
      <c r="AP100" s="2">
        <v>0</v>
      </c>
      <c r="AQ100" s="2">
        <v>46.37</v>
      </c>
      <c r="AR100" s="2">
        <v>8.8699999999999992</v>
      </c>
      <c r="AS100" s="2">
        <v>0</v>
      </c>
      <c r="AT100" s="2">
        <v>81</v>
      </c>
      <c r="AU100" s="2">
        <v>72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224</v>
      </c>
      <c r="BE100" s="2" t="s">
        <v>224</v>
      </c>
      <c r="BF100" s="2" t="s">
        <v>224</v>
      </c>
      <c r="BG100" s="2" t="s">
        <v>224</v>
      </c>
      <c r="BH100" s="2">
        <v>0</v>
      </c>
      <c r="BI100" s="2">
        <v>1</v>
      </c>
      <c r="BJ100" s="2" t="s">
        <v>289</v>
      </c>
      <c r="BK100" s="2"/>
      <c r="BL100" s="2"/>
      <c r="BM100" s="2">
        <v>9001</v>
      </c>
      <c r="BN100" s="2">
        <v>0</v>
      </c>
      <c r="BO100" s="2" t="s">
        <v>224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224</v>
      </c>
      <c r="BZ100" s="2">
        <v>90</v>
      </c>
      <c r="CA100" s="2">
        <v>85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123</v>
      </c>
      <c r="CO100" s="2">
        <v>0</v>
      </c>
      <c r="CP100" s="2">
        <f t="shared" si="125"/>
        <v>407.11999999999995</v>
      </c>
      <c r="CQ100" s="2">
        <f t="shared" si="126"/>
        <v>490.22</v>
      </c>
      <c r="CR100" s="2">
        <f t="shared" si="127"/>
        <v>3044.4749999999999</v>
      </c>
      <c r="CS100" s="2">
        <f t="shared" si="128"/>
        <v>154.8125</v>
      </c>
      <c r="CT100" s="2">
        <f t="shared" si="129"/>
        <v>536.452</v>
      </c>
      <c r="CU100" s="2">
        <f t="shared" si="130"/>
        <v>0</v>
      </c>
      <c r="CV100" s="2">
        <f t="shared" si="131"/>
        <v>53.325499999999991</v>
      </c>
      <c r="CW100" s="2">
        <f t="shared" si="132"/>
        <v>11.087499999999999</v>
      </c>
      <c r="CX100" s="2">
        <f t="shared" si="133"/>
        <v>0</v>
      </c>
      <c r="CY100" s="2">
        <f t="shared" si="134"/>
        <v>55.9953</v>
      </c>
      <c r="CZ100" s="2">
        <f t="shared" si="135"/>
        <v>49.773599999999995</v>
      </c>
      <c r="DA100" s="2"/>
      <c r="DB100" s="2"/>
      <c r="DC100" s="2" t="s">
        <v>224</v>
      </c>
      <c r="DD100" s="2" t="s">
        <v>224</v>
      </c>
      <c r="DE100" s="2" t="s">
        <v>239</v>
      </c>
      <c r="DF100" s="2" t="s">
        <v>239</v>
      </c>
      <c r="DG100" s="2" t="s">
        <v>240</v>
      </c>
      <c r="DH100" s="2" t="s">
        <v>224</v>
      </c>
      <c r="DI100" s="2" t="s">
        <v>240</v>
      </c>
      <c r="DJ100" s="2" t="s">
        <v>239</v>
      </c>
      <c r="DK100" s="2" t="s">
        <v>224</v>
      </c>
      <c r="DL100" s="2" t="s">
        <v>224</v>
      </c>
      <c r="DM100" s="2" t="s">
        <v>224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288</v>
      </c>
      <c r="DW100" s="2" t="s">
        <v>288</v>
      </c>
      <c r="DX100" s="2">
        <v>1000</v>
      </c>
      <c r="DY100" s="2"/>
      <c r="DZ100" s="2"/>
      <c r="EA100" s="2"/>
      <c r="EB100" s="2"/>
      <c r="EC100" s="2"/>
      <c r="ED100" s="2"/>
      <c r="EE100" s="2">
        <v>15139099</v>
      </c>
      <c r="EF100" s="2">
        <v>2</v>
      </c>
      <c r="EG100" s="2" t="s">
        <v>233</v>
      </c>
      <c r="EH100" s="2">
        <v>0</v>
      </c>
      <c r="EI100" s="2" t="s">
        <v>224</v>
      </c>
      <c r="EJ100" s="2">
        <v>1</v>
      </c>
      <c r="EK100" s="2">
        <v>9001</v>
      </c>
      <c r="EL100" s="2" t="s">
        <v>282</v>
      </c>
      <c r="EM100" s="2" t="s">
        <v>283</v>
      </c>
      <c r="EN100" s="2"/>
      <c r="EO100" s="2" t="s">
        <v>243</v>
      </c>
      <c r="EP100" s="2"/>
      <c r="EQ100" s="2">
        <v>0</v>
      </c>
      <c r="ER100" s="2">
        <v>3392.28</v>
      </c>
      <c r="ES100" s="2">
        <v>490.22</v>
      </c>
      <c r="ET100" s="2">
        <v>2435.58</v>
      </c>
      <c r="EU100" s="2">
        <v>123.85</v>
      </c>
      <c r="EV100" s="2">
        <v>466.48</v>
      </c>
      <c r="EW100" s="2">
        <v>46.37</v>
      </c>
      <c r="EX100" s="2">
        <v>8.8699999999999992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6"/>
        <v>0</v>
      </c>
      <c r="FS100" s="2">
        <v>0</v>
      </c>
      <c r="FT100" s="2" t="s">
        <v>244</v>
      </c>
      <c r="FU100" s="2" t="s">
        <v>245</v>
      </c>
      <c r="FV100" s="2"/>
      <c r="FW100" s="2"/>
      <c r="FX100" s="2">
        <v>81</v>
      </c>
      <c r="FY100" s="2">
        <v>72.25</v>
      </c>
      <c r="FZ100" s="2"/>
      <c r="GA100" s="2" t="s">
        <v>224</v>
      </c>
      <c r="GB100" s="2"/>
      <c r="GC100" s="2"/>
      <c r="GD100" s="2">
        <v>0</v>
      </c>
      <c r="GE100" s="2"/>
      <c r="GF100" s="2">
        <v>716927272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7"/>
        <v>0</v>
      </c>
      <c r="GM100" s="2">
        <f t="shared" si="138"/>
        <v>512.89</v>
      </c>
      <c r="GN100" s="2">
        <f t="shared" si="139"/>
        <v>512.89</v>
      </c>
      <c r="GO100" s="2">
        <f t="shared" si="140"/>
        <v>0</v>
      </c>
      <c r="GP100" s="2">
        <f t="shared" si="141"/>
        <v>0</v>
      </c>
      <c r="GQ100" s="2"/>
      <c r="GR100" s="2">
        <v>0</v>
      </c>
      <c r="GS100" s="2">
        <v>3</v>
      </c>
      <c r="GT100" s="2">
        <v>0</v>
      </c>
      <c r="GU100" s="2" t="s">
        <v>224</v>
      </c>
      <c r="GV100" s="2">
        <f t="shared" si="142"/>
        <v>0</v>
      </c>
      <c r="GW100" s="2">
        <v>1</v>
      </c>
      <c r="GX100" s="2">
        <f t="shared" si="143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ROW(SmtRes!A352)</f>
        <v>352</v>
      </c>
      <c r="D101">
        <f>ROW(EtalonRes!A376)</f>
        <v>376</v>
      </c>
      <c r="E101" t="s">
        <v>408</v>
      </c>
      <c r="F101" t="s">
        <v>286</v>
      </c>
      <c r="G101" t="s">
        <v>409</v>
      </c>
      <c r="H101" t="s">
        <v>288</v>
      </c>
      <c r="I101">
        <v>0.1</v>
      </c>
      <c r="J101">
        <v>0</v>
      </c>
      <c r="O101">
        <f t="shared" si="111"/>
        <v>2475.25</v>
      </c>
      <c r="P101">
        <f t="shared" si="112"/>
        <v>298.05</v>
      </c>
      <c r="Q101">
        <f t="shared" si="113"/>
        <v>1851.04</v>
      </c>
      <c r="R101">
        <f t="shared" si="114"/>
        <v>94.13</v>
      </c>
      <c r="S101">
        <f t="shared" si="115"/>
        <v>326.16000000000003</v>
      </c>
      <c r="T101">
        <f t="shared" si="116"/>
        <v>0</v>
      </c>
      <c r="U101">
        <f t="shared" si="117"/>
        <v>5.3325499999999995</v>
      </c>
      <c r="V101">
        <f t="shared" si="118"/>
        <v>1.1087499999999999</v>
      </c>
      <c r="W101">
        <f t="shared" si="119"/>
        <v>0</v>
      </c>
      <c r="X101">
        <f t="shared" si="120"/>
        <v>340.43</v>
      </c>
      <c r="Y101">
        <f t="shared" si="121"/>
        <v>302.61</v>
      </c>
      <c r="AA101">
        <v>16499878</v>
      </c>
      <c r="AB101">
        <f t="shared" si="122"/>
        <v>4071.1469999999999</v>
      </c>
      <c r="AC101">
        <f t="shared" si="108"/>
        <v>490.22</v>
      </c>
      <c r="AD101">
        <f>ROUND(((((ET101*1.25))-((EU101*1.25)))+AE101),6)</f>
        <v>3044.4749999999999</v>
      </c>
      <c r="AE101">
        <f>ROUND(((EU101*1.25)),6)</f>
        <v>154.8125</v>
      </c>
      <c r="AF101">
        <f>ROUND(((EV101*1.15)),6)</f>
        <v>536.452</v>
      </c>
      <c r="AG101">
        <f t="shared" si="123"/>
        <v>0</v>
      </c>
      <c r="AH101">
        <f>((EW101*1.15))</f>
        <v>53.325499999999991</v>
      </c>
      <c r="AI101">
        <f>((EX101*1.25))</f>
        <v>11.087499999999999</v>
      </c>
      <c r="AJ101">
        <f t="shared" si="124"/>
        <v>0</v>
      </c>
      <c r="AK101">
        <v>3392.28</v>
      </c>
      <c r="AL101">
        <v>490.22</v>
      </c>
      <c r="AM101">
        <v>2435.58</v>
      </c>
      <c r="AN101">
        <v>123.85</v>
      </c>
      <c r="AO101">
        <v>466.48</v>
      </c>
      <c r="AP101">
        <v>0</v>
      </c>
      <c r="AQ101">
        <v>46.37</v>
      </c>
      <c r="AR101">
        <v>8.8699999999999992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6.08</v>
      </c>
      <c r="BA101">
        <v>6.08</v>
      </c>
      <c r="BB101">
        <v>6.08</v>
      </c>
      <c r="BC101">
        <v>6.08</v>
      </c>
      <c r="BD101" t="s">
        <v>224</v>
      </c>
      <c r="BE101" t="s">
        <v>224</v>
      </c>
      <c r="BF101" t="s">
        <v>224</v>
      </c>
      <c r="BG101" t="s">
        <v>224</v>
      </c>
      <c r="BH101">
        <v>0</v>
      </c>
      <c r="BI101">
        <v>1</v>
      </c>
      <c r="BJ101" t="s">
        <v>289</v>
      </c>
      <c r="BM101">
        <v>9001</v>
      </c>
      <c r="BN101">
        <v>0</v>
      </c>
      <c r="BO101" t="s">
        <v>224</v>
      </c>
      <c r="BP101">
        <v>0</v>
      </c>
      <c r="BQ101">
        <v>2</v>
      </c>
      <c r="BR101">
        <v>0</v>
      </c>
      <c r="BS101">
        <v>6.08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224</v>
      </c>
      <c r="BZ101">
        <v>90</v>
      </c>
      <c r="CA101">
        <v>85</v>
      </c>
      <c r="CF101">
        <v>0</v>
      </c>
      <c r="CG101">
        <v>0</v>
      </c>
      <c r="CM101">
        <v>0</v>
      </c>
      <c r="CN101" t="s">
        <v>123</v>
      </c>
      <c r="CO101">
        <v>0</v>
      </c>
      <c r="CP101">
        <f t="shared" si="125"/>
        <v>2475.25</v>
      </c>
      <c r="CQ101">
        <f t="shared" si="126"/>
        <v>2980.5376000000001</v>
      </c>
      <c r="CR101">
        <f t="shared" si="127"/>
        <v>18510.407999999999</v>
      </c>
      <c r="CS101">
        <f t="shared" si="128"/>
        <v>941.26</v>
      </c>
      <c r="CT101">
        <f t="shared" si="129"/>
        <v>3261.6281600000002</v>
      </c>
      <c r="CU101">
        <f t="shared" si="130"/>
        <v>0</v>
      </c>
      <c r="CV101">
        <f t="shared" si="131"/>
        <v>53.325499999999991</v>
      </c>
      <c r="CW101">
        <f t="shared" si="132"/>
        <v>11.087499999999999</v>
      </c>
      <c r="CX101">
        <f t="shared" si="133"/>
        <v>0</v>
      </c>
      <c r="CY101">
        <f t="shared" si="134"/>
        <v>340.43490000000003</v>
      </c>
      <c r="CZ101">
        <f t="shared" si="135"/>
        <v>302.60880000000003</v>
      </c>
      <c r="DC101" t="s">
        <v>224</v>
      </c>
      <c r="DD101" t="s">
        <v>224</v>
      </c>
      <c r="DE101" t="s">
        <v>239</v>
      </c>
      <c r="DF101" t="s">
        <v>239</v>
      </c>
      <c r="DG101" t="s">
        <v>240</v>
      </c>
      <c r="DH101" t="s">
        <v>224</v>
      </c>
      <c r="DI101" t="s">
        <v>240</v>
      </c>
      <c r="DJ101" t="s">
        <v>239</v>
      </c>
      <c r="DK101" t="s">
        <v>224</v>
      </c>
      <c r="DL101" t="s">
        <v>224</v>
      </c>
      <c r="DM101" t="s">
        <v>224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288</v>
      </c>
      <c r="DW101" t="s">
        <v>288</v>
      </c>
      <c r="DX101">
        <v>1000</v>
      </c>
      <c r="EE101">
        <v>15139099</v>
      </c>
      <c r="EF101">
        <v>2</v>
      </c>
      <c r="EG101" t="s">
        <v>233</v>
      </c>
      <c r="EH101">
        <v>0</v>
      </c>
      <c r="EI101" t="s">
        <v>224</v>
      </c>
      <c r="EJ101">
        <v>1</v>
      </c>
      <c r="EK101">
        <v>9001</v>
      </c>
      <c r="EL101" t="s">
        <v>282</v>
      </c>
      <c r="EM101" t="s">
        <v>283</v>
      </c>
      <c r="EO101" t="s">
        <v>243</v>
      </c>
      <c r="EQ101">
        <v>0</v>
      </c>
      <c r="ER101">
        <v>3392.28</v>
      </c>
      <c r="ES101">
        <v>490.22</v>
      </c>
      <c r="ET101">
        <v>2435.58</v>
      </c>
      <c r="EU101">
        <v>123.85</v>
      </c>
      <c r="EV101">
        <v>466.48</v>
      </c>
      <c r="EW101">
        <v>46.37</v>
      </c>
      <c r="EX101">
        <v>8.8699999999999992</v>
      </c>
      <c r="EY101">
        <v>0</v>
      </c>
      <c r="FQ101">
        <v>0</v>
      </c>
      <c r="FR101">
        <f t="shared" si="136"/>
        <v>0</v>
      </c>
      <c r="FS101">
        <v>0</v>
      </c>
      <c r="FT101" t="s">
        <v>244</v>
      </c>
      <c r="FU101" t="s">
        <v>245</v>
      </c>
      <c r="FX101">
        <v>81</v>
      </c>
      <c r="FY101">
        <v>72.25</v>
      </c>
      <c r="GA101" t="s">
        <v>224</v>
      </c>
      <c r="GD101">
        <v>0</v>
      </c>
      <c r="GF101">
        <v>716927272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7"/>
        <v>0</v>
      </c>
      <c r="GM101">
        <f t="shared" si="138"/>
        <v>3118.29</v>
      </c>
      <c r="GN101">
        <f t="shared" si="139"/>
        <v>3118.29</v>
      </c>
      <c r="GO101">
        <f t="shared" si="140"/>
        <v>0</v>
      </c>
      <c r="GP101">
        <f t="shared" si="141"/>
        <v>0</v>
      </c>
      <c r="GR101">
        <v>0</v>
      </c>
      <c r="GS101">
        <v>3</v>
      </c>
      <c r="GT101">
        <v>0</v>
      </c>
      <c r="GU101" t="s">
        <v>224</v>
      </c>
      <c r="GV101">
        <f t="shared" si="142"/>
        <v>0</v>
      </c>
      <c r="GW101">
        <v>1</v>
      </c>
      <c r="GX101">
        <f t="shared" si="143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322</v>
      </c>
      <c r="D102" s="2"/>
      <c r="E102" s="2" t="s">
        <v>410</v>
      </c>
      <c r="F102" s="2" t="s">
        <v>411</v>
      </c>
      <c r="G102" s="2" t="s">
        <v>412</v>
      </c>
      <c r="H102" s="2" t="s">
        <v>413</v>
      </c>
      <c r="I102" s="2">
        <f>I100*J102</f>
        <v>1</v>
      </c>
      <c r="J102" s="2">
        <v>10</v>
      </c>
      <c r="K102" s="2"/>
      <c r="L102" s="2"/>
      <c r="M102" s="2"/>
      <c r="N102" s="2"/>
      <c r="O102" s="2">
        <f t="shared" si="111"/>
        <v>11688.87</v>
      </c>
      <c r="P102" s="2">
        <f t="shared" si="112"/>
        <v>11688.87</v>
      </c>
      <c r="Q102" s="2">
        <f t="shared" si="113"/>
        <v>0</v>
      </c>
      <c r="R102" s="2">
        <f t="shared" si="114"/>
        <v>0</v>
      </c>
      <c r="S102" s="2">
        <f t="shared" si="115"/>
        <v>0</v>
      </c>
      <c r="T102" s="2">
        <f t="shared" si="116"/>
        <v>0</v>
      </c>
      <c r="U102" s="2">
        <f t="shared" si="117"/>
        <v>0</v>
      </c>
      <c r="V102" s="2">
        <f t="shared" si="118"/>
        <v>0</v>
      </c>
      <c r="W102" s="2">
        <f t="shared" si="119"/>
        <v>0</v>
      </c>
      <c r="X102" s="2">
        <f t="shared" si="120"/>
        <v>0</v>
      </c>
      <c r="Y102" s="2">
        <f t="shared" si="121"/>
        <v>0</v>
      </c>
      <c r="Z102" s="2"/>
      <c r="AA102" s="2">
        <v>16499835</v>
      </c>
      <c r="AB102" s="2">
        <f t="shared" si="122"/>
        <v>11688.87</v>
      </c>
      <c r="AC102" s="2">
        <f t="shared" si="108"/>
        <v>11688.87</v>
      </c>
      <c r="AD102" s="2">
        <f>ROUND((((ET102)-(EU102))+AE102),6)</f>
        <v>0</v>
      </c>
      <c r="AE102" s="2">
        <f>ROUND((EU102),6)</f>
        <v>0</v>
      </c>
      <c r="AF102" s="2">
        <f>ROUND((EV102),6)</f>
        <v>0</v>
      </c>
      <c r="AG102" s="2">
        <f t="shared" si="123"/>
        <v>0</v>
      </c>
      <c r="AH102" s="2">
        <f>(EW102)</f>
        <v>0</v>
      </c>
      <c r="AI102" s="2">
        <f>(EX102)</f>
        <v>0</v>
      </c>
      <c r="AJ102" s="2">
        <f t="shared" si="124"/>
        <v>0</v>
      </c>
      <c r="AK102" s="2">
        <v>11688.87</v>
      </c>
      <c r="AL102" s="2">
        <v>11688.87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81</v>
      </c>
      <c r="AU102" s="2">
        <v>72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224</v>
      </c>
      <c r="BE102" s="2" t="s">
        <v>224</v>
      </c>
      <c r="BF102" s="2" t="s">
        <v>224</v>
      </c>
      <c r="BG102" s="2" t="s">
        <v>224</v>
      </c>
      <c r="BH102" s="2">
        <v>3</v>
      </c>
      <c r="BI102" s="2">
        <v>1</v>
      </c>
      <c r="BJ102" s="2" t="s">
        <v>414</v>
      </c>
      <c r="BK102" s="2"/>
      <c r="BL102" s="2"/>
      <c r="BM102" s="2">
        <v>9001</v>
      </c>
      <c r="BN102" s="2">
        <v>0</v>
      </c>
      <c r="BO102" s="2" t="s">
        <v>224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224</v>
      </c>
      <c r="BZ102" s="2">
        <v>90</v>
      </c>
      <c r="CA102" s="2">
        <v>85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224</v>
      </c>
      <c r="CO102" s="2">
        <v>0</v>
      </c>
      <c r="CP102" s="2">
        <f t="shared" si="125"/>
        <v>11688.87</v>
      </c>
      <c r="CQ102" s="2">
        <f t="shared" si="126"/>
        <v>11688.87</v>
      </c>
      <c r="CR102" s="2">
        <f t="shared" si="127"/>
        <v>0</v>
      </c>
      <c r="CS102" s="2">
        <f t="shared" si="128"/>
        <v>0</v>
      </c>
      <c r="CT102" s="2">
        <f t="shared" si="129"/>
        <v>0</v>
      </c>
      <c r="CU102" s="2">
        <f t="shared" si="130"/>
        <v>0</v>
      </c>
      <c r="CV102" s="2">
        <f t="shared" si="131"/>
        <v>0</v>
      </c>
      <c r="CW102" s="2">
        <f t="shared" si="132"/>
        <v>0</v>
      </c>
      <c r="CX102" s="2">
        <f t="shared" si="133"/>
        <v>0</v>
      </c>
      <c r="CY102" s="2">
        <f t="shared" si="134"/>
        <v>0</v>
      </c>
      <c r="CZ102" s="2">
        <f t="shared" si="135"/>
        <v>0</v>
      </c>
      <c r="DA102" s="2"/>
      <c r="DB102" s="2"/>
      <c r="DC102" s="2" t="s">
        <v>224</v>
      </c>
      <c r="DD102" s="2" t="s">
        <v>224</v>
      </c>
      <c r="DE102" s="2" t="s">
        <v>224</v>
      </c>
      <c r="DF102" s="2" t="s">
        <v>224</v>
      </c>
      <c r="DG102" s="2" t="s">
        <v>224</v>
      </c>
      <c r="DH102" s="2" t="s">
        <v>224</v>
      </c>
      <c r="DI102" s="2" t="s">
        <v>224</v>
      </c>
      <c r="DJ102" s="2" t="s">
        <v>224</v>
      </c>
      <c r="DK102" s="2" t="s">
        <v>224</v>
      </c>
      <c r="DL102" s="2" t="s">
        <v>224</v>
      </c>
      <c r="DM102" s="2" t="s">
        <v>224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1010</v>
      </c>
      <c r="DV102" s="2" t="s">
        <v>413</v>
      </c>
      <c r="DW102" s="2" t="s">
        <v>413</v>
      </c>
      <c r="DX102" s="2">
        <v>1</v>
      </c>
      <c r="DY102" s="2"/>
      <c r="DZ102" s="2"/>
      <c r="EA102" s="2"/>
      <c r="EB102" s="2"/>
      <c r="EC102" s="2"/>
      <c r="ED102" s="2"/>
      <c r="EE102" s="2">
        <v>15139099</v>
      </c>
      <c r="EF102" s="2">
        <v>2</v>
      </c>
      <c r="EG102" s="2" t="s">
        <v>233</v>
      </c>
      <c r="EH102" s="2">
        <v>0</v>
      </c>
      <c r="EI102" s="2" t="s">
        <v>224</v>
      </c>
      <c r="EJ102" s="2">
        <v>1</v>
      </c>
      <c r="EK102" s="2">
        <v>9001</v>
      </c>
      <c r="EL102" s="2" t="s">
        <v>282</v>
      </c>
      <c r="EM102" s="2" t="s">
        <v>283</v>
      </c>
      <c r="EN102" s="2"/>
      <c r="EO102" s="2" t="s">
        <v>224</v>
      </c>
      <c r="EP102" s="2"/>
      <c r="EQ102" s="2">
        <v>0</v>
      </c>
      <c r="ER102" s="2">
        <v>11688.87</v>
      </c>
      <c r="ES102" s="2">
        <v>11688.87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6"/>
        <v>0</v>
      </c>
      <c r="FS102" s="2">
        <v>0</v>
      </c>
      <c r="FT102" s="2" t="s">
        <v>244</v>
      </c>
      <c r="FU102" s="2" t="s">
        <v>245</v>
      </c>
      <c r="FV102" s="2"/>
      <c r="FW102" s="2"/>
      <c r="FX102" s="2">
        <v>81</v>
      </c>
      <c r="FY102" s="2">
        <v>72.25</v>
      </c>
      <c r="FZ102" s="2"/>
      <c r="GA102" s="2" t="s">
        <v>224</v>
      </c>
      <c r="GB102" s="2"/>
      <c r="GC102" s="2"/>
      <c r="GD102" s="2">
        <v>0</v>
      </c>
      <c r="GE102" s="2"/>
      <c r="GF102" s="2">
        <v>-691972994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7"/>
        <v>0</v>
      </c>
      <c r="GM102" s="2">
        <f t="shared" si="138"/>
        <v>11688.87</v>
      </c>
      <c r="GN102" s="2">
        <f t="shared" si="139"/>
        <v>11688.87</v>
      </c>
      <c r="GO102" s="2">
        <f t="shared" si="140"/>
        <v>0</v>
      </c>
      <c r="GP102" s="2">
        <f t="shared" si="141"/>
        <v>0</v>
      </c>
      <c r="GQ102" s="2"/>
      <c r="GR102" s="2">
        <v>0</v>
      </c>
      <c r="GS102" s="2">
        <v>3</v>
      </c>
      <c r="GT102" s="2">
        <v>0</v>
      </c>
      <c r="GU102" s="2" t="s">
        <v>224</v>
      </c>
      <c r="GV102" s="2">
        <f t="shared" si="142"/>
        <v>0</v>
      </c>
      <c r="GW102" s="2">
        <v>1</v>
      </c>
      <c r="GX102" s="2">
        <f t="shared" si="143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346</v>
      </c>
      <c r="E103" t="s">
        <v>410</v>
      </c>
      <c r="F103" t="s">
        <v>411</v>
      </c>
      <c r="G103" t="s">
        <v>412</v>
      </c>
      <c r="H103" t="s">
        <v>413</v>
      </c>
      <c r="I103">
        <f>I101*J103</f>
        <v>1</v>
      </c>
      <c r="J103">
        <v>10</v>
      </c>
      <c r="O103">
        <f t="shared" si="111"/>
        <v>71068.33</v>
      </c>
      <c r="P103">
        <f t="shared" si="112"/>
        <v>71068.33</v>
      </c>
      <c r="Q103">
        <f t="shared" si="113"/>
        <v>0</v>
      </c>
      <c r="R103">
        <f t="shared" si="114"/>
        <v>0</v>
      </c>
      <c r="S103">
        <f t="shared" si="115"/>
        <v>0</v>
      </c>
      <c r="T103">
        <f t="shared" si="116"/>
        <v>0</v>
      </c>
      <c r="U103">
        <f t="shared" si="117"/>
        <v>0</v>
      </c>
      <c r="V103">
        <f t="shared" si="118"/>
        <v>0</v>
      </c>
      <c r="W103">
        <f t="shared" si="119"/>
        <v>0</v>
      </c>
      <c r="X103">
        <f t="shared" si="120"/>
        <v>0</v>
      </c>
      <c r="Y103">
        <f t="shared" si="121"/>
        <v>0</v>
      </c>
      <c r="AA103">
        <v>16499878</v>
      </c>
      <c r="AB103">
        <f t="shared" si="122"/>
        <v>11688.87</v>
      </c>
      <c r="AC103">
        <f t="shared" si="108"/>
        <v>11688.87</v>
      </c>
      <c r="AD103">
        <f>ROUND((((ET103)-(EU103))+AE103),6)</f>
        <v>0</v>
      </c>
      <c r="AE103">
        <f>ROUND((EU103),6)</f>
        <v>0</v>
      </c>
      <c r="AF103">
        <f>ROUND((EV103),6)</f>
        <v>0</v>
      </c>
      <c r="AG103">
        <f t="shared" si="123"/>
        <v>0</v>
      </c>
      <c r="AH103">
        <f>(EW103)</f>
        <v>0</v>
      </c>
      <c r="AI103">
        <f>(EX103)</f>
        <v>0</v>
      </c>
      <c r="AJ103">
        <f t="shared" si="124"/>
        <v>0</v>
      </c>
      <c r="AK103">
        <v>11688.87</v>
      </c>
      <c r="AL103">
        <v>11688.87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6.08</v>
      </c>
      <c r="BA103">
        <v>1</v>
      </c>
      <c r="BB103">
        <v>1</v>
      </c>
      <c r="BC103">
        <v>6.08</v>
      </c>
      <c r="BD103" t="s">
        <v>224</v>
      </c>
      <c r="BE103" t="s">
        <v>224</v>
      </c>
      <c r="BF103" t="s">
        <v>224</v>
      </c>
      <c r="BG103" t="s">
        <v>224</v>
      </c>
      <c r="BH103">
        <v>3</v>
      </c>
      <c r="BI103">
        <v>1</v>
      </c>
      <c r="BJ103" t="s">
        <v>414</v>
      </c>
      <c r="BM103">
        <v>9001</v>
      </c>
      <c r="BN103">
        <v>0</v>
      </c>
      <c r="BO103" t="s">
        <v>224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224</v>
      </c>
      <c r="BZ103">
        <v>90</v>
      </c>
      <c r="CA103">
        <v>85</v>
      </c>
      <c r="CF103">
        <v>0</v>
      </c>
      <c r="CG103">
        <v>0</v>
      </c>
      <c r="CM103">
        <v>0</v>
      </c>
      <c r="CN103" t="s">
        <v>224</v>
      </c>
      <c r="CO103">
        <v>0</v>
      </c>
      <c r="CP103">
        <f t="shared" si="125"/>
        <v>71068.33</v>
      </c>
      <c r="CQ103">
        <f t="shared" si="126"/>
        <v>71068.329600000012</v>
      </c>
      <c r="CR103">
        <f t="shared" si="127"/>
        <v>0</v>
      </c>
      <c r="CS103">
        <f t="shared" si="128"/>
        <v>0</v>
      </c>
      <c r="CT103">
        <f t="shared" si="129"/>
        <v>0</v>
      </c>
      <c r="CU103">
        <f t="shared" si="130"/>
        <v>0</v>
      </c>
      <c r="CV103">
        <f t="shared" si="131"/>
        <v>0</v>
      </c>
      <c r="CW103">
        <f t="shared" si="132"/>
        <v>0</v>
      </c>
      <c r="CX103">
        <f t="shared" si="133"/>
        <v>0</v>
      </c>
      <c r="CY103">
        <f t="shared" si="134"/>
        <v>0</v>
      </c>
      <c r="CZ103">
        <f t="shared" si="135"/>
        <v>0</v>
      </c>
      <c r="DC103" t="s">
        <v>224</v>
      </c>
      <c r="DD103" t="s">
        <v>224</v>
      </c>
      <c r="DE103" t="s">
        <v>224</v>
      </c>
      <c r="DF103" t="s">
        <v>224</v>
      </c>
      <c r="DG103" t="s">
        <v>224</v>
      </c>
      <c r="DH103" t="s">
        <v>224</v>
      </c>
      <c r="DI103" t="s">
        <v>224</v>
      </c>
      <c r="DJ103" t="s">
        <v>224</v>
      </c>
      <c r="DK103" t="s">
        <v>224</v>
      </c>
      <c r="DL103" t="s">
        <v>224</v>
      </c>
      <c r="DM103" t="s">
        <v>224</v>
      </c>
      <c r="DN103">
        <v>0</v>
      </c>
      <c r="DO103">
        <v>0</v>
      </c>
      <c r="DP103">
        <v>1</v>
      </c>
      <c r="DQ103">
        <v>1</v>
      </c>
      <c r="DU103">
        <v>1010</v>
      </c>
      <c r="DV103" t="s">
        <v>413</v>
      </c>
      <c r="DW103" t="s">
        <v>413</v>
      </c>
      <c r="DX103">
        <v>1</v>
      </c>
      <c r="EE103">
        <v>15139099</v>
      </c>
      <c r="EF103">
        <v>2</v>
      </c>
      <c r="EG103" t="s">
        <v>233</v>
      </c>
      <c r="EH103">
        <v>0</v>
      </c>
      <c r="EI103" t="s">
        <v>224</v>
      </c>
      <c r="EJ103">
        <v>1</v>
      </c>
      <c r="EK103">
        <v>9001</v>
      </c>
      <c r="EL103" t="s">
        <v>282</v>
      </c>
      <c r="EM103" t="s">
        <v>283</v>
      </c>
      <c r="EO103" t="s">
        <v>224</v>
      </c>
      <c r="EQ103">
        <v>0</v>
      </c>
      <c r="ER103">
        <v>11688.87</v>
      </c>
      <c r="ES103">
        <v>11688.87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6"/>
        <v>0</v>
      </c>
      <c r="FS103">
        <v>0</v>
      </c>
      <c r="FT103" t="s">
        <v>244</v>
      </c>
      <c r="FU103" t="s">
        <v>245</v>
      </c>
      <c r="FX103">
        <v>81</v>
      </c>
      <c r="FY103">
        <v>72.25</v>
      </c>
      <c r="GA103" t="s">
        <v>224</v>
      </c>
      <c r="GD103">
        <v>0</v>
      </c>
      <c r="GF103">
        <v>-691972994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7"/>
        <v>0</v>
      </c>
      <c r="GM103">
        <f t="shared" si="138"/>
        <v>71068.33</v>
      </c>
      <c r="GN103">
        <f t="shared" si="139"/>
        <v>71068.33</v>
      </c>
      <c r="GO103">
        <f t="shared" si="140"/>
        <v>0</v>
      </c>
      <c r="GP103">
        <f t="shared" si="141"/>
        <v>0</v>
      </c>
      <c r="GR103">
        <v>0</v>
      </c>
      <c r="GS103">
        <v>3</v>
      </c>
      <c r="GT103">
        <v>0</v>
      </c>
      <c r="GU103" t="s">
        <v>224</v>
      </c>
      <c r="GV103">
        <f t="shared" si="142"/>
        <v>0</v>
      </c>
      <c r="GW103">
        <v>1</v>
      </c>
      <c r="GX103">
        <f t="shared" si="143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ROW(SmtRes!A362)</f>
        <v>362</v>
      </c>
      <c r="D104" s="2">
        <f>ROW(EtalonRes!A385)</f>
        <v>385</v>
      </c>
      <c r="E104" s="2" t="s">
        <v>415</v>
      </c>
      <c r="F104" s="2" t="s">
        <v>275</v>
      </c>
      <c r="G104" s="2" t="s">
        <v>416</v>
      </c>
      <c r="H104" s="2" t="s">
        <v>277</v>
      </c>
      <c r="I104" s="2">
        <v>10.31</v>
      </c>
      <c r="J104" s="2">
        <v>0</v>
      </c>
      <c r="K104" s="2"/>
      <c r="L104" s="2"/>
      <c r="M104" s="2"/>
      <c r="N104" s="2"/>
      <c r="O104" s="2">
        <f t="shared" si="111"/>
        <v>733.18</v>
      </c>
      <c r="P104" s="2">
        <f t="shared" si="112"/>
        <v>265.17</v>
      </c>
      <c r="Q104" s="2">
        <f t="shared" si="113"/>
        <v>185.71</v>
      </c>
      <c r="R104" s="2">
        <f t="shared" si="114"/>
        <v>25.39</v>
      </c>
      <c r="S104" s="2">
        <f t="shared" si="115"/>
        <v>282.3</v>
      </c>
      <c r="T104" s="2">
        <f t="shared" si="116"/>
        <v>0</v>
      </c>
      <c r="U104" s="2">
        <f t="shared" si="117"/>
        <v>28.4556</v>
      </c>
      <c r="V104" s="2">
        <f t="shared" si="118"/>
        <v>2.1908750000000001</v>
      </c>
      <c r="W104" s="2">
        <f t="shared" si="119"/>
        <v>0</v>
      </c>
      <c r="X104" s="2">
        <f t="shared" si="120"/>
        <v>249.23</v>
      </c>
      <c r="Y104" s="2">
        <f t="shared" si="121"/>
        <v>221.54</v>
      </c>
      <c r="Z104" s="2"/>
      <c r="AA104" s="2">
        <v>16499835</v>
      </c>
      <c r="AB104" s="2">
        <f t="shared" si="122"/>
        <v>71.114000000000004</v>
      </c>
      <c r="AC104" s="2">
        <f t="shared" si="108"/>
        <v>25.72</v>
      </c>
      <c r="AD104" s="2">
        <f>ROUND(((((ET104*1.25))-((EU104*1.25)))+AE104),6)</f>
        <v>18.012499999999999</v>
      </c>
      <c r="AE104" s="2">
        <f>ROUND(((EU104*1.25)),6)</f>
        <v>2.4624999999999999</v>
      </c>
      <c r="AF104" s="2">
        <f>ROUND(((EV104*1.15)),6)</f>
        <v>27.381499999999999</v>
      </c>
      <c r="AG104" s="2">
        <f t="shared" si="123"/>
        <v>0</v>
      </c>
      <c r="AH104" s="2">
        <f>((EW104*1.15))</f>
        <v>2.76</v>
      </c>
      <c r="AI104" s="2">
        <f>((EX104*1.25))</f>
        <v>0.21250000000000002</v>
      </c>
      <c r="AJ104" s="2">
        <f t="shared" si="124"/>
        <v>0</v>
      </c>
      <c r="AK104" s="2">
        <v>63.94</v>
      </c>
      <c r="AL104" s="2">
        <v>25.72</v>
      </c>
      <c r="AM104" s="2">
        <v>14.41</v>
      </c>
      <c r="AN104" s="2">
        <v>1.97</v>
      </c>
      <c r="AO104" s="2">
        <v>23.81</v>
      </c>
      <c r="AP104" s="2">
        <v>0</v>
      </c>
      <c r="AQ104" s="2">
        <v>2.4</v>
      </c>
      <c r="AR104" s="2">
        <v>0.17</v>
      </c>
      <c r="AS104" s="2">
        <v>0</v>
      </c>
      <c r="AT104" s="2">
        <v>81</v>
      </c>
      <c r="AU104" s="2">
        <v>72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224</v>
      </c>
      <c r="BE104" s="2" t="s">
        <v>224</v>
      </c>
      <c r="BF104" s="2" t="s">
        <v>224</v>
      </c>
      <c r="BG104" s="2" t="s">
        <v>224</v>
      </c>
      <c r="BH104" s="2">
        <v>0</v>
      </c>
      <c r="BI104" s="2">
        <v>1</v>
      </c>
      <c r="BJ104" s="2" t="s">
        <v>278</v>
      </c>
      <c r="BK104" s="2"/>
      <c r="BL104" s="2"/>
      <c r="BM104" s="2">
        <v>9001</v>
      </c>
      <c r="BN104" s="2">
        <v>0</v>
      </c>
      <c r="BO104" s="2" t="s">
        <v>224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224</v>
      </c>
      <c r="BZ104" s="2">
        <v>90</v>
      </c>
      <c r="CA104" s="2">
        <v>85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124</v>
      </c>
      <c r="CO104" s="2">
        <v>0</v>
      </c>
      <c r="CP104" s="2">
        <f t="shared" si="125"/>
        <v>733.18000000000006</v>
      </c>
      <c r="CQ104" s="2">
        <f t="shared" si="126"/>
        <v>25.72</v>
      </c>
      <c r="CR104" s="2">
        <f t="shared" si="127"/>
        <v>18.012499999999999</v>
      </c>
      <c r="CS104" s="2">
        <f t="shared" si="128"/>
        <v>2.4624999999999999</v>
      </c>
      <c r="CT104" s="2">
        <f t="shared" si="129"/>
        <v>27.381499999999999</v>
      </c>
      <c r="CU104" s="2">
        <f t="shared" si="130"/>
        <v>0</v>
      </c>
      <c r="CV104" s="2">
        <f t="shared" si="131"/>
        <v>2.76</v>
      </c>
      <c r="CW104" s="2">
        <f t="shared" si="132"/>
        <v>0.21250000000000002</v>
      </c>
      <c r="CX104" s="2">
        <f t="shared" si="133"/>
        <v>0</v>
      </c>
      <c r="CY104" s="2">
        <f t="shared" si="134"/>
        <v>249.22889999999998</v>
      </c>
      <c r="CZ104" s="2">
        <f t="shared" si="135"/>
        <v>221.5368</v>
      </c>
      <c r="DA104" s="2"/>
      <c r="DB104" s="2"/>
      <c r="DC104" s="2" t="s">
        <v>224</v>
      </c>
      <c r="DD104" s="2" t="s">
        <v>224</v>
      </c>
      <c r="DE104" s="2" t="s">
        <v>239</v>
      </c>
      <c r="DF104" s="2" t="s">
        <v>239</v>
      </c>
      <c r="DG104" s="2" t="s">
        <v>240</v>
      </c>
      <c r="DH104" s="2" t="s">
        <v>224</v>
      </c>
      <c r="DI104" s="2" t="s">
        <v>240</v>
      </c>
      <c r="DJ104" s="2" t="s">
        <v>239</v>
      </c>
      <c r="DK104" s="2" t="s">
        <v>224</v>
      </c>
      <c r="DL104" s="2" t="s">
        <v>224</v>
      </c>
      <c r="DM104" s="2" t="s">
        <v>224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277</v>
      </c>
      <c r="DW104" s="2" t="s">
        <v>277</v>
      </c>
      <c r="DX104" s="2">
        <v>1</v>
      </c>
      <c r="DY104" s="2"/>
      <c r="DZ104" s="2"/>
      <c r="EA104" s="2"/>
      <c r="EB104" s="2"/>
      <c r="EC104" s="2"/>
      <c r="ED104" s="2"/>
      <c r="EE104" s="2">
        <v>15139099</v>
      </c>
      <c r="EF104" s="2">
        <v>2</v>
      </c>
      <c r="EG104" s="2" t="s">
        <v>233</v>
      </c>
      <c r="EH104" s="2">
        <v>0</v>
      </c>
      <c r="EI104" s="2" t="s">
        <v>224</v>
      </c>
      <c r="EJ104" s="2">
        <v>1</v>
      </c>
      <c r="EK104" s="2">
        <v>9001</v>
      </c>
      <c r="EL104" s="2" t="s">
        <v>282</v>
      </c>
      <c r="EM104" s="2" t="s">
        <v>283</v>
      </c>
      <c r="EN104" s="2"/>
      <c r="EO104" s="2" t="s">
        <v>417</v>
      </c>
      <c r="EP104" s="2"/>
      <c r="EQ104" s="2">
        <v>0</v>
      </c>
      <c r="ER104" s="2">
        <v>63.94</v>
      </c>
      <c r="ES104" s="2">
        <v>25.72</v>
      </c>
      <c r="ET104" s="2">
        <v>14.41</v>
      </c>
      <c r="EU104" s="2">
        <v>1.97</v>
      </c>
      <c r="EV104" s="2">
        <v>23.81</v>
      </c>
      <c r="EW104" s="2">
        <v>2.4</v>
      </c>
      <c r="EX104" s="2">
        <v>0.17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6"/>
        <v>0</v>
      </c>
      <c r="FS104" s="2">
        <v>0</v>
      </c>
      <c r="FT104" s="2" t="s">
        <v>244</v>
      </c>
      <c r="FU104" s="2" t="s">
        <v>245</v>
      </c>
      <c r="FV104" s="2"/>
      <c r="FW104" s="2"/>
      <c r="FX104" s="2">
        <v>81</v>
      </c>
      <c r="FY104" s="2">
        <v>72.25</v>
      </c>
      <c r="FZ104" s="2"/>
      <c r="GA104" s="2" t="s">
        <v>224</v>
      </c>
      <c r="GB104" s="2"/>
      <c r="GC104" s="2"/>
      <c r="GD104" s="2">
        <v>0</v>
      </c>
      <c r="GE104" s="2"/>
      <c r="GF104" s="2">
        <v>691273637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7"/>
        <v>0</v>
      </c>
      <c r="GM104" s="2">
        <f t="shared" si="138"/>
        <v>1203.95</v>
      </c>
      <c r="GN104" s="2">
        <f t="shared" si="139"/>
        <v>1203.95</v>
      </c>
      <c r="GO104" s="2">
        <f t="shared" si="140"/>
        <v>0</v>
      </c>
      <c r="GP104" s="2">
        <f t="shared" si="141"/>
        <v>0</v>
      </c>
      <c r="GQ104" s="2"/>
      <c r="GR104" s="2">
        <v>0</v>
      </c>
      <c r="GS104" s="2">
        <v>3</v>
      </c>
      <c r="GT104" s="2">
        <v>0</v>
      </c>
      <c r="GU104" s="2" t="s">
        <v>224</v>
      </c>
      <c r="GV104" s="2">
        <f t="shared" si="142"/>
        <v>0</v>
      </c>
      <c r="GW104" s="2">
        <v>1</v>
      </c>
      <c r="GX104" s="2">
        <f t="shared" si="143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ROW(SmtRes!A372)</f>
        <v>372</v>
      </c>
      <c r="D105">
        <f>ROW(EtalonRes!A394)</f>
        <v>394</v>
      </c>
      <c r="E105" t="s">
        <v>415</v>
      </c>
      <c r="F105" t="s">
        <v>275</v>
      </c>
      <c r="G105" t="s">
        <v>416</v>
      </c>
      <c r="H105" t="s">
        <v>277</v>
      </c>
      <c r="I105">
        <v>10.31</v>
      </c>
      <c r="J105">
        <v>0</v>
      </c>
      <c r="O105">
        <f t="shared" si="111"/>
        <v>4457.76</v>
      </c>
      <c r="P105">
        <f t="shared" si="112"/>
        <v>1612.25</v>
      </c>
      <c r="Q105">
        <f t="shared" si="113"/>
        <v>1129.1099999999999</v>
      </c>
      <c r="R105">
        <f t="shared" si="114"/>
        <v>154.36000000000001</v>
      </c>
      <c r="S105">
        <f t="shared" si="115"/>
        <v>1716.4</v>
      </c>
      <c r="T105">
        <f t="shared" si="116"/>
        <v>0</v>
      </c>
      <c r="U105">
        <f t="shared" si="117"/>
        <v>28.4556</v>
      </c>
      <c r="V105">
        <f t="shared" si="118"/>
        <v>2.1908750000000001</v>
      </c>
      <c r="W105">
        <f t="shared" si="119"/>
        <v>0</v>
      </c>
      <c r="X105">
        <f t="shared" si="120"/>
        <v>1515.32</v>
      </c>
      <c r="Y105">
        <f t="shared" si="121"/>
        <v>1346.95</v>
      </c>
      <c r="AA105">
        <v>16499878</v>
      </c>
      <c r="AB105">
        <f t="shared" si="122"/>
        <v>71.114000000000004</v>
      </c>
      <c r="AC105">
        <f t="shared" si="108"/>
        <v>25.72</v>
      </c>
      <c r="AD105">
        <f>ROUND(((((ET105*1.25))-((EU105*1.25)))+AE105),6)</f>
        <v>18.012499999999999</v>
      </c>
      <c r="AE105">
        <f>ROUND(((EU105*1.25)),6)</f>
        <v>2.4624999999999999</v>
      </c>
      <c r="AF105">
        <f>ROUND(((EV105*1.15)),6)</f>
        <v>27.381499999999999</v>
      </c>
      <c r="AG105">
        <f t="shared" si="123"/>
        <v>0</v>
      </c>
      <c r="AH105">
        <f>((EW105*1.15))</f>
        <v>2.76</v>
      </c>
      <c r="AI105">
        <f>((EX105*1.25))</f>
        <v>0.21250000000000002</v>
      </c>
      <c r="AJ105">
        <f t="shared" si="124"/>
        <v>0</v>
      </c>
      <c r="AK105">
        <v>63.94</v>
      </c>
      <c r="AL105">
        <v>25.72</v>
      </c>
      <c r="AM105">
        <v>14.41</v>
      </c>
      <c r="AN105">
        <v>1.97</v>
      </c>
      <c r="AO105">
        <v>23.81</v>
      </c>
      <c r="AP105">
        <v>0</v>
      </c>
      <c r="AQ105">
        <v>2.4</v>
      </c>
      <c r="AR105">
        <v>0.17</v>
      </c>
      <c r="AS105">
        <v>0</v>
      </c>
      <c r="AT105">
        <v>81</v>
      </c>
      <c r="AU105">
        <v>72</v>
      </c>
      <c r="AV105">
        <v>1</v>
      </c>
      <c r="AW105">
        <v>1</v>
      </c>
      <c r="AZ105">
        <v>6.08</v>
      </c>
      <c r="BA105">
        <v>6.08</v>
      </c>
      <c r="BB105">
        <v>6.08</v>
      </c>
      <c r="BC105">
        <v>6.08</v>
      </c>
      <c r="BD105" t="s">
        <v>224</v>
      </c>
      <c r="BE105" t="s">
        <v>224</v>
      </c>
      <c r="BF105" t="s">
        <v>224</v>
      </c>
      <c r="BG105" t="s">
        <v>224</v>
      </c>
      <c r="BH105">
        <v>0</v>
      </c>
      <c r="BI105">
        <v>1</v>
      </c>
      <c r="BJ105" t="s">
        <v>278</v>
      </c>
      <c r="BM105">
        <v>9001</v>
      </c>
      <c r="BN105">
        <v>0</v>
      </c>
      <c r="BO105" t="s">
        <v>224</v>
      </c>
      <c r="BP105">
        <v>0</v>
      </c>
      <c r="BQ105">
        <v>2</v>
      </c>
      <c r="BR105">
        <v>0</v>
      </c>
      <c r="BS105">
        <v>6.08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224</v>
      </c>
      <c r="BZ105">
        <v>90</v>
      </c>
      <c r="CA105">
        <v>85</v>
      </c>
      <c r="CF105">
        <v>0</v>
      </c>
      <c r="CG105">
        <v>0</v>
      </c>
      <c r="CM105">
        <v>0</v>
      </c>
      <c r="CN105" t="s">
        <v>124</v>
      </c>
      <c r="CO105">
        <v>0</v>
      </c>
      <c r="CP105">
        <f t="shared" si="125"/>
        <v>4457.76</v>
      </c>
      <c r="CQ105">
        <f t="shared" si="126"/>
        <v>156.3776</v>
      </c>
      <c r="CR105">
        <f t="shared" si="127"/>
        <v>109.51599999999999</v>
      </c>
      <c r="CS105">
        <f t="shared" si="128"/>
        <v>14.972</v>
      </c>
      <c r="CT105">
        <f t="shared" si="129"/>
        <v>166.47952000000001</v>
      </c>
      <c r="CU105">
        <f t="shared" si="130"/>
        <v>0</v>
      </c>
      <c r="CV105">
        <f t="shared" si="131"/>
        <v>2.76</v>
      </c>
      <c r="CW105">
        <f t="shared" si="132"/>
        <v>0.21250000000000002</v>
      </c>
      <c r="CX105">
        <f t="shared" si="133"/>
        <v>0</v>
      </c>
      <c r="CY105">
        <f t="shared" si="134"/>
        <v>1515.3156000000004</v>
      </c>
      <c r="CZ105">
        <f t="shared" si="135"/>
        <v>1346.9472000000003</v>
      </c>
      <c r="DC105" t="s">
        <v>224</v>
      </c>
      <c r="DD105" t="s">
        <v>224</v>
      </c>
      <c r="DE105" t="s">
        <v>239</v>
      </c>
      <c r="DF105" t="s">
        <v>239</v>
      </c>
      <c r="DG105" t="s">
        <v>240</v>
      </c>
      <c r="DH105" t="s">
        <v>224</v>
      </c>
      <c r="DI105" t="s">
        <v>240</v>
      </c>
      <c r="DJ105" t="s">
        <v>239</v>
      </c>
      <c r="DK105" t="s">
        <v>224</v>
      </c>
      <c r="DL105" t="s">
        <v>224</v>
      </c>
      <c r="DM105" t="s">
        <v>224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277</v>
      </c>
      <c r="DW105" t="s">
        <v>277</v>
      </c>
      <c r="DX105">
        <v>1</v>
      </c>
      <c r="EE105">
        <v>15139099</v>
      </c>
      <c r="EF105">
        <v>2</v>
      </c>
      <c r="EG105" t="s">
        <v>233</v>
      </c>
      <c r="EH105">
        <v>0</v>
      </c>
      <c r="EI105" t="s">
        <v>224</v>
      </c>
      <c r="EJ105">
        <v>1</v>
      </c>
      <c r="EK105">
        <v>9001</v>
      </c>
      <c r="EL105" t="s">
        <v>282</v>
      </c>
      <c r="EM105" t="s">
        <v>283</v>
      </c>
      <c r="EO105" t="s">
        <v>417</v>
      </c>
      <c r="EQ105">
        <v>0</v>
      </c>
      <c r="ER105">
        <v>63.94</v>
      </c>
      <c r="ES105">
        <v>25.72</v>
      </c>
      <c r="ET105">
        <v>14.41</v>
      </c>
      <c r="EU105">
        <v>1.97</v>
      </c>
      <c r="EV105">
        <v>23.81</v>
      </c>
      <c r="EW105">
        <v>2.4</v>
      </c>
      <c r="EX105">
        <v>0.17</v>
      </c>
      <c r="EY105">
        <v>0</v>
      </c>
      <c r="FQ105">
        <v>0</v>
      </c>
      <c r="FR105">
        <f t="shared" si="136"/>
        <v>0</v>
      </c>
      <c r="FS105">
        <v>0</v>
      </c>
      <c r="FT105" t="s">
        <v>244</v>
      </c>
      <c r="FU105" t="s">
        <v>245</v>
      </c>
      <c r="FX105">
        <v>81</v>
      </c>
      <c r="FY105">
        <v>72.25</v>
      </c>
      <c r="GA105" t="s">
        <v>224</v>
      </c>
      <c r="GD105">
        <v>0</v>
      </c>
      <c r="GF105">
        <v>691273637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7"/>
        <v>0</v>
      </c>
      <c r="GM105">
        <f t="shared" si="138"/>
        <v>7320.03</v>
      </c>
      <c r="GN105">
        <f t="shared" si="139"/>
        <v>7320.03</v>
      </c>
      <c r="GO105">
        <f t="shared" si="140"/>
        <v>0</v>
      </c>
      <c r="GP105">
        <f t="shared" si="141"/>
        <v>0</v>
      </c>
      <c r="GR105">
        <v>0</v>
      </c>
      <c r="GS105">
        <v>3</v>
      </c>
      <c r="GT105">
        <v>0</v>
      </c>
      <c r="GU105" t="s">
        <v>224</v>
      </c>
      <c r="GV105">
        <f t="shared" si="142"/>
        <v>0</v>
      </c>
      <c r="GW105">
        <v>1</v>
      </c>
      <c r="GX105">
        <f t="shared" si="143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359</v>
      </c>
      <c r="D106" s="2"/>
      <c r="E106" s="2" t="s">
        <v>418</v>
      </c>
      <c r="F106" s="2" t="s">
        <v>419</v>
      </c>
      <c r="G106" s="2" t="s">
        <v>420</v>
      </c>
      <c r="H106" s="2" t="s">
        <v>413</v>
      </c>
      <c r="I106" s="2">
        <f>I104*J106</f>
        <v>1</v>
      </c>
      <c r="J106" s="2">
        <v>9.6993210475266725E-2</v>
      </c>
      <c r="K106" s="2"/>
      <c r="L106" s="2"/>
      <c r="M106" s="2"/>
      <c r="N106" s="2"/>
      <c r="O106" s="2">
        <f t="shared" si="111"/>
        <v>3462.65</v>
      </c>
      <c r="P106" s="2">
        <f t="shared" si="112"/>
        <v>3462.65</v>
      </c>
      <c r="Q106" s="2">
        <f t="shared" si="113"/>
        <v>0</v>
      </c>
      <c r="R106" s="2">
        <f t="shared" si="114"/>
        <v>0</v>
      </c>
      <c r="S106" s="2">
        <f t="shared" si="115"/>
        <v>0</v>
      </c>
      <c r="T106" s="2">
        <f t="shared" si="116"/>
        <v>0</v>
      </c>
      <c r="U106" s="2">
        <f t="shared" si="117"/>
        <v>0</v>
      </c>
      <c r="V106" s="2">
        <f t="shared" si="118"/>
        <v>0</v>
      </c>
      <c r="W106" s="2">
        <f t="shared" si="119"/>
        <v>0</v>
      </c>
      <c r="X106" s="2">
        <f t="shared" si="120"/>
        <v>0</v>
      </c>
      <c r="Y106" s="2">
        <f t="shared" si="121"/>
        <v>0</v>
      </c>
      <c r="Z106" s="2"/>
      <c r="AA106" s="2">
        <v>16499835</v>
      </c>
      <c r="AB106" s="2">
        <f t="shared" si="122"/>
        <v>3462.65</v>
      </c>
      <c r="AC106" s="2">
        <f t="shared" si="108"/>
        <v>3462.65</v>
      </c>
      <c r="AD106" s="2">
        <f t="shared" ref="AD106:AD111" si="146">ROUND((((ET106)-(EU106))+AE106),6)</f>
        <v>0</v>
      </c>
      <c r="AE106" s="2">
        <f t="shared" ref="AE106:AF111" si="147">ROUND((EU106),6)</f>
        <v>0</v>
      </c>
      <c r="AF106" s="2">
        <f t="shared" si="147"/>
        <v>0</v>
      </c>
      <c r="AG106" s="2">
        <f t="shared" si="123"/>
        <v>0</v>
      </c>
      <c r="AH106" s="2">
        <f t="shared" ref="AH106:AI111" si="148">(EW106)</f>
        <v>0</v>
      </c>
      <c r="AI106" s="2">
        <f t="shared" si="148"/>
        <v>0</v>
      </c>
      <c r="AJ106" s="2">
        <f t="shared" si="124"/>
        <v>0</v>
      </c>
      <c r="AK106" s="2">
        <v>3462.65</v>
      </c>
      <c r="AL106" s="2">
        <v>3462.65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81</v>
      </c>
      <c r="AU106" s="2">
        <v>72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224</v>
      </c>
      <c r="BE106" s="2" t="s">
        <v>224</v>
      </c>
      <c r="BF106" s="2" t="s">
        <v>224</v>
      </c>
      <c r="BG106" s="2" t="s">
        <v>224</v>
      </c>
      <c r="BH106" s="2">
        <v>3</v>
      </c>
      <c r="BI106" s="2">
        <v>1</v>
      </c>
      <c r="BJ106" s="2" t="s">
        <v>421</v>
      </c>
      <c r="BK106" s="2"/>
      <c r="BL106" s="2"/>
      <c r="BM106" s="2">
        <v>9001</v>
      </c>
      <c r="BN106" s="2">
        <v>0</v>
      </c>
      <c r="BO106" s="2" t="s">
        <v>224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224</v>
      </c>
      <c r="BZ106" s="2">
        <v>90</v>
      </c>
      <c r="CA106" s="2">
        <v>85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224</v>
      </c>
      <c r="CO106" s="2">
        <v>0</v>
      </c>
      <c r="CP106" s="2">
        <f t="shared" si="125"/>
        <v>3462.65</v>
      </c>
      <c r="CQ106" s="2">
        <f t="shared" si="126"/>
        <v>3462.65</v>
      </c>
      <c r="CR106" s="2">
        <f t="shared" si="127"/>
        <v>0</v>
      </c>
      <c r="CS106" s="2">
        <f t="shared" si="128"/>
        <v>0</v>
      </c>
      <c r="CT106" s="2">
        <f t="shared" si="129"/>
        <v>0</v>
      </c>
      <c r="CU106" s="2">
        <f t="shared" si="130"/>
        <v>0</v>
      </c>
      <c r="CV106" s="2">
        <f t="shared" si="131"/>
        <v>0</v>
      </c>
      <c r="CW106" s="2">
        <f t="shared" si="132"/>
        <v>0</v>
      </c>
      <c r="CX106" s="2">
        <f t="shared" si="133"/>
        <v>0</v>
      </c>
      <c r="CY106" s="2">
        <f t="shared" si="134"/>
        <v>0</v>
      </c>
      <c r="CZ106" s="2">
        <f t="shared" si="135"/>
        <v>0</v>
      </c>
      <c r="DA106" s="2"/>
      <c r="DB106" s="2"/>
      <c r="DC106" s="2" t="s">
        <v>224</v>
      </c>
      <c r="DD106" s="2" t="s">
        <v>224</v>
      </c>
      <c r="DE106" s="2" t="s">
        <v>224</v>
      </c>
      <c r="DF106" s="2" t="s">
        <v>224</v>
      </c>
      <c r="DG106" s="2" t="s">
        <v>224</v>
      </c>
      <c r="DH106" s="2" t="s">
        <v>224</v>
      </c>
      <c r="DI106" s="2" t="s">
        <v>224</v>
      </c>
      <c r="DJ106" s="2" t="s">
        <v>224</v>
      </c>
      <c r="DK106" s="2" t="s">
        <v>224</v>
      </c>
      <c r="DL106" s="2" t="s">
        <v>224</v>
      </c>
      <c r="DM106" s="2" t="s">
        <v>224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1010</v>
      </c>
      <c r="DV106" s="2" t="s">
        <v>413</v>
      </c>
      <c r="DW106" s="2" t="s">
        <v>413</v>
      </c>
      <c r="DX106" s="2">
        <v>1</v>
      </c>
      <c r="DY106" s="2"/>
      <c r="DZ106" s="2"/>
      <c r="EA106" s="2"/>
      <c r="EB106" s="2"/>
      <c r="EC106" s="2"/>
      <c r="ED106" s="2"/>
      <c r="EE106" s="2">
        <v>15139099</v>
      </c>
      <c r="EF106" s="2">
        <v>2</v>
      </c>
      <c r="EG106" s="2" t="s">
        <v>233</v>
      </c>
      <c r="EH106" s="2">
        <v>0</v>
      </c>
      <c r="EI106" s="2" t="s">
        <v>224</v>
      </c>
      <c r="EJ106" s="2">
        <v>1</v>
      </c>
      <c r="EK106" s="2">
        <v>9001</v>
      </c>
      <c r="EL106" s="2" t="s">
        <v>282</v>
      </c>
      <c r="EM106" s="2" t="s">
        <v>283</v>
      </c>
      <c r="EN106" s="2"/>
      <c r="EO106" s="2" t="s">
        <v>224</v>
      </c>
      <c r="EP106" s="2"/>
      <c r="EQ106" s="2">
        <v>0</v>
      </c>
      <c r="ER106" s="2">
        <v>3462.65</v>
      </c>
      <c r="ES106" s="2">
        <v>3462.65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6"/>
        <v>0</v>
      </c>
      <c r="FS106" s="2">
        <v>0</v>
      </c>
      <c r="FT106" s="2" t="s">
        <v>244</v>
      </c>
      <c r="FU106" s="2" t="s">
        <v>245</v>
      </c>
      <c r="FV106" s="2"/>
      <c r="FW106" s="2"/>
      <c r="FX106" s="2">
        <v>81</v>
      </c>
      <c r="FY106" s="2">
        <v>72.25</v>
      </c>
      <c r="FZ106" s="2"/>
      <c r="GA106" s="2" t="s">
        <v>224</v>
      </c>
      <c r="GB106" s="2"/>
      <c r="GC106" s="2"/>
      <c r="GD106" s="2">
        <v>0</v>
      </c>
      <c r="GE106" s="2"/>
      <c r="GF106" s="2">
        <v>-1849161856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7"/>
        <v>0</v>
      </c>
      <c r="GM106" s="2">
        <f t="shared" si="138"/>
        <v>3462.65</v>
      </c>
      <c r="GN106" s="2">
        <f t="shared" si="139"/>
        <v>3462.65</v>
      </c>
      <c r="GO106" s="2">
        <f t="shared" si="140"/>
        <v>0</v>
      </c>
      <c r="GP106" s="2">
        <f t="shared" si="141"/>
        <v>0</v>
      </c>
      <c r="GQ106" s="2"/>
      <c r="GR106" s="2">
        <v>0</v>
      </c>
      <c r="GS106" s="2">
        <v>3</v>
      </c>
      <c r="GT106" s="2">
        <v>0</v>
      </c>
      <c r="GU106" s="2" t="s">
        <v>224</v>
      </c>
      <c r="GV106" s="2">
        <f t="shared" si="142"/>
        <v>0</v>
      </c>
      <c r="GW106" s="2">
        <v>1</v>
      </c>
      <c r="GX106" s="2">
        <f t="shared" si="143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369</v>
      </c>
      <c r="E107" t="s">
        <v>418</v>
      </c>
      <c r="F107" t="s">
        <v>419</v>
      </c>
      <c r="G107" t="s">
        <v>420</v>
      </c>
      <c r="H107" t="s">
        <v>413</v>
      </c>
      <c r="I107">
        <f>I105*J107</f>
        <v>1</v>
      </c>
      <c r="J107">
        <v>9.6993210475266725E-2</v>
      </c>
      <c r="O107">
        <f t="shared" si="111"/>
        <v>21052.91</v>
      </c>
      <c r="P107">
        <f t="shared" si="112"/>
        <v>21052.91</v>
      </c>
      <c r="Q107">
        <f t="shared" si="113"/>
        <v>0</v>
      </c>
      <c r="R107">
        <f t="shared" si="114"/>
        <v>0</v>
      </c>
      <c r="S107">
        <f t="shared" si="115"/>
        <v>0</v>
      </c>
      <c r="T107">
        <f t="shared" si="116"/>
        <v>0</v>
      </c>
      <c r="U107">
        <f t="shared" si="117"/>
        <v>0</v>
      </c>
      <c r="V107">
        <f t="shared" si="118"/>
        <v>0</v>
      </c>
      <c r="W107">
        <f t="shared" si="119"/>
        <v>0</v>
      </c>
      <c r="X107">
        <f t="shared" si="120"/>
        <v>0</v>
      </c>
      <c r="Y107">
        <f t="shared" si="121"/>
        <v>0</v>
      </c>
      <c r="AA107">
        <v>16499878</v>
      </c>
      <c r="AB107">
        <f t="shared" si="122"/>
        <v>3462.65</v>
      </c>
      <c r="AC107">
        <f t="shared" si="108"/>
        <v>3462.65</v>
      </c>
      <c r="AD107">
        <f t="shared" si="146"/>
        <v>0</v>
      </c>
      <c r="AE107">
        <f t="shared" si="147"/>
        <v>0</v>
      </c>
      <c r="AF107">
        <f t="shared" si="147"/>
        <v>0</v>
      </c>
      <c r="AG107">
        <f t="shared" si="123"/>
        <v>0</v>
      </c>
      <c r="AH107">
        <f t="shared" si="148"/>
        <v>0</v>
      </c>
      <c r="AI107">
        <f t="shared" si="148"/>
        <v>0</v>
      </c>
      <c r="AJ107">
        <f t="shared" si="124"/>
        <v>0</v>
      </c>
      <c r="AK107">
        <v>3462.65</v>
      </c>
      <c r="AL107">
        <v>3462.65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81</v>
      </c>
      <c r="AU107">
        <v>72</v>
      </c>
      <c r="AV107">
        <v>1</v>
      </c>
      <c r="AW107">
        <v>1</v>
      </c>
      <c r="AZ107">
        <v>6.08</v>
      </c>
      <c r="BA107">
        <v>1</v>
      </c>
      <c r="BB107">
        <v>1</v>
      </c>
      <c r="BC107">
        <v>6.08</v>
      </c>
      <c r="BD107" t="s">
        <v>224</v>
      </c>
      <c r="BE107" t="s">
        <v>224</v>
      </c>
      <c r="BF107" t="s">
        <v>224</v>
      </c>
      <c r="BG107" t="s">
        <v>224</v>
      </c>
      <c r="BH107">
        <v>3</v>
      </c>
      <c r="BI107">
        <v>1</v>
      </c>
      <c r="BJ107" t="s">
        <v>421</v>
      </c>
      <c r="BM107">
        <v>9001</v>
      </c>
      <c r="BN107">
        <v>0</v>
      </c>
      <c r="BO107" t="s">
        <v>224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224</v>
      </c>
      <c r="BZ107">
        <v>90</v>
      </c>
      <c r="CA107">
        <v>85</v>
      </c>
      <c r="CF107">
        <v>0</v>
      </c>
      <c r="CG107">
        <v>0</v>
      </c>
      <c r="CM107">
        <v>0</v>
      </c>
      <c r="CN107" t="s">
        <v>224</v>
      </c>
      <c r="CO107">
        <v>0</v>
      </c>
      <c r="CP107">
        <f t="shared" si="125"/>
        <v>21052.91</v>
      </c>
      <c r="CQ107">
        <f t="shared" si="126"/>
        <v>21052.912</v>
      </c>
      <c r="CR107">
        <f t="shared" si="127"/>
        <v>0</v>
      </c>
      <c r="CS107">
        <f t="shared" si="128"/>
        <v>0</v>
      </c>
      <c r="CT107">
        <f t="shared" si="129"/>
        <v>0</v>
      </c>
      <c r="CU107">
        <f t="shared" si="130"/>
        <v>0</v>
      </c>
      <c r="CV107">
        <f t="shared" si="131"/>
        <v>0</v>
      </c>
      <c r="CW107">
        <f t="shared" si="132"/>
        <v>0</v>
      </c>
      <c r="CX107">
        <f t="shared" si="133"/>
        <v>0</v>
      </c>
      <c r="CY107">
        <f t="shared" si="134"/>
        <v>0</v>
      </c>
      <c r="CZ107">
        <f t="shared" si="135"/>
        <v>0</v>
      </c>
      <c r="DC107" t="s">
        <v>224</v>
      </c>
      <c r="DD107" t="s">
        <v>224</v>
      </c>
      <c r="DE107" t="s">
        <v>224</v>
      </c>
      <c r="DF107" t="s">
        <v>224</v>
      </c>
      <c r="DG107" t="s">
        <v>224</v>
      </c>
      <c r="DH107" t="s">
        <v>224</v>
      </c>
      <c r="DI107" t="s">
        <v>224</v>
      </c>
      <c r="DJ107" t="s">
        <v>224</v>
      </c>
      <c r="DK107" t="s">
        <v>224</v>
      </c>
      <c r="DL107" t="s">
        <v>224</v>
      </c>
      <c r="DM107" t="s">
        <v>224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413</v>
      </c>
      <c r="DW107" t="s">
        <v>413</v>
      </c>
      <c r="DX107">
        <v>1</v>
      </c>
      <c r="EE107">
        <v>15139099</v>
      </c>
      <c r="EF107">
        <v>2</v>
      </c>
      <c r="EG107" t="s">
        <v>233</v>
      </c>
      <c r="EH107">
        <v>0</v>
      </c>
      <c r="EI107" t="s">
        <v>224</v>
      </c>
      <c r="EJ107">
        <v>1</v>
      </c>
      <c r="EK107">
        <v>9001</v>
      </c>
      <c r="EL107" t="s">
        <v>282</v>
      </c>
      <c r="EM107" t="s">
        <v>283</v>
      </c>
      <c r="EO107" t="s">
        <v>224</v>
      </c>
      <c r="EQ107">
        <v>0</v>
      </c>
      <c r="ER107">
        <v>3462.65</v>
      </c>
      <c r="ES107">
        <v>3462.65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6"/>
        <v>0</v>
      </c>
      <c r="FS107">
        <v>0</v>
      </c>
      <c r="FT107" t="s">
        <v>244</v>
      </c>
      <c r="FU107" t="s">
        <v>245</v>
      </c>
      <c r="FX107">
        <v>81</v>
      </c>
      <c r="FY107">
        <v>72.25</v>
      </c>
      <c r="GA107" t="s">
        <v>224</v>
      </c>
      <c r="GD107">
        <v>0</v>
      </c>
      <c r="GF107">
        <v>-1849161856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7"/>
        <v>0</v>
      </c>
      <c r="GM107">
        <f t="shared" si="138"/>
        <v>21052.91</v>
      </c>
      <c r="GN107">
        <f t="shared" si="139"/>
        <v>21052.91</v>
      </c>
      <c r="GO107">
        <f t="shared" si="140"/>
        <v>0</v>
      </c>
      <c r="GP107">
        <f t="shared" si="141"/>
        <v>0</v>
      </c>
      <c r="GR107">
        <v>0</v>
      </c>
      <c r="GS107">
        <v>3</v>
      </c>
      <c r="GT107">
        <v>0</v>
      </c>
      <c r="GU107" t="s">
        <v>224</v>
      </c>
      <c r="GV107">
        <f t="shared" si="142"/>
        <v>0</v>
      </c>
      <c r="GW107">
        <v>1</v>
      </c>
      <c r="GX107">
        <f t="shared" si="143"/>
        <v>0</v>
      </c>
      <c r="HA107">
        <v>0</v>
      </c>
      <c r="HB107"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358</v>
      </c>
      <c r="D108" s="2"/>
      <c r="E108" s="2" t="s">
        <v>422</v>
      </c>
      <c r="F108" s="2" t="s">
        <v>423</v>
      </c>
      <c r="G108" s="2" t="s">
        <v>424</v>
      </c>
      <c r="H108" s="2" t="s">
        <v>277</v>
      </c>
      <c r="I108" s="2">
        <f>I104*J108</f>
        <v>4.87</v>
      </c>
      <c r="J108" s="2">
        <v>0.47235693501454895</v>
      </c>
      <c r="K108" s="2"/>
      <c r="L108" s="2"/>
      <c r="M108" s="2"/>
      <c r="N108" s="2"/>
      <c r="O108" s="2">
        <f t="shared" si="111"/>
        <v>7135.09</v>
      </c>
      <c r="P108" s="2">
        <f t="shared" si="112"/>
        <v>7135.09</v>
      </c>
      <c r="Q108" s="2">
        <f t="shared" si="113"/>
        <v>0</v>
      </c>
      <c r="R108" s="2">
        <f t="shared" si="114"/>
        <v>0</v>
      </c>
      <c r="S108" s="2">
        <f t="shared" si="115"/>
        <v>0</v>
      </c>
      <c r="T108" s="2">
        <f t="shared" si="116"/>
        <v>0</v>
      </c>
      <c r="U108" s="2">
        <f t="shared" si="117"/>
        <v>0</v>
      </c>
      <c r="V108" s="2">
        <f t="shared" si="118"/>
        <v>0</v>
      </c>
      <c r="W108" s="2">
        <f t="shared" si="119"/>
        <v>0</v>
      </c>
      <c r="X108" s="2">
        <f t="shared" si="120"/>
        <v>0</v>
      </c>
      <c r="Y108" s="2">
        <f t="shared" si="121"/>
        <v>0</v>
      </c>
      <c r="Z108" s="2"/>
      <c r="AA108" s="2">
        <v>16499835</v>
      </c>
      <c r="AB108" s="2">
        <f t="shared" si="122"/>
        <v>1465.11</v>
      </c>
      <c r="AC108" s="2">
        <f t="shared" si="108"/>
        <v>1465.11</v>
      </c>
      <c r="AD108" s="2">
        <f t="shared" si="146"/>
        <v>0</v>
      </c>
      <c r="AE108" s="2">
        <f t="shared" si="147"/>
        <v>0</v>
      </c>
      <c r="AF108" s="2">
        <f t="shared" si="147"/>
        <v>0</v>
      </c>
      <c r="AG108" s="2">
        <f t="shared" si="123"/>
        <v>0</v>
      </c>
      <c r="AH108" s="2">
        <f t="shared" si="148"/>
        <v>0</v>
      </c>
      <c r="AI108" s="2">
        <f t="shared" si="148"/>
        <v>0</v>
      </c>
      <c r="AJ108" s="2">
        <f t="shared" si="124"/>
        <v>0</v>
      </c>
      <c r="AK108" s="2">
        <v>1465.11</v>
      </c>
      <c r="AL108" s="2">
        <v>1465.11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81</v>
      </c>
      <c r="AU108" s="2">
        <v>72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224</v>
      </c>
      <c r="BE108" s="2" t="s">
        <v>224</v>
      </c>
      <c r="BF108" s="2" t="s">
        <v>224</v>
      </c>
      <c r="BG108" s="2" t="s">
        <v>224</v>
      </c>
      <c r="BH108" s="2">
        <v>3</v>
      </c>
      <c r="BI108" s="2">
        <v>1</v>
      </c>
      <c r="BJ108" s="2" t="s">
        <v>425</v>
      </c>
      <c r="BK108" s="2"/>
      <c r="BL108" s="2"/>
      <c r="BM108" s="2">
        <v>9001</v>
      </c>
      <c r="BN108" s="2">
        <v>0</v>
      </c>
      <c r="BO108" s="2" t="s">
        <v>224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224</v>
      </c>
      <c r="BZ108" s="2">
        <v>90</v>
      </c>
      <c r="CA108" s="2">
        <v>85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224</v>
      </c>
      <c r="CO108" s="2">
        <v>0</v>
      </c>
      <c r="CP108" s="2">
        <f t="shared" si="125"/>
        <v>7135.09</v>
      </c>
      <c r="CQ108" s="2">
        <f t="shared" si="126"/>
        <v>1465.11</v>
      </c>
      <c r="CR108" s="2">
        <f t="shared" si="127"/>
        <v>0</v>
      </c>
      <c r="CS108" s="2">
        <f t="shared" si="128"/>
        <v>0</v>
      </c>
      <c r="CT108" s="2">
        <f t="shared" si="129"/>
        <v>0</v>
      </c>
      <c r="CU108" s="2">
        <f t="shared" si="130"/>
        <v>0</v>
      </c>
      <c r="CV108" s="2">
        <f t="shared" si="131"/>
        <v>0</v>
      </c>
      <c r="CW108" s="2">
        <f t="shared" si="132"/>
        <v>0</v>
      </c>
      <c r="CX108" s="2">
        <f t="shared" si="133"/>
        <v>0</v>
      </c>
      <c r="CY108" s="2">
        <f t="shared" si="134"/>
        <v>0</v>
      </c>
      <c r="CZ108" s="2">
        <f t="shared" si="135"/>
        <v>0</v>
      </c>
      <c r="DA108" s="2"/>
      <c r="DB108" s="2"/>
      <c r="DC108" s="2" t="s">
        <v>224</v>
      </c>
      <c r="DD108" s="2" t="s">
        <v>224</v>
      </c>
      <c r="DE108" s="2" t="s">
        <v>224</v>
      </c>
      <c r="DF108" s="2" t="s">
        <v>224</v>
      </c>
      <c r="DG108" s="2" t="s">
        <v>224</v>
      </c>
      <c r="DH108" s="2" t="s">
        <v>224</v>
      </c>
      <c r="DI108" s="2" t="s">
        <v>224</v>
      </c>
      <c r="DJ108" s="2" t="s">
        <v>224</v>
      </c>
      <c r="DK108" s="2" t="s">
        <v>224</v>
      </c>
      <c r="DL108" s="2" t="s">
        <v>224</v>
      </c>
      <c r="DM108" s="2" t="s">
        <v>224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277</v>
      </c>
      <c r="DW108" s="2" t="s">
        <v>277</v>
      </c>
      <c r="DX108" s="2">
        <v>1</v>
      </c>
      <c r="DY108" s="2"/>
      <c r="DZ108" s="2"/>
      <c r="EA108" s="2"/>
      <c r="EB108" s="2"/>
      <c r="EC108" s="2"/>
      <c r="ED108" s="2"/>
      <c r="EE108" s="2">
        <v>15139099</v>
      </c>
      <c r="EF108" s="2">
        <v>2</v>
      </c>
      <c r="EG108" s="2" t="s">
        <v>233</v>
      </c>
      <c r="EH108" s="2">
        <v>0</v>
      </c>
      <c r="EI108" s="2" t="s">
        <v>224</v>
      </c>
      <c r="EJ108" s="2">
        <v>1</v>
      </c>
      <c r="EK108" s="2">
        <v>9001</v>
      </c>
      <c r="EL108" s="2" t="s">
        <v>282</v>
      </c>
      <c r="EM108" s="2" t="s">
        <v>283</v>
      </c>
      <c r="EN108" s="2"/>
      <c r="EO108" s="2" t="s">
        <v>224</v>
      </c>
      <c r="EP108" s="2"/>
      <c r="EQ108" s="2">
        <v>0</v>
      </c>
      <c r="ER108" s="2">
        <v>1465.11</v>
      </c>
      <c r="ES108" s="2">
        <v>1465.11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6"/>
        <v>0</v>
      </c>
      <c r="FS108" s="2">
        <v>0</v>
      </c>
      <c r="FT108" s="2" t="s">
        <v>244</v>
      </c>
      <c r="FU108" s="2" t="s">
        <v>245</v>
      </c>
      <c r="FV108" s="2"/>
      <c r="FW108" s="2"/>
      <c r="FX108" s="2">
        <v>81</v>
      </c>
      <c r="FY108" s="2">
        <v>72.25</v>
      </c>
      <c r="FZ108" s="2"/>
      <c r="GA108" s="2" t="s">
        <v>224</v>
      </c>
      <c r="GB108" s="2"/>
      <c r="GC108" s="2"/>
      <c r="GD108" s="2">
        <v>0</v>
      </c>
      <c r="GE108" s="2"/>
      <c r="GF108" s="2">
        <v>1911526313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7"/>
        <v>0</v>
      </c>
      <c r="GM108" s="2">
        <f t="shared" si="138"/>
        <v>7135.09</v>
      </c>
      <c r="GN108" s="2">
        <f t="shared" si="139"/>
        <v>7135.09</v>
      </c>
      <c r="GO108" s="2">
        <f t="shared" si="140"/>
        <v>0</v>
      </c>
      <c r="GP108" s="2">
        <f t="shared" si="141"/>
        <v>0</v>
      </c>
      <c r="GQ108" s="2"/>
      <c r="GR108" s="2">
        <v>0</v>
      </c>
      <c r="GS108" s="2">
        <v>3</v>
      </c>
      <c r="GT108" s="2">
        <v>0</v>
      </c>
      <c r="GU108" s="2" t="s">
        <v>224</v>
      </c>
      <c r="GV108" s="2">
        <f t="shared" si="142"/>
        <v>0</v>
      </c>
      <c r="GW108" s="2">
        <v>1</v>
      </c>
      <c r="GX108" s="2">
        <f t="shared" si="143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368</v>
      </c>
      <c r="E109" t="s">
        <v>422</v>
      </c>
      <c r="F109" t="s">
        <v>423</v>
      </c>
      <c r="G109" t="s">
        <v>424</v>
      </c>
      <c r="H109" t="s">
        <v>277</v>
      </c>
      <c r="I109">
        <f>I105*J109</f>
        <v>4.87</v>
      </c>
      <c r="J109">
        <v>0.47235693501454895</v>
      </c>
      <c r="O109">
        <f t="shared" si="111"/>
        <v>43381.32</v>
      </c>
      <c r="P109">
        <f t="shared" si="112"/>
        <v>43381.32</v>
      </c>
      <c r="Q109">
        <f t="shared" si="113"/>
        <v>0</v>
      </c>
      <c r="R109">
        <f t="shared" si="114"/>
        <v>0</v>
      </c>
      <c r="S109">
        <f t="shared" si="115"/>
        <v>0</v>
      </c>
      <c r="T109">
        <f t="shared" si="116"/>
        <v>0</v>
      </c>
      <c r="U109">
        <f t="shared" si="117"/>
        <v>0</v>
      </c>
      <c r="V109">
        <f t="shared" si="118"/>
        <v>0</v>
      </c>
      <c r="W109">
        <f t="shared" si="119"/>
        <v>0</v>
      </c>
      <c r="X109">
        <f t="shared" si="120"/>
        <v>0</v>
      </c>
      <c r="Y109">
        <f t="shared" si="121"/>
        <v>0</v>
      </c>
      <c r="AA109">
        <v>16499878</v>
      </c>
      <c r="AB109">
        <f t="shared" si="122"/>
        <v>1465.11</v>
      </c>
      <c r="AC109">
        <f t="shared" si="108"/>
        <v>1465.11</v>
      </c>
      <c r="AD109">
        <f t="shared" si="146"/>
        <v>0</v>
      </c>
      <c r="AE109">
        <f t="shared" si="147"/>
        <v>0</v>
      </c>
      <c r="AF109">
        <f t="shared" si="147"/>
        <v>0</v>
      </c>
      <c r="AG109">
        <f t="shared" si="123"/>
        <v>0</v>
      </c>
      <c r="AH109">
        <f t="shared" si="148"/>
        <v>0</v>
      </c>
      <c r="AI109">
        <f t="shared" si="148"/>
        <v>0</v>
      </c>
      <c r="AJ109">
        <f t="shared" si="124"/>
        <v>0</v>
      </c>
      <c r="AK109">
        <v>1465.11</v>
      </c>
      <c r="AL109">
        <v>1465.11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81</v>
      </c>
      <c r="AU109">
        <v>72</v>
      </c>
      <c r="AV109">
        <v>1</v>
      </c>
      <c r="AW109">
        <v>1</v>
      </c>
      <c r="AZ109">
        <v>6.08</v>
      </c>
      <c r="BA109">
        <v>1</v>
      </c>
      <c r="BB109">
        <v>1</v>
      </c>
      <c r="BC109">
        <v>6.08</v>
      </c>
      <c r="BD109" t="s">
        <v>224</v>
      </c>
      <c r="BE109" t="s">
        <v>224</v>
      </c>
      <c r="BF109" t="s">
        <v>224</v>
      </c>
      <c r="BG109" t="s">
        <v>224</v>
      </c>
      <c r="BH109">
        <v>3</v>
      </c>
      <c r="BI109">
        <v>1</v>
      </c>
      <c r="BJ109" t="s">
        <v>425</v>
      </c>
      <c r="BM109">
        <v>9001</v>
      </c>
      <c r="BN109">
        <v>0</v>
      </c>
      <c r="BO109" t="s">
        <v>224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224</v>
      </c>
      <c r="BZ109">
        <v>90</v>
      </c>
      <c r="CA109">
        <v>85</v>
      </c>
      <c r="CF109">
        <v>0</v>
      </c>
      <c r="CG109">
        <v>0</v>
      </c>
      <c r="CM109">
        <v>0</v>
      </c>
      <c r="CN109" t="s">
        <v>224</v>
      </c>
      <c r="CO109">
        <v>0</v>
      </c>
      <c r="CP109">
        <f t="shared" si="125"/>
        <v>43381.32</v>
      </c>
      <c r="CQ109">
        <f t="shared" si="126"/>
        <v>8907.8688000000002</v>
      </c>
      <c r="CR109">
        <f t="shared" si="127"/>
        <v>0</v>
      </c>
      <c r="CS109">
        <f t="shared" si="128"/>
        <v>0</v>
      </c>
      <c r="CT109">
        <f t="shared" si="129"/>
        <v>0</v>
      </c>
      <c r="CU109">
        <f t="shared" si="130"/>
        <v>0</v>
      </c>
      <c r="CV109">
        <f t="shared" si="131"/>
        <v>0</v>
      </c>
      <c r="CW109">
        <f t="shared" si="132"/>
        <v>0</v>
      </c>
      <c r="CX109">
        <f t="shared" si="133"/>
        <v>0</v>
      </c>
      <c r="CY109">
        <f t="shared" si="134"/>
        <v>0</v>
      </c>
      <c r="CZ109">
        <f t="shared" si="135"/>
        <v>0</v>
      </c>
      <c r="DC109" t="s">
        <v>224</v>
      </c>
      <c r="DD109" t="s">
        <v>224</v>
      </c>
      <c r="DE109" t="s">
        <v>224</v>
      </c>
      <c r="DF109" t="s">
        <v>224</v>
      </c>
      <c r="DG109" t="s">
        <v>224</v>
      </c>
      <c r="DH109" t="s">
        <v>224</v>
      </c>
      <c r="DI109" t="s">
        <v>224</v>
      </c>
      <c r="DJ109" t="s">
        <v>224</v>
      </c>
      <c r="DK109" t="s">
        <v>224</v>
      </c>
      <c r="DL109" t="s">
        <v>224</v>
      </c>
      <c r="DM109" t="s">
        <v>224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277</v>
      </c>
      <c r="DW109" t="s">
        <v>277</v>
      </c>
      <c r="DX109">
        <v>1</v>
      </c>
      <c r="EE109">
        <v>15139099</v>
      </c>
      <c r="EF109">
        <v>2</v>
      </c>
      <c r="EG109" t="s">
        <v>233</v>
      </c>
      <c r="EH109">
        <v>0</v>
      </c>
      <c r="EI109" t="s">
        <v>224</v>
      </c>
      <c r="EJ109">
        <v>1</v>
      </c>
      <c r="EK109">
        <v>9001</v>
      </c>
      <c r="EL109" t="s">
        <v>282</v>
      </c>
      <c r="EM109" t="s">
        <v>283</v>
      </c>
      <c r="EO109" t="s">
        <v>224</v>
      </c>
      <c r="EQ109">
        <v>0</v>
      </c>
      <c r="ER109">
        <v>1465.11</v>
      </c>
      <c r="ES109">
        <v>1465.11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6"/>
        <v>0</v>
      </c>
      <c r="FS109">
        <v>0</v>
      </c>
      <c r="FT109" t="s">
        <v>244</v>
      </c>
      <c r="FU109" t="s">
        <v>245</v>
      </c>
      <c r="FX109">
        <v>81</v>
      </c>
      <c r="FY109">
        <v>72.25</v>
      </c>
      <c r="GA109" t="s">
        <v>224</v>
      </c>
      <c r="GD109">
        <v>0</v>
      </c>
      <c r="GF109">
        <v>1911526313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7"/>
        <v>0</v>
      </c>
      <c r="GM109">
        <f t="shared" si="138"/>
        <v>43381.32</v>
      </c>
      <c r="GN109">
        <f t="shared" si="139"/>
        <v>43381.32</v>
      </c>
      <c r="GO109">
        <f t="shared" si="140"/>
        <v>0</v>
      </c>
      <c r="GP109">
        <f t="shared" si="141"/>
        <v>0</v>
      </c>
      <c r="GR109">
        <v>0</v>
      </c>
      <c r="GS109">
        <v>3</v>
      </c>
      <c r="GT109">
        <v>0</v>
      </c>
      <c r="GU109" t="s">
        <v>224</v>
      </c>
      <c r="GV109">
        <f t="shared" si="142"/>
        <v>0</v>
      </c>
      <c r="GW109">
        <v>1</v>
      </c>
      <c r="GX109">
        <f t="shared" si="143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360</v>
      </c>
      <c r="D110" s="2"/>
      <c r="E110" s="2" t="s">
        <v>426</v>
      </c>
      <c r="F110" s="2" t="s">
        <v>427</v>
      </c>
      <c r="G110" s="2" t="s">
        <v>428</v>
      </c>
      <c r="H110" s="2" t="s">
        <v>413</v>
      </c>
      <c r="I110" s="2">
        <f>I104*J110</f>
        <v>1</v>
      </c>
      <c r="J110" s="2">
        <v>9.6993210475266725E-2</v>
      </c>
      <c r="K110" s="2"/>
      <c r="L110" s="2"/>
      <c r="M110" s="2"/>
      <c r="N110" s="2"/>
      <c r="O110" s="2">
        <f t="shared" si="111"/>
        <v>3739.42</v>
      </c>
      <c r="P110" s="2">
        <f t="shared" si="112"/>
        <v>3739.42</v>
      </c>
      <c r="Q110" s="2">
        <f t="shared" si="113"/>
        <v>0</v>
      </c>
      <c r="R110" s="2">
        <f t="shared" si="114"/>
        <v>0</v>
      </c>
      <c r="S110" s="2">
        <f t="shared" si="115"/>
        <v>0</v>
      </c>
      <c r="T110" s="2">
        <f t="shared" si="116"/>
        <v>0</v>
      </c>
      <c r="U110" s="2">
        <f t="shared" si="117"/>
        <v>0</v>
      </c>
      <c r="V110" s="2">
        <f t="shared" si="118"/>
        <v>0</v>
      </c>
      <c r="W110" s="2">
        <f t="shared" si="119"/>
        <v>0</v>
      </c>
      <c r="X110" s="2">
        <f t="shared" si="120"/>
        <v>0</v>
      </c>
      <c r="Y110" s="2">
        <f t="shared" si="121"/>
        <v>0</v>
      </c>
      <c r="Z110" s="2"/>
      <c r="AA110" s="2">
        <v>16499835</v>
      </c>
      <c r="AB110" s="2">
        <f t="shared" si="122"/>
        <v>3739.42</v>
      </c>
      <c r="AC110" s="2">
        <f t="shared" si="108"/>
        <v>3739.42</v>
      </c>
      <c r="AD110" s="2">
        <f t="shared" si="146"/>
        <v>0</v>
      </c>
      <c r="AE110" s="2">
        <f t="shared" si="147"/>
        <v>0</v>
      </c>
      <c r="AF110" s="2">
        <f t="shared" si="147"/>
        <v>0</v>
      </c>
      <c r="AG110" s="2">
        <f t="shared" si="123"/>
        <v>0</v>
      </c>
      <c r="AH110" s="2">
        <f t="shared" si="148"/>
        <v>0</v>
      </c>
      <c r="AI110" s="2">
        <f t="shared" si="148"/>
        <v>0</v>
      </c>
      <c r="AJ110" s="2">
        <f t="shared" si="124"/>
        <v>0</v>
      </c>
      <c r="AK110" s="2">
        <v>3739.42</v>
      </c>
      <c r="AL110" s="2">
        <v>3739.42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81</v>
      </c>
      <c r="AU110" s="2">
        <v>72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224</v>
      </c>
      <c r="BE110" s="2" t="s">
        <v>224</v>
      </c>
      <c r="BF110" s="2" t="s">
        <v>224</v>
      </c>
      <c r="BG110" s="2" t="s">
        <v>224</v>
      </c>
      <c r="BH110" s="2">
        <v>3</v>
      </c>
      <c r="BI110" s="2">
        <v>1</v>
      </c>
      <c r="BJ110" s="2" t="s">
        <v>429</v>
      </c>
      <c r="BK110" s="2"/>
      <c r="BL110" s="2"/>
      <c r="BM110" s="2">
        <v>9001</v>
      </c>
      <c r="BN110" s="2">
        <v>0</v>
      </c>
      <c r="BO110" s="2" t="s">
        <v>224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224</v>
      </c>
      <c r="BZ110" s="2">
        <v>90</v>
      </c>
      <c r="CA110" s="2">
        <v>85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224</v>
      </c>
      <c r="CO110" s="2">
        <v>0</v>
      </c>
      <c r="CP110" s="2">
        <f t="shared" si="125"/>
        <v>3739.42</v>
      </c>
      <c r="CQ110" s="2">
        <f t="shared" si="126"/>
        <v>3739.42</v>
      </c>
      <c r="CR110" s="2">
        <f t="shared" si="127"/>
        <v>0</v>
      </c>
      <c r="CS110" s="2">
        <f t="shared" si="128"/>
        <v>0</v>
      </c>
      <c r="CT110" s="2">
        <f t="shared" si="129"/>
        <v>0</v>
      </c>
      <c r="CU110" s="2">
        <f t="shared" si="130"/>
        <v>0</v>
      </c>
      <c r="CV110" s="2">
        <f t="shared" si="131"/>
        <v>0</v>
      </c>
      <c r="CW110" s="2">
        <f t="shared" si="132"/>
        <v>0</v>
      </c>
      <c r="CX110" s="2">
        <f t="shared" si="133"/>
        <v>0</v>
      </c>
      <c r="CY110" s="2">
        <f t="shared" si="134"/>
        <v>0</v>
      </c>
      <c r="CZ110" s="2">
        <f t="shared" si="135"/>
        <v>0</v>
      </c>
      <c r="DA110" s="2"/>
      <c r="DB110" s="2"/>
      <c r="DC110" s="2" t="s">
        <v>224</v>
      </c>
      <c r="DD110" s="2" t="s">
        <v>224</v>
      </c>
      <c r="DE110" s="2" t="s">
        <v>224</v>
      </c>
      <c r="DF110" s="2" t="s">
        <v>224</v>
      </c>
      <c r="DG110" s="2" t="s">
        <v>224</v>
      </c>
      <c r="DH110" s="2" t="s">
        <v>224</v>
      </c>
      <c r="DI110" s="2" t="s">
        <v>224</v>
      </c>
      <c r="DJ110" s="2" t="s">
        <v>224</v>
      </c>
      <c r="DK110" s="2" t="s">
        <v>224</v>
      </c>
      <c r="DL110" s="2" t="s">
        <v>224</v>
      </c>
      <c r="DM110" s="2" t="s">
        <v>224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1010</v>
      </c>
      <c r="DV110" s="2" t="s">
        <v>413</v>
      </c>
      <c r="DW110" s="2" t="s">
        <v>413</v>
      </c>
      <c r="DX110" s="2">
        <v>1</v>
      </c>
      <c r="DY110" s="2"/>
      <c r="DZ110" s="2"/>
      <c r="EA110" s="2"/>
      <c r="EB110" s="2"/>
      <c r="EC110" s="2"/>
      <c r="ED110" s="2"/>
      <c r="EE110" s="2">
        <v>15139099</v>
      </c>
      <c r="EF110" s="2">
        <v>2</v>
      </c>
      <c r="EG110" s="2" t="s">
        <v>233</v>
      </c>
      <c r="EH110" s="2">
        <v>0</v>
      </c>
      <c r="EI110" s="2" t="s">
        <v>224</v>
      </c>
      <c r="EJ110" s="2">
        <v>1</v>
      </c>
      <c r="EK110" s="2">
        <v>9001</v>
      </c>
      <c r="EL110" s="2" t="s">
        <v>282</v>
      </c>
      <c r="EM110" s="2" t="s">
        <v>283</v>
      </c>
      <c r="EN110" s="2"/>
      <c r="EO110" s="2" t="s">
        <v>224</v>
      </c>
      <c r="EP110" s="2"/>
      <c r="EQ110" s="2">
        <v>0</v>
      </c>
      <c r="ER110" s="2">
        <v>3739.42</v>
      </c>
      <c r="ES110" s="2">
        <v>3739.42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6"/>
        <v>0</v>
      </c>
      <c r="FS110" s="2">
        <v>0</v>
      </c>
      <c r="FT110" s="2" t="s">
        <v>244</v>
      </c>
      <c r="FU110" s="2" t="s">
        <v>245</v>
      </c>
      <c r="FV110" s="2"/>
      <c r="FW110" s="2"/>
      <c r="FX110" s="2">
        <v>81</v>
      </c>
      <c r="FY110" s="2">
        <v>72.25</v>
      </c>
      <c r="FZ110" s="2"/>
      <c r="GA110" s="2" t="s">
        <v>224</v>
      </c>
      <c r="GB110" s="2"/>
      <c r="GC110" s="2"/>
      <c r="GD110" s="2">
        <v>0</v>
      </c>
      <c r="GE110" s="2"/>
      <c r="GF110" s="2">
        <v>-186276383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7"/>
        <v>0</v>
      </c>
      <c r="GM110" s="2">
        <f t="shared" si="138"/>
        <v>3739.42</v>
      </c>
      <c r="GN110" s="2">
        <f t="shared" si="139"/>
        <v>3739.42</v>
      </c>
      <c r="GO110" s="2">
        <f t="shared" si="140"/>
        <v>0</v>
      </c>
      <c r="GP110" s="2">
        <f t="shared" si="141"/>
        <v>0</v>
      </c>
      <c r="GQ110" s="2"/>
      <c r="GR110" s="2">
        <v>0</v>
      </c>
      <c r="GS110" s="2">
        <v>3</v>
      </c>
      <c r="GT110" s="2">
        <v>0</v>
      </c>
      <c r="GU110" s="2" t="s">
        <v>224</v>
      </c>
      <c r="GV110" s="2">
        <f t="shared" si="142"/>
        <v>0</v>
      </c>
      <c r="GW110" s="2">
        <v>1</v>
      </c>
      <c r="GX110" s="2">
        <f t="shared" si="143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370</v>
      </c>
      <c r="E111" t="s">
        <v>426</v>
      </c>
      <c r="F111" t="s">
        <v>427</v>
      </c>
      <c r="G111" t="s">
        <v>428</v>
      </c>
      <c r="H111" t="s">
        <v>413</v>
      </c>
      <c r="I111">
        <f>I105*J111</f>
        <v>1</v>
      </c>
      <c r="J111">
        <v>9.6993210475266725E-2</v>
      </c>
      <c r="O111">
        <f t="shared" si="111"/>
        <v>22735.67</v>
      </c>
      <c r="P111">
        <f t="shared" si="112"/>
        <v>22735.67</v>
      </c>
      <c r="Q111">
        <f t="shared" si="113"/>
        <v>0</v>
      </c>
      <c r="R111">
        <f t="shared" si="114"/>
        <v>0</v>
      </c>
      <c r="S111">
        <f t="shared" si="115"/>
        <v>0</v>
      </c>
      <c r="T111">
        <f t="shared" si="116"/>
        <v>0</v>
      </c>
      <c r="U111">
        <f t="shared" si="117"/>
        <v>0</v>
      </c>
      <c r="V111">
        <f t="shared" si="118"/>
        <v>0</v>
      </c>
      <c r="W111">
        <f t="shared" si="119"/>
        <v>0</v>
      </c>
      <c r="X111">
        <f t="shared" si="120"/>
        <v>0</v>
      </c>
      <c r="Y111">
        <f t="shared" si="121"/>
        <v>0</v>
      </c>
      <c r="AA111">
        <v>16499878</v>
      </c>
      <c r="AB111">
        <f t="shared" si="122"/>
        <v>3739.42</v>
      </c>
      <c r="AC111">
        <f t="shared" si="108"/>
        <v>3739.42</v>
      </c>
      <c r="AD111">
        <f t="shared" si="146"/>
        <v>0</v>
      </c>
      <c r="AE111">
        <f t="shared" si="147"/>
        <v>0</v>
      </c>
      <c r="AF111">
        <f t="shared" si="147"/>
        <v>0</v>
      </c>
      <c r="AG111">
        <f t="shared" si="123"/>
        <v>0</v>
      </c>
      <c r="AH111">
        <f t="shared" si="148"/>
        <v>0</v>
      </c>
      <c r="AI111">
        <f t="shared" si="148"/>
        <v>0</v>
      </c>
      <c r="AJ111">
        <f t="shared" si="124"/>
        <v>0</v>
      </c>
      <c r="AK111">
        <v>3739.42</v>
      </c>
      <c r="AL111">
        <v>3739.42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81</v>
      </c>
      <c r="AU111">
        <v>72</v>
      </c>
      <c r="AV111">
        <v>1</v>
      </c>
      <c r="AW111">
        <v>1</v>
      </c>
      <c r="AZ111">
        <v>6.08</v>
      </c>
      <c r="BA111">
        <v>1</v>
      </c>
      <c r="BB111">
        <v>1</v>
      </c>
      <c r="BC111">
        <v>6.08</v>
      </c>
      <c r="BD111" t="s">
        <v>224</v>
      </c>
      <c r="BE111" t="s">
        <v>224</v>
      </c>
      <c r="BF111" t="s">
        <v>224</v>
      </c>
      <c r="BG111" t="s">
        <v>224</v>
      </c>
      <c r="BH111">
        <v>3</v>
      </c>
      <c r="BI111">
        <v>1</v>
      </c>
      <c r="BJ111" t="s">
        <v>429</v>
      </c>
      <c r="BM111">
        <v>9001</v>
      </c>
      <c r="BN111">
        <v>0</v>
      </c>
      <c r="BO111" t="s">
        <v>224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224</v>
      </c>
      <c r="BZ111">
        <v>90</v>
      </c>
      <c r="CA111">
        <v>85</v>
      </c>
      <c r="CF111">
        <v>0</v>
      </c>
      <c r="CG111">
        <v>0</v>
      </c>
      <c r="CM111">
        <v>0</v>
      </c>
      <c r="CN111" t="s">
        <v>224</v>
      </c>
      <c r="CO111">
        <v>0</v>
      </c>
      <c r="CP111">
        <f t="shared" si="125"/>
        <v>22735.67</v>
      </c>
      <c r="CQ111">
        <f t="shared" si="126"/>
        <v>22735.673600000002</v>
      </c>
      <c r="CR111">
        <f t="shared" si="127"/>
        <v>0</v>
      </c>
      <c r="CS111">
        <f t="shared" si="128"/>
        <v>0</v>
      </c>
      <c r="CT111">
        <f t="shared" si="129"/>
        <v>0</v>
      </c>
      <c r="CU111">
        <f t="shared" si="130"/>
        <v>0</v>
      </c>
      <c r="CV111">
        <f t="shared" si="131"/>
        <v>0</v>
      </c>
      <c r="CW111">
        <f t="shared" si="132"/>
        <v>0</v>
      </c>
      <c r="CX111">
        <f t="shared" si="133"/>
        <v>0</v>
      </c>
      <c r="CY111">
        <f t="shared" si="134"/>
        <v>0</v>
      </c>
      <c r="CZ111">
        <f t="shared" si="135"/>
        <v>0</v>
      </c>
      <c r="DC111" t="s">
        <v>224</v>
      </c>
      <c r="DD111" t="s">
        <v>224</v>
      </c>
      <c r="DE111" t="s">
        <v>224</v>
      </c>
      <c r="DF111" t="s">
        <v>224</v>
      </c>
      <c r="DG111" t="s">
        <v>224</v>
      </c>
      <c r="DH111" t="s">
        <v>224</v>
      </c>
      <c r="DI111" t="s">
        <v>224</v>
      </c>
      <c r="DJ111" t="s">
        <v>224</v>
      </c>
      <c r="DK111" t="s">
        <v>224</v>
      </c>
      <c r="DL111" t="s">
        <v>224</v>
      </c>
      <c r="DM111" t="s">
        <v>224</v>
      </c>
      <c r="DN111">
        <v>0</v>
      </c>
      <c r="DO111">
        <v>0</v>
      </c>
      <c r="DP111">
        <v>1</v>
      </c>
      <c r="DQ111">
        <v>1</v>
      </c>
      <c r="DU111">
        <v>1010</v>
      </c>
      <c r="DV111" t="s">
        <v>413</v>
      </c>
      <c r="DW111" t="s">
        <v>413</v>
      </c>
      <c r="DX111">
        <v>1</v>
      </c>
      <c r="EE111">
        <v>15139099</v>
      </c>
      <c r="EF111">
        <v>2</v>
      </c>
      <c r="EG111" t="s">
        <v>233</v>
      </c>
      <c r="EH111">
        <v>0</v>
      </c>
      <c r="EI111" t="s">
        <v>224</v>
      </c>
      <c r="EJ111">
        <v>1</v>
      </c>
      <c r="EK111">
        <v>9001</v>
      </c>
      <c r="EL111" t="s">
        <v>282</v>
      </c>
      <c r="EM111" t="s">
        <v>283</v>
      </c>
      <c r="EO111" t="s">
        <v>224</v>
      </c>
      <c r="EQ111">
        <v>0</v>
      </c>
      <c r="ER111">
        <v>3739.42</v>
      </c>
      <c r="ES111">
        <v>3739.42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6"/>
        <v>0</v>
      </c>
      <c r="FS111">
        <v>0</v>
      </c>
      <c r="FT111" t="s">
        <v>244</v>
      </c>
      <c r="FU111" t="s">
        <v>245</v>
      </c>
      <c r="FX111">
        <v>81</v>
      </c>
      <c r="FY111">
        <v>72.25</v>
      </c>
      <c r="GA111" t="s">
        <v>224</v>
      </c>
      <c r="GD111">
        <v>0</v>
      </c>
      <c r="GF111">
        <v>-186276383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7"/>
        <v>0</v>
      </c>
      <c r="GM111">
        <f t="shared" si="138"/>
        <v>22735.67</v>
      </c>
      <c r="GN111">
        <f t="shared" si="139"/>
        <v>22735.67</v>
      </c>
      <c r="GO111">
        <f t="shared" si="140"/>
        <v>0</v>
      </c>
      <c r="GP111">
        <f t="shared" si="141"/>
        <v>0</v>
      </c>
      <c r="GR111">
        <v>0</v>
      </c>
      <c r="GS111">
        <v>3</v>
      </c>
      <c r="GT111">
        <v>0</v>
      </c>
      <c r="GU111" t="s">
        <v>224</v>
      </c>
      <c r="GV111">
        <f t="shared" si="142"/>
        <v>0</v>
      </c>
      <c r="GW111">
        <v>1</v>
      </c>
      <c r="GX111">
        <f t="shared" si="143"/>
        <v>0</v>
      </c>
      <c r="HA111">
        <v>0</v>
      </c>
      <c r="HB111">
        <v>0</v>
      </c>
      <c r="IK111">
        <v>0</v>
      </c>
    </row>
    <row r="113" spans="1:206" x14ac:dyDescent="0.2">
      <c r="A113" s="3">
        <v>51</v>
      </c>
      <c r="B113" s="3">
        <f>B24</f>
        <v>1</v>
      </c>
      <c r="C113" s="3">
        <f>A24</f>
        <v>4</v>
      </c>
      <c r="D113" s="3">
        <f>ROW(A24)</f>
        <v>24</v>
      </c>
      <c r="E113" s="3"/>
      <c r="F113" s="3" t="str">
        <f>IF(F24&lt;&gt;"",F24,"")</f>
        <v>Новый раздел</v>
      </c>
      <c r="G113" s="3" t="str">
        <f>IF(G24&lt;&gt;"",G24,"")</f>
        <v>Общестроительные работы</v>
      </c>
      <c r="H113" s="3">
        <v>0</v>
      </c>
      <c r="I113" s="3"/>
      <c r="J113" s="3"/>
      <c r="K113" s="3"/>
      <c r="L113" s="3"/>
      <c r="M113" s="3"/>
      <c r="N113" s="3"/>
      <c r="O113" s="3">
        <f t="shared" ref="O113:T113" si="149">ROUND(AB113,2)</f>
        <v>160949.64000000001</v>
      </c>
      <c r="P113" s="3">
        <f t="shared" si="149"/>
        <v>138151.51999999999</v>
      </c>
      <c r="Q113" s="3">
        <f t="shared" si="149"/>
        <v>4285.79</v>
      </c>
      <c r="R113" s="3">
        <f t="shared" si="149"/>
        <v>442.42</v>
      </c>
      <c r="S113" s="3">
        <f t="shared" si="149"/>
        <v>18512.330000000002</v>
      </c>
      <c r="T113" s="3">
        <f t="shared" si="149"/>
        <v>0</v>
      </c>
      <c r="U113" s="3">
        <f>AH113</f>
        <v>2065.0245179999993</v>
      </c>
      <c r="V113" s="3">
        <f>AI113</f>
        <v>39.692574999999998</v>
      </c>
      <c r="W113" s="3">
        <f>ROUND(AJ113,2)</f>
        <v>0</v>
      </c>
      <c r="X113" s="3">
        <f>ROUND(AK113,2)</f>
        <v>19207.330000000002</v>
      </c>
      <c r="Y113" s="3">
        <f>ROUND(AL113,2)</f>
        <v>10274.56</v>
      </c>
      <c r="Z113" s="3"/>
      <c r="AA113" s="3"/>
      <c r="AB113" s="3">
        <f>ROUND(SUMIF(AA28:AA111,"=16499835",O28:O111),2)</f>
        <v>160949.64000000001</v>
      </c>
      <c r="AC113" s="3">
        <f>ROUND(SUMIF(AA28:AA111,"=16499835",P28:P111),2)</f>
        <v>138151.51999999999</v>
      </c>
      <c r="AD113" s="3">
        <f>ROUND(SUMIF(AA28:AA111,"=16499835",Q28:Q111),2)</f>
        <v>4285.79</v>
      </c>
      <c r="AE113" s="3">
        <f>ROUND(SUMIF(AA28:AA111,"=16499835",R28:R111),2)</f>
        <v>442.42</v>
      </c>
      <c r="AF113" s="3">
        <f>ROUND(SUMIF(AA28:AA111,"=16499835",S28:S111),2)</f>
        <v>18512.330000000002</v>
      </c>
      <c r="AG113" s="3">
        <f>ROUND(SUMIF(AA28:AA111,"=16499835",T28:T111),2)</f>
        <v>0</v>
      </c>
      <c r="AH113" s="3">
        <f>SUMIF(AA28:AA111,"=16499835",U28:U111)</f>
        <v>2065.0245179999993</v>
      </c>
      <c r="AI113" s="3">
        <f>SUMIF(AA28:AA111,"=16499835",V28:V111)</f>
        <v>39.692574999999998</v>
      </c>
      <c r="AJ113" s="3">
        <f>ROUND(SUMIF(AA28:AA111,"=16499835",W28:W111),2)</f>
        <v>0</v>
      </c>
      <c r="AK113" s="3">
        <f>ROUND(SUMIF(AA28:AA111,"=16499835",X28:X111),2)</f>
        <v>19207.330000000002</v>
      </c>
      <c r="AL113" s="3">
        <f>ROUND(SUMIF(AA28:AA111,"=16499835",Y28:Y111),2)</f>
        <v>10274.56</v>
      </c>
      <c r="AM113" s="3"/>
      <c r="AN113" s="3"/>
      <c r="AO113" s="3">
        <f t="shared" ref="AO113:BC113" si="150">ROUND(BX113,2)</f>
        <v>0</v>
      </c>
      <c r="AP113" s="3">
        <f t="shared" si="150"/>
        <v>0</v>
      </c>
      <c r="AQ113" s="3">
        <f t="shared" si="150"/>
        <v>0</v>
      </c>
      <c r="AR113" s="3">
        <f t="shared" si="150"/>
        <v>190431.53</v>
      </c>
      <c r="AS113" s="3">
        <f t="shared" si="150"/>
        <v>190431.53</v>
      </c>
      <c r="AT113" s="3">
        <f t="shared" si="150"/>
        <v>0</v>
      </c>
      <c r="AU113" s="3">
        <f t="shared" si="150"/>
        <v>0</v>
      </c>
      <c r="AV113" s="3">
        <f t="shared" si="150"/>
        <v>138151.51999999999</v>
      </c>
      <c r="AW113" s="3">
        <f t="shared" si="150"/>
        <v>138151.51999999999</v>
      </c>
      <c r="AX113" s="3">
        <f t="shared" si="150"/>
        <v>0</v>
      </c>
      <c r="AY113" s="3">
        <f t="shared" si="150"/>
        <v>138151.51999999999</v>
      </c>
      <c r="AZ113" s="3">
        <f t="shared" si="150"/>
        <v>0</v>
      </c>
      <c r="BA113" s="3">
        <f t="shared" si="150"/>
        <v>0</v>
      </c>
      <c r="BB113" s="3">
        <f t="shared" si="150"/>
        <v>0</v>
      </c>
      <c r="BC113" s="3">
        <f t="shared" si="150"/>
        <v>0</v>
      </c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>
        <f>ROUND(SUMIF(AA28:AA111,"=16499835",FQ28:FQ111),2)</f>
        <v>0</v>
      </c>
      <c r="BY113" s="3">
        <f>ROUND(SUMIF(AA28:AA111,"=16499835",FR28:FR111),2)</f>
        <v>0</v>
      </c>
      <c r="BZ113" s="3">
        <f>ROUND(SUMIF(AA28:AA111,"=16499835",GL28:GL111),2)</f>
        <v>0</v>
      </c>
      <c r="CA113" s="3">
        <f>ROUND(SUMIF(AA28:AA111,"=16499835",GM28:GM111),2)</f>
        <v>190431.53</v>
      </c>
      <c r="CB113" s="3">
        <f>ROUND(SUMIF(AA28:AA111,"=16499835",GN28:GN111),2)</f>
        <v>190431.53</v>
      </c>
      <c r="CC113" s="3">
        <f>ROUND(SUMIF(AA28:AA111,"=16499835",GO28:GO111),2)</f>
        <v>0</v>
      </c>
      <c r="CD113" s="3">
        <f>ROUND(SUMIF(AA28:AA111,"=16499835",GP28:GP111),2)</f>
        <v>0</v>
      </c>
      <c r="CE113" s="3">
        <f>AC113-BX113</f>
        <v>138151.51999999999</v>
      </c>
      <c r="CF113" s="3">
        <f>AC113-BY113</f>
        <v>138151.51999999999</v>
      </c>
      <c r="CG113" s="3">
        <f>BX113-BZ113</f>
        <v>0</v>
      </c>
      <c r="CH113" s="3">
        <f>AC113-BX113-BY113+BZ113</f>
        <v>138151.51999999999</v>
      </c>
      <c r="CI113" s="3">
        <f>BY113-BZ113</f>
        <v>0</v>
      </c>
      <c r="CJ113" s="3">
        <f>ROUND(SUMIF(AA28:AA111,"=16499835",GX28:GX111),2)</f>
        <v>0</v>
      </c>
      <c r="CK113" s="3">
        <f>ROUND(SUMIF(AA28:AA111,"=16499835",GY28:GY111),2)</f>
        <v>0</v>
      </c>
      <c r="CL113" s="3">
        <f>ROUND(SUMIF(AA28:AA111,"=16499835",GZ28:GZ111),2)</f>
        <v>0</v>
      </c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4">
        <f t="shared" ref="DG113:DL113" si="151">ROUND(DT113,2)</f>
        <v>977252.72</v>
      </c>
      <c r="DH113" s="4">
        <f t="shared" si="151"/>
        <v>838722.49</v>
      </c>
      <c r="DI113" s="4">
        <f t="shared" si="151"/>
        <v>26057.58</v>
      </c>
      <c r="DJ113" s="4">
        <f t="shared" si="151"/>
        <v>2689.86</v>
      </c>
      <c r="DK113" s="4">
        <f t="shared" si="151"/>
        <v>112472.65</v>
      </c>
      <c r="DL113" s="4">
        <f t="shared" si="151"/>
        <v>0</v>
      </c>
      <c r="DM113" s="4">
        <f>DZ113</f>
        <v>2063.4745019999991</v>
      </c>
      <c r="DN113" s="4">
        <f>EA113</f>
        <v>39.692574999999998</v>
      </c>
      <c r="DO113" s="4">
        <f>ROUND(EB113,2)</f>
        <v>0</v>
      </c>
      <c r="DP113" s="4">
        <f>ROUND(EC113,2)</f>
        <v>116689</v>
      </c>
      <c r="DQ113" s="4">
        <f>ROUND(ED113,2)</f>
        <v>62416.6</v>
      </c>
      <c r="DR113" s="4"/>
      <c r="DS113" s="4"/>
      <c r="DT113" s="4">
        <f>ROUND(SUMIF(AA28:AA111,"=16499878",O28:O111),2)</f>
        <v>977252.72</v>
      </c>
      <c r="DU113" s="4">
        <f>ROUND(SUMIF(AA28:AA111,"=16499878",P28:P111),2)</f>
        <v>838722.49</v>
      </c>
      <c r="DV113" s="4">
        <f>ROUND(SUMIF(AA28:AA111,"=16499878",Q28:Q111),2)</f>
        <v>26057.58</v>
      </c>
      <c r="DW113" s="4">
        <f>ROUND(SUMIF(AA28:AA111,"=16499878",R28:R111),2)</f>
        <v>2689.86</v>
      </c>
      <c r="DX113" s="4">
        <f>ROUND(SUMIF(AA28:AA111,"=16499878",S28:S111),2)</f>
        <v>112472.65</v>
      </c>
      <c r="DY113" s="4">
        <f>ROUND(SUMIF(AA28:AA111,"=16499878",T28:T111),2)</f>
        <v>0</v>
      </c>
      <c r="DZ113" s="4">
        <f>SUMIF(AA28:AA111,"=16499878",U28:U111)</f>
        <v>2063.4745019999991</v>
      </c>
      <c r="EA113" s="4">
        <f>SUMIF(AA28:AA111,"=16499878",V28:V111)</f>
        <v>39.692574999999998</v>
      </c>
      <c r="EB113" s="4">
        <f>ROUND(SUMIF(AA28:AA111,"=16499878",W28:W111),2)</f>
        <v>0</v>
      </c>
      <c r="EC113" s="4">
        <f>ROUND(SUMIF(AA28:AA111,"=16499878",X28:X111),2)</f>
        <v>116689</v>
      </c>
      <c r="ED113" s="4">
        <f>ROUND(SUMIF(AA28:AA111,"=16499878",Y28:Y111),2)</f>
        <v>62416.6</v>
      </c>
      <c r="EE113" s="4"/>
      <c r="EF113" s="4"/>
      <c r="EG113" s="4">
        <f t="shared" ref="EG113:EU113" si="152">ROUND(FP113,2)</f>
        <v>0</v>
      </c>
      <c r="EH113" s="4">
        <f t="shared" si="152"/>
        <v>0</v>
      </c>
      <c r="EI113" s="4">
        <f t="shared" si="152"/>
        <v>0</v>
      </c>
      <c r="EJ113" s="4">
        <f t="shared" si="152"/>
        <v>1156358.32</v>
      </c>
      <c r="EK113" s="4">
        <f t="shared" si="152"/>
        <v>1156358.32</v>
      </c>
      <c r="EL113" s="4">
        <f t="shared" si="152"/>
        <v>0</v>
      </c>
      <c r="EM113" s="4">
        <f t="shared" si="152"/>
        <v>0</v>
      </c>
      <c r="EN113" s="4">
        <f t="shared" si="152"/>
        <v>838722.49</v>
      </c>
      <c r="EO113" s="4">
        <f t="shared" si="152"/>
        <v>838722.49</v>
      </c>
      <c r="EP113" s="4">
        <f t="shared" si="152"/>
        <v>0</v>
      </c>
      <c r="EQ113" s="4">
        <f t="shared" si="152"/>
        <v>838722.49</v>
      </c>
      <c r="ER113" s="4">
        <f t="shared" si="152"/>
        <v>0</v>
      </c>
      <c r="ES113" s="4">
        <f t="shared" si="152"/>
        <v>0</v>
      </c>
      <c r="ET113" s="4">
        <f t="shared" si="152"/>
        <v>0</v>
      </c>
      <c r="EU113" s="4">
        <f t="shared" si="152"/>
        <v>0</v>
      </c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>
        <f>ROUND(SUMIF(AA28:AA111,"=16499878",FQ28:FQ111),2)</f>
        <v>0</v>
      </c>
      <c r="FQ113" s="4">
        <f>ROUND(SUMIF(AA28:AA111,"=16499878",FR28:FR111),2)</f>
        <v>0</v>
      </c>
      <c r="FR113" s="4">
        <f>ROUND(SUMIF(AA28:AA111,"=16499878",GL28:GL111),2)</f>
        <v>0</v>
      </c>
      <c r="FS113" s="4">
        <f>ROUND(SUMIF(AA28:AA111,"=16499878",GM28:GM111),2)</f>
        <v>1156358.32</v>
      </c>
      <c r="FT113" s="4">
        <f>ROUND(SUMIF(AA28:AA111,"=16499878",GN28:GN111),2)</f>
        <v>1156358.32</v>
      </c>
      <c r="FU113" s="4">
        <f>ROUND(SUMIF(AA28:AA111,"=16499878",GO28:GO111),2)</f>
        <v>0</v>
      </c>
      <c r="FV113" s="4">
        <f>ROUND(SUMIF(AA28:AA111,"=16499878",GP28:GP111),2)</f>
        <v>0</v>
      </c>
      <c r="FW113" s="4">
        <f>DU113-FP113</f>
        <v>838722.49</v>
      </c>
      <c r="FX113" s="4">
        <f>DU113-FQ113</f>
        <v>838722.49</v>
      </c>
      <c r="FY113" s="4">
        <f>FP113-FR113</f>
        <v>0</v>
      </c>
      <c r="FZ113" s="4">
        <f>DU113-FP113-FQ113+FR113</f>
        <v>838722.49</v>
      </c>
      <c r="GA113" s="4">
        <f>FQ113-FR113</f>
        <v>0</v>
      </c>
      <c r="GB113" s="4">
        <f>ROUND(SUMIF(AA28:AA111,"=16499878",GX28:GX111),2)</f>
        <v>0</v>
      </c>
      <c r="GC113" s="4">
        <f>ROUND(SUMIF(AA28:AA111,"=16499878",GY28:GY111),2)</f>
        <v>0</v>
      </c>
      <c r="GD113" s="4">
        <f>ROUND(SUMIF(AA28:AA111,"=16499878",GZ28:GZ111),2)</f>
        <v>0</v>
      </c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>
        <v>0</v>
      </c>
    </row>
    <row r="115" spans="1:206" x14ac:dyDescent="0.2">
      <c r="A115" s="5">
        <v>50</v>
      </c>
      <c r="B115" s="5">
        <v>0</v>
      </c>
      <c r="C115" s="5">
        <v>0</v>
      </c>
      <c r="D115" s="5">
        <v>1</v>
      </c>
      <c r="E115" s="5">
        <v>201</v>
      </c>
      <c r="F115" s="5">
        <f>ROUND(Source!O113,O115)</f>
        <v>160949.64000000001</v>
      </c>
      <c r="G115" s="5" t="s">
        <v>430</v>
      </c>
      <c r="H115" s="5" t="s">
        <v>431</v>
      </c>
      <c r="I115" s="5"/>
      <c r="J115" s="5"/>
      <c r="K115" s="5">
        <v>201</v>
      </c>
      <c r="L115" s="5">
        <v>1</v>
      </c>
      <c r="M115" s="5">
        <v>3</v>
      </c>
      <c r="N115" s="5" t="s">
        <v>224</v>
      </c>
      <c r="O115" s="5">
        <v>2</v>
      </c>
      <c r="P115" s="5">
        <f>ROUND(Source!DG113,O115)</f>
        <v>977252.72</v>
      </c>
      <c r="Q115" s="5"/>
      <c r="R115" s="5"/>
      <c r="S115" s="5"/>
      <c r="T115" s="5"/>
      <c r="U115" s="5"/>
      <c r="V115" s="5"/>
      <c r="W115" s="5"/>
    </row>
    <row r="116" spans="1:206" x14ac:dyDescent="0.2">
      <c r="A116" s="5">
        <v>50</v>
      </c>
      <c r="B116" s="5">
        <v>0</v>
      </c>
      <c r="C116" s="5">
        <v>0</v>
      </c>
      <c r="D116" s="5">
        <v>1</v>
      </c>
      <c r="E116" s="5">
        <v>202</v>
      </c>
      <c r="F116" s="5">
        <f>ROUND(Source!P113,O116)</f>
        <v>138151.51999999999</v>
      </c>
      <c r="G116" s="5" t="s">
        <v>432</v>
      </c>
      <c r="H116" s="5" t="s">
        <v>433</v>
      </c>
      <c r="I116" s="5"/>
      <c r="J116" s="5"/>
      <c r="K116" s="5">
        <v>202</v>
      </c>
      <c r="L116" s="5">
        <v>2</v>
      </c>
      <c r="M116" s="5">
        <v>3</v>
      </c>
      <c r="N116" s="5" t="s">
        <v>224</v>
      </c>
      <c r="O116" s="5">
        <v>2</v>
      </c>
      <c r="P116" s="5">
        <f>ROUND(Source!DH113,O116)</f>
        <v>838722.49</v>
      </c>
      <c r="Q116" s="5"/>
      <c r="R116" s="5"/>
      <c r="S116" s="5"/>
      <c r="T116" s="5"/>
      <c r="U116" s="5"/>
      <c r="V116" s="5"/>
      <c r="W116" s="5"/>
    </row>
    <row r="117" spans="1:206" x14ac:dyDescent="0.2">
      <c r="A117" s="5">
        <v>50</v>
      </c>
      <c r="B117" s="5">
        <v>0</v>
      </c>
      <c r="C117" s="5">
        <v>0</v>
      </c>
      <c r="D117" s="5">
        <v>1</v>
      </c>
      <c r="E117" s="5">
        <v>222</v>
      </c>
      <c r="F117" s="5">
        <f>ROUND(Source!AO113,O117)</f>
        <v>0</v>
      </c>
      <c r="G117" s="5" t="s">
        <v>434</v>
      </c>
      <c r="H117" s="5" t="s">
        <v>435</v>
      </c>
      <c r="I117" s="5"/>
      <c r="J117" s="5"/>
      <c r="K117" s="5">
        <v>222</v>
      </c>
      <c r="L117" s="5">
        <v>3</v>
      </c>
      <c r="M117" s="5">
        <v>3</v>
      </c>
      <c r="N117" s="5" t="s">
        <v>224</v>
      </c>
      <c r="O117" s="5">
        <v>2</v>
      </c>
      <c r="P117" s="5">
        <f>ROUND(Source!EG113,O117)</f>
        <v>0</v>
      </c>
      <c r="Q117" s="5"/>
      <c r="R117" s="5"/>
      <c r="S117" s="5"/>
      <c r="T117" s="5"/>
      <c r="U117" s="5"/>
      <c r="V117" s="5"/>
      <c r="W117" s="5"/>
    </row>
    <row r="118" spans="1:206" x14ac:dyDescent="0.2">
      <c r="A118" s="5">
        <v>50</v>
      </c>
      <c r="B118" s="5">
        <v>0</v>
      </c>
      <c r="C118" s="5">
        <v>0</v>
      </c>
      <c r="D118" s="5">
        <v>1</v>
      </c>
      <c r="E118" s="5">
        <v>225</v>
      </c>
      <c r="F118" s="5">
        <f>ROUND(Source!AV113,O118)</f>
        <v>138151.51999999999</v>
      </c>
      <c r="G118" s="5" t="s">
        <v>436</v>
      </c>
      <c r="H118" s="5" t="s">
        <v>437</v>
      </c>
      <c r="I118" s="5"/>
      <c r="J118" s="5"/>
      <c r="K118" s="5">
        <v>225</v>
      </c>
      <c r="L118" s="5">
        <v>4</v>
      </c>
      <c r="M118" s="5">
        <v>3</v>
      </c>
      <c r="N118" s="5" t="s">
        <v>224</v>
      </c>
      <c r="O118" s="5">
        <v>2</v>
      </c>
      <c r="P118" s="5">
        <f>ROUND(Source!EN113,O118)</f>
        <v>838722.49</v>
      </c>
      <c r="Q118" s="5"/>
      <c r="R118" s="5"/>
      <c r="S118" s="5"/>
      <c r="T118" s="5"/>
      <c r="U118" s="5"/>
      <c r="V118" s="5"/>
      <c r="W118" s="5"/>
    </row>
    <row r="119" spans="1:206" x14ac:dyDescent="0.2">
      <c r="A119" s="5">
        <v>50</v>
      </c>
      <c r="B119" s="5">
        <v>0</v>
      </c>
      <c r="C119" s="5">
        <v>0</v>
      </c>
      <c r="D119" s="5">
        <v>1</v>
      </c>
      <c r="E119" s="5">
        <v>226</v>
      </c>
      <c r="F119" s="5">
        <f>ROUND(Source!AW113,O119)</f>
        <v>138151.51999999999</v>
      </c>
      <c r="G119" s="5" t="s">
        <v>438</v>
      </c>
      <c r="H119" s="5" t="s">
        <v>439</v>
      </c>
      <c r="I119" s="5"/>
      <c r="J119" s="5"/>
      <c r="K119" s="5">
        <v>226</v>
      </c>
      <c r="L119" s="5">
        <v>5</v>
      </c>
      <c r="M119" s="5">
        <v>3</v>
      </c>
      <c r="N119" s="5" t="s">
        <v>224</v>
      </c>
      <c r="O119" s="5">
        <v>2</v>
      </c>
      <c r="P119" s="5">
        <f>ROUND(Source!EO113,O119)</f>
        <v>838722.49</v>
      </c>
      <c r="Q119" s="5"/>
      <c r="R119" s="5"/>
      <c r="S119" s="5"/>
      <c r="T119" s="5"/>
      <c r="U119" s="5"/>
      <c r="V119" s="5"/>
      <c r="W119" s="5"/>
    </row>
    <row r="120" spans="1:206" x14ac:dyDescent="0.2">
      <c r="A120" s="5">
        <v>50</v>
      </c>
      <c r="B120" s="5">
        <v>0</v>
      </c>
      <c r="C120" s="5">
        <v>0</v>
      </c>
      <c r="D120" s="5">
        <v>1</v>
      </c>
      <c r="E120" s="5">
        <v>227</v>
      </c>
      <c r="F120" s="5">
        <f>ROUND(Source!AX113,O120)</f>
        <v>0</v>
      </c>
      <c r="G120" s="5" t="s">
        <v>440</v>
      </c>
      <c r="H120" s="5" t="s">
        <v>441</v>
      </c>
      <c r="I120" s="5"/>
      <c r="J120" s="5"/>
      <c r="K120" s="5">
        <v>227</v>
      </c>
      <c r="L120" s="5">
        <v>6</v>
      </c>
      <c r="M120" s="5">
        <v>3</v>
      </c>
      <c r="N120" s="5" t="s">
        <v>224</v>
      </c>
      <c r="O120" s="5">
        <v>2</v>
      </c>
      <c r="P120" s="5">
        <f>ROUND(Source!EP113,O120)</f>
        <v>0</v>
      </c>
      <c r="Q120" s="5"/>
      <c r="R120" s="5"/>
      <c r="S120" s="5"/>
      <c r="T120" s="5"/>
      <c r="U120" s="5"/>
      <c r="V120" s="5"/>
      <c r="W120" s="5"/>
    </row>
    <row r="121" spans="1:206" x14ac:dyDescent="0.2">
      <c r="A121" s="5">
        <v>50</v>
      </c>
      <c r="B121" s="5">
        <v>0</v>
      </c>
      <c r="C121" s="5">
        <v>0</v>
      </c>
      <c r="D121" s="5">
        <v>1</v>
      </c>
      <c r="E121" s="5">
        <v>228</v>
      </c>
      <c r="F121" s="5">
        <f>ROUND(Source!AY113,O121)</f>
        <v>138151.51999999999</v>
      </c>
      <c r="G121" s="5" t="s">
        <v>442</v>
      </c>
      <c r="H121" s="5" t="s">
        <v>443</v>
      </c>
      <c r="I121" s="5"/>
      <c r="J121" s="5"/>
      <c r="K121" s="5">
        <v>228</v>
      </c>
      <c r="L121" s="5">
        <v>7</v>
      </c>
      <c r="M121" s="5">
        <v>3</v>
      </c>
      <c r="N121" s="5" t="s">
        <v>224</v>
      </c>
      <c r="O121" s="5">
        <v>2</v>
      </c>
      <c r="P121" s="5">
        <f>ROUND(Source!EQ113,O121)</f>
        <v>838722.49</v>
      </c>
      <c r="Q121" s="5"/>
      <c r="R121" s="5"/>
      <c r="S121" s="5"/>
      <c r="T121" s="5"/>
      <c r="U121" s="5"/>
      <c r="V121" s="5"/>
      <c r="W121" s="5"/>
    </row>
    <row r="122" spans="1:206" x14ac:dyDescent="0.2">
      <c r="A122" s="5">
        <v>50</v>
      </c>
      <c r="B122" s="5">
        <v>0</v>
      </c>
      <c r="C122" s="5">
        <v>0</v>
      </c>
      <c r="D122" s="5">
        <v>1</v>
      </c>
      <c r="E122" s="5">
        <v>216</v>
      </c>
      <c r="F122" s="5">
        <f>ROUND(Source!AP113,O122)</f>
        <v>0</v>
      </c>
      <c r="G122" s="5" t="s">
        <v>444</v>
      </c>
      <c r="H122" s="5" t="s">
        <v>445</v>
      </c>
      <c r="I122" s="5"/>
      <c r="J122" s="5"/>
      <c r="K122" s="5">
        <v>216</v>
      </c>
      <c r="L122" s="5">
        <v>8</v>
      </c>
      <c r="M122" s="5">
        <v>3</v>
      </c>
      <c r="N122" s="5" t="s">
        <v>224</v>
      </c>
      <c r="O122" s="5">
        <v>2</v>
      </c>
      <c r="P122" s="5">
        <f>ROUND(Source!EH113,O122)</f>
        <v>0</v>
      </c>
      <c r="Q122" s="5"/>
      <c r="R122" s="5"/>
      <c r="S122" s="5"/>
      <c r="T122" s="5"/>
      <c r="U122" s="5"/>
      <c r="V122" s="5"/>
      <c r="W122" s="5"/>
    </row>
    <row r="123" spans="1:206" x14ac:dyDescent="0.2">
      <c r="A123" s="5">
        <v>50</v>
      </c>
      <c r="B123" s="5">
        <v>0</v>
      </c>
      <c r="C123" s="5">
        <v>0</v>
      </c>
      <c r="D123" s="5">
        <v>1</v>
      </c>
      <c r="E123" s="5">
        <v>223</v>
      </c>
      <c r="F123" s="5">
        <f>ROUND(Source!AQ113,O123)</f>
        <v>0</v>
      </c>
      <c r="G123" s="5" t="s">
        <v>446</v>
      </c>
      <c r="H123" s="5" t="s">
        <v>447</v>
      </c>
      <c r="I123" s="5"/>
      <c r="J123" s="5"/>
      <c r="K123" s="5">
        <v>223</v>
      </c>
      <c r="L123" s="5">
        <v>9</v>
      </c>
      <c r="M123" s="5">
        <v>3</v>
      </c>
      <c r="N123" s="5" t="s">
        <v>224</v>
      </c>
      <c r="O123" s="5">
        <v>2</v>
      </c>
      <c r="P123" s="5">
        <f>ROUND(Source!EI113,O123)</f>
        <v>0</v>
      </c>
      <c r="Q123" s="5"/>
      <c r="R123" s="5"/>
      <c r="S123" s="5"/>
      <c r="T123" s="5"/>
      <c r="U123" s="5"/>
      <c r="V123" s="5"/>
      <c r="W123" s="5"/>
    </row>
    <row r="124" spans="1:206" x14ac:dyDescent="0.2">
      <c r="A124" s="5">
        <v>50</v>
      </c>
      <c r="B124" s="5">
        <v>0</v>
      </c>
      <c r="C124" s="5">
        <v>0</v>
      </c>
      <c r="D124" s="5">
        <v>1</v>
      </c>
      <c r="E124" s="5">
        <v>229</v>
      </c>
      <c r="F124" s="5">
        <f>ROUND(Source!AZ113,O124)</f>
        <v>0</v>
      </c>
      <c r="G124" s="5" t="s">
        <v>448</v>
      </c>
      <c r="H124" s="5" t="s">
        <v>449</v>
      </c>
      <c r="I124" s="5"/>
      <c r="J124" s="5"/>
      <c r="K124" s="5">
        <v>229</v>
      </c>
      <c r="L124" s="5">
        <v>10</v>
      </c>
      <c r="M124" s="5">
        <v>3</v>
      </c>
      <c r="N124" s="5" t="s">
        <v>224</v>
      </c>
      <c r="O124" s="5">
        <v>2</v>
      </c>
      <c r="P124" s="5">
        <f>ROUND(Source!ER113,O124)</f>
        <v>0</v>
      </c>
      <c r="Q124" s="5"/>
      <c r="R124" s="5"/>
      <c r="S124" s="5"/>
      <c r="T124" s="5"/>
      <c r="U124" s="5"/>
      <c r="V124" s="5"/>
      <c r="W124" s="5"/>
    </row>
    <row r="125" spans="1:206" x14ac:dyDescent="0.2">
      <c r="A125" s="5">
        <v>50</v>
      </c>
      <c r="B125" s="5">
        <v>0</v>
      </c>
      <c r="C125" s="5">
        <v>0</v>
      </c>
      <c r="D125" s="5">
        <v>1</v>
      </c>
      <c r="E125" s="5">
        <v>203</v>
      </c>
      <c r="F125" s="5">
        <f>ROUND(Source!Q113,O125)</f>
        <v>4285.79</v>
      </c>
      <c r="G125" s="5" t="s">
        <v>450</v>
      </c>
      <c r="H125" s="5" t="s">
        <v>451</v>
      </c>
      <c r="I125" s="5"/>
      <c r="J125" s="5"/>
      <c r="K125" s="5">
        <v>203</v>
      </c>
      <c r="L125" s="5">
        <v>11</v>
      </c>
      <c r="M125" s="5">
        <v>3</v>
      </c>
      <c r="N125" s="5" t="s">
        <v>224</v>
      </c>
      <c r="O125" s="5">
        <v>2</v>
      </c>
      <c r="P125" s="5">
        <f>ROUND(Source!DI113,O125)</f>
        <v>26057.58</v>
      </c>
      <c r="Q125" s="5"/>
      <c r="R125" s="5"/>
      <c r="S125" s="5"/>
      <c r="T125" s="5"/>
      <c r="U125" s="5"/>
      <c r="V125" s="5"/>
      <c r="W125" s="5"/>
    </row>
    <row r="126" spans="1:206" x14ac:dyDescent="0.2">
      <c r="A126" s="5">
        <v>50</v>
      </c>
      <c r="B126" s="5">
        <v>0</v>
      </c>
      <c r="C126" s="5">
        <v>0</v>
      </c>
      <c r="D126" s="5">
        <v>1</v>
      </c>
      <c r="E126" s="5">
        <v>231</v>
      </c>
      <c r="F126" s="5">
        <f>ROUND(Source!BB113,O126)</f>
        <v>0</v>
      </c>
      <c r="G126" s="5" t="s">
        <v>452</v>
      </c>
      <c r="H126" s="5" t="s">
        <v>453</v>
      </c>
      <c r="I126" s="5"/>
      <c r="J126" s="5"/>
      <c r="K126" s="5">
        <v>231</v>
      </c>
      <c r="L126" s="5">
        <v>12</v>
      </c>
      <c r="M126" s="5">
        <v>3</v>
      </c>
      <c r="N126" s="5" t="s">
        <v>224</v>
      </c>
      <c r="O126" s="5">
        <v>2</v>
      </c>
      <c r="P126" s="5">
        <f>ROUND(Source!ET113,O126)</f>
        <v>0</v>
      </c>
      <c r="Q126" s="5"/>
      <c r="R126" s="5"/>
      <c r="S126" s="5"/>
      <c r="T126" s="5"/>
      <c r="U126" s="5"/>
      <c r="V126" s="5"/>
      <c r="W126" s="5"/>
    </row>
    <row r="127" spans="1:206" x14ac:dyDescent="0.2">
      <c r="A127" s="5">
        <v>50</v>
      </c>
      <c r="B127" s="5">
        <v>0</v>
      </c>
      <c r="C127" s="5">
        <v>0</v>
      </c>
      <c r="D127" s="5">
        <v>1</v>
      </c>
      <c r="E127" s="5">
        <v>204</v>
      </c>
      <c r="F127" s="5">
        <f>ROUND(Source!R113,O127)</f>
        <v>442.42</v>
      </c>
      <c r="G127" s="5" t="s">
        <v>454</v>
      </c>
      <c r="H127" s="5" t="s">
        <v>455</v>
      </c>
      <c r="I127" s="5"/>
      <c r="J127" s="5"/>
      <c r="K127" s="5">
        <v>204</v>
      </c>
      <c r="L127" s="5">
        <v>13</v>
      </c>
      <c r="M127" s="5">
        <v>3</v>
      </c>
      <c r="N127" s="5" t="s">
        <v>224</v>
      </c>
      <c r="O127" s="5">
        <v>2</v>
      </c>
      <c r="P127" s="5">
        <f>ROUND(Source!DJ113,O127)</f>
        <v>2689.86</v>
      </c>
      <c r="Q127" s="5"/>
      <c r="R127" s="5"/>
      <c r="S127" s="5"/>
      <c r="T127" s="5"/>
      <c r="U127" s="5"/>
      <c r="V127" s="5"/>
      <c r="W127" s="5"/>
    </row>
    <row r="128" spans="1:206" x14ac:dyDescent="0.2">
      <c r="A128" s="5">
        <v>50</v>
      </c>
      <c r="B128" s="5">
        <v>0</v>
      </c>
      <c r="C128" s="5">
        <v>0</v>
      </c>
      <c r="D128" s="5">
        <v>1</v>
      </c>
      <c r="E128" s="5">
        <v>205</v>
      </c>
      <c r="F128" s="5">
        <f>ROUND(Source!S113,O128)</f>
        <v>18512.330000000002</v>
      </c>
      <c r="G128" s="5" t="s">
        <v>456</v>
      </c>
      <c r="H128" s="5" t="s">
        <v>457</v>
      </c>
      <c r="I128" s="5"/>
      <c r="J128" s="5"/>
      <c r="K128" s="5">
        <v>205</v>
      </c>
      <c r="L128" s="5">
        <v>14</v>
      </c>
      <c r="M128" s="5">
        <v>3</v>
      </c>
      <c r="N128" s="5" t="s">
        <v>224</v>
      </c>
      <c r="O128" s="5">
        <v>2</v>
      </c>
      <c r="P128" s="5">
        <f>ROUND(Source!DK113,O128)</f>
        <v>112472.65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232</v>
      </c>
      <c r="F129" s="5">
        <f>ROUND(Source!BC113,O129)</f>
        <v>0</v>
      </c>
      <c r="G129" s="5" t="s">
        <v>458</v>
      </c>
      <c r="H129" s="5" t="s">
        <v>459</v>
      </c>
      <c r="I129" s="5"/>
      <c r="J129" s="5"/>
      <c r="K129" s="5">
        <v>232</v>
      </c>
      <c r="L129" s="5">
        <v>15</v>
      </c>
      <c r="M129" s="5">
        <v>3</v>
      </c>
      <c r="N129" s="5" t="s">
        <v>224</v>
      </c>
      <c r="O129" s="5">
        <v>2</v>
      </c>
      <c r="P129" s="5">
        <f>ROUND(Source!EU113,O129)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214</v>
      </c>
      <c r="F130" s="5">
        <f>ROUND(Source!AS113,O130)</f>
        <v>190431.53</v>
      </c>
      <c r="G130" s="5" t="s">
        <v>460</v>
      </c>
      <c r="H130" s="5" t="s">
        <v>461</v>
      </c>
      <c r="I130" s="5"/>
      <c r="J130" s="5"/>
      <c r="K130" s="5">
        <v>214</v>
      </c>
      <c r="L130" s="5">
        <v>16</v>
      </c>
      <c r="M130" s="5">
        <v>3</v>
      </c>
      <c r="N130" s="5" t="s">
        <v>224</v>
      </c>
      <c r="O130" s="5">
        <v>2</v>
      </c>
      <c r="P130" s="5">
        <f>ROUND(Source!EK113,O130)</f>
        <v>1156358.32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215</v>
      </c>
      <c r="F131" s="5">
        <f>ROUND(Source!AT113,O131)</f>
        <v>0</v>
      </c>
      <c r="G131" s="5" t="s">
        <v>462</v>
      </c>
      <c r="H131" s="5" t="s">
        <v>463</v>
      </c>
      <c r="I131" s="5"/>
      <c r="J131" s="5"/>
      <c r="K131" s="5">
        <v>215</v>
      </c>
      <c r="L131" s="5">
        <v>17</v>
      </c>
      <c r="M131" s="5">
        <v>3</v>
      </c>
      <c r="N131" s="5" t="s">
        <v>224</v>
      </c>
      <c r="O131" s="5">
        <v>2</v>
      </c>
      <c r="P131" s="5">
        <f>ROUND(Source!EL113,O131)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217</v>
      </c>
      <c r="F132" s="5">
        <f>ROUND(Source!AU113,O132)</f>
        <v>0</v>
      </c>
      <c r="G132" s="5" t="s">
        <v>464</v>
      </c>
      <c r="H132" s="5" t="s">
        <v>465</v>
      </c>
      <c r="I132" s="5"/>
      <c r="J132" s="5"/>
      <c r="K132" s="5">
        <v>217</v>
      </c>
      <c r="L132" s="5">
        <v>18</v>
      </c>
      <c r="M132" s="5">
        <v>3</v>
      </c>
      <c r="N132" s="5" t="s">
        <v>224</v>
      </c>
      <c r="O132" s="5">
        <v>2</v>
      </c>
      <c r="P132" s="5">
        <f>ROUND(Source!EM113,O132)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230</v>
      </c>
      <c r="F133" s="5">
        <f>ROUND(Source!BA113,O133)</f>
        <v>0</v>
      </c>
      <c r="G133" s="5" t="s">
        <v>466</v>
      </c>
      <c r="H133" s="5" t="s">
        <v>467</v>
      </c>
      <c r="I133" s="5"/>
      <c r="J133" s="5"/>
      <c r="K133" s="5">
        <v>230</v>
      </c>
      <c r="L133" s="5">
        <v>19</v>
      </c>
      <c r="M133" s="5">
        <v>3</v>
      </c>
      <c r="N133" s="5" t="s">
        <v>224</v>
      </c>
      <c r="O133" s="5">
        <v>2</v>
      </c>
      <c r="P133" s="5">
        <f>ROUND(Source!ES113,O133)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206</v>
      </c>
      <c r="F134" s="5">
        <f>ROUND(Source!T113,O134)</f>
        <v>0</v>
      </c>
      <c r="G134" s="5" t="s">
        <v>468</v>
      </c>
      <c r="H134" s="5" t="s">
        <v>469</v>
      </c>
      <c r="I134" s="5"/>
      <c r="J134" s="5"/>
      <c r="K134" s="5">
        <v>206</v>
      </c>
      <c r="L134" s="5">
        <v>20</v>
      </c>
      <c r="M134" s="5">
        <v>3</v>
      </c>
      <c r="N134" s="5" t="s">
        <v>224</v>
      </c>
      <c r="O134" s="5">
        <v>2</v>
      </c>
      <c r="P134" s="5">
        <f>ROUND(Source!DL113,O134)</f>
        <v>0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207</v>
      </c>
      <c r="F135" s="5">
        <f>Source!U113</f>
        <v>2065.0245179999993</v>
      </c>
      <c r="G135" s="5" t="s">
        <v>470</v>
      </c>
      <c r="H135" s="5" t="s">
        <v>471</v>
      </c>
      <c r="I135" s="5"/>
      <c r="J135" s="5"/>
      <c r="K135" s="5">
        <v>207</v>
      </c>
      <c r="L135" s="5">
        <v>21</v>
      </c>
      <c r="M135" s="5">
        <v>3</v>
      </c>
      <c r="N135" s="5" t="s">
        <v>224</v>
      </c>
      <c r="O135" s="5">
        <v>-1</v>
      </c>
      <c r="P135" s="5">
        <f>Source!DM113</f>
        <v>2063.4745019999991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208</v>
      </c>
      <c r="F136" s="5">
        <f>Source!V113</f>
        <v>39.692574999999998</v>
      </c>
      <c r="G136" s="5" t="s">
        <v>472</v>
      </c>
      <c r="H136" s="5" t="s">
        <v>473</v>
      </c>
      <c r="I136" s="5"/>
      <c r="J136" s="5"/>
      <c r="K136" s="5">
        <v>208</v>
      </c>
      <c r="L136" s="5">
        <v>22</v>
      </c>
      <c r="M136" s="5">
        <v>3</v>
      </c>
      <c r="N136" s="5" t="s">
        <v>224</v>
      </c>
      <c r="O136" s="5">
        <v>-1</v>
      </c>
      <c r="P136" s="5">
        <f>Source!DN113</f>
        <v>39.692574999999998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209</v>
      </c>
      <c r="F137" s="5">
        <f>ROUND(Source!W113,O137)</f>
        <v>0</v>
      </c>
      <c r="G137" s="5" t="s">
        <v>474</v>
      </c>
      <c r="H137" s="5" t="s">
        <v>475</v>
      </c>
      <c r="I137" s="5"/>
      <c r="J137" s="5"/>
      <c r="K137" s="5">
        <v>209</v>
      </c>
      <c r="L137" s="5">
        <v>23</v>
      </c>
      <c r="M137" s="5">
        <v>3</v>
      </c>
      <c r="N137" s="5" t="s">
        <v>224</v>
      </c>
      <c r="O137" s="5">
        <v>2</v>
      </c>
      <c r="P137" s="5">
        <f>ROUND(Source!DO113,O137)</f>
        <v>0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210</v>
      </c>
      <c r="F138" s="5">
        <f>ROUND(Source!X113,O138)</f>
        <v>19207.330000000002</v>
      </c>
      <c r="G138" s="5" t="s">
        <v>476</v>
      </c>
      <c r="H138" s="5" t="s">
        <v>477</v>
      </c>
      <c r="I138" s="5"/>
      <c r="J138" s="5"/>
      <c r="K138" s="5">
        <v>210</v>
      </c>
      <c r="L138" s="5">
        <v>24</v>
      </c>
      <c r="M138" s="5">
        <v>3</v>
      </c>
      <c r="N138" s="5" t="s">
        <v>224</v>
      </c>
      <c r="O138" s="5">
        <v>2</v>
      </c>
      <c r="P138" s="5">
        <f>ROUND(Source!DP113,O138)</f>
        <v>116689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211</v>
      </c>
      <c r="F139" s="5">
        <f>ROUND(Source!Y113,O139)</f>
        <v>10274.56</v>
      </c>
      <c r="G139" s="5" t="s">
        <v>478</v>
      </c>
      <c r="H139" s="5" t="s">
        <v>479</v>
      </c>
      <c r="I139" s="5"/>
      <c r="J139" s="5"/>
      <c r="K139" s="5">
        <v>211</v>
      </c>
      <c r="L139" s="5">
        <v>25</v>
      </c>
      <c r="M139" s="5">
        <v>3</v>
      </c>
      <c r="N139" s="5" t="s">
        <v>224</v>
      </c>
      <c r="O139" s="5">
        <v>2</v>
      </c>
      <c r="P139" s="5">
        <f>ROUND(Source!DQ113,O139)</f>
        <v>62416.6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0</v>
      </c>
      <c r="F140" s="5">
        <f>ROUND(Source!AR113,O140)</f>
        <v>190431.53</v>
      </c>
      <c r="G140" s="5" t="s">
        <v>480</v>
      </c>
      <c r="H140" s="5" t="s">
        <v>481</v>
      </c>
      <c r="I140" s="5"/>
      <c r="J140" s="5"/>
      <c r="K140" s="5">
        <v>224</v>
      </c>
      <c r="L140" s="5">
        <v>26</v>
      </c>
      <c r="M140" s="5">
        <v>3</v>
      </c>
      <c r="N140" s="5" t="s">
        <v>224</v>
      </c>
      <c r="O140" s="5">
        <v>2</v>
      </c>
      <c r="P140" s="5">
        <f>ROUND(Source!EJ113,O140)</f>
        <v>1156358.32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1</v>
      </c>
      <c r="C141" s="5">
        <v>0</v>
      </c>
      <c r="D141" s="5">
        <v>2</v>
      </c>
      <c r="E141" s="5">
        <v>0</v>
      </c>
      <c r="F141" s="5">
        <f>ROUND(F140,O141)</f>
        <v>190431.53</v>
      </c>
      <c r="G141" s="5" t="s">
        <v>482</v>
      </c>
      <c r="H141" s="5" t="s">
        <v>480</v>
      </c>
      <c r="I141" s="5"/>
      <c r="J141" s="5"/>
      <c r="K141" s="5">
        <v>212</v>
      </c>
      <c r="L141" s="5">
        <v>27</v>
      </c>
      <c r="M141" s="5">
        <v>0</v>
      </c>
      <c r="N141" s="5" t="s">
        <v>224</v>
      </c>
      <c r="O141" s="5">
        <v>2</v>
      </c>
      <c r="P141" s="5">
        <f>ROUND(P140,O141)</f>
        <v>1156358.32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1</v>
      </c>
      <c r="C142" s="5">
        <v>0</v>
      </c>
      <c r="D142" s="5">
        <v>2</v>
      </c>
      <c r="E142" s="5">
        <v>0</v>
      </c>
      <c r="F142" s="5">
        <f>ROUND(F141*0.18,O142)</f>
        <v>34277.68</v>
      </c>
      <c r="G142" s="5" t="s">
        <v>483</v>
      </c>
      <c r="H142" s="5" t="s">
        <v>484</v>
      </c>
      <c r="I142" s="5"/>
      <c r="J142" s="5"/>
      <c r="K142" s="5">
        <v>212</v>
      </c>
      <c r="L142" s="5">
        <v>28</v>
      </c>
      <c r="M142" s="5">
        <v>0</v>
      </c>
      <c r="N142" s="5" t="s">
        <v>224</v>
      </c>
      <c r="O142" s="5">
        <v>2</v>
      </c>
      <c r="P142" s="5">
        <f>ROUND(P141*0.18,O142)</f>
        <v>208144.5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1</v>
      </c>
      <c r="C143" s="5">
        <v>0</v>
      </c>
      <c r="D143" s="5">
        <v>2</v>
      </c>
      <c r="E143" s="5">
        <v>224</v>
      </c>
      <c r="F143" s="5">
        <f>ROUND(F141+F142,O143)</f>
        <v>224709.21</v>
      </c>
      <c r="G143" s="5" t="s">
        <v>485</v>
      </c>
      <c r="H143" s="5" t="s">
        <v>486</v>
      </c>
      <c r="I143" s="5"/>
      <c r="J143" s="5"/>
      <c r="K143" s="5">
        <v>212</v>
      </c>
      <c r="L143" s="5">
        <v>29</v>
      </c>
      <c r="M143" s="5">
        <v>0</v>
      </c>
      <c r="N143" s="5" t="s">
        <v>224</v>
      </c>
      <c r="O143" s="5">
        <v>2</v>
      </c>
      <c r="P143" s="5">
        <f>ROUND(P141+P142,O143)</f>
        <v>1364502.82</v>
      </c>
      <c r="Q143" s="5"/>
      <c r="R143" s="5"/>
      <c r="S143" s="5"/>
      <c r="T143" s="5"/>
      <c r="U143" s="5"/>
      <c r="V143" s="5"/>
      <c r="W143" s="5"/>
    </row>
    <row r="145" spans="1:255" x14ac:dyDescent="0.2">
      <c r="A145" s="1">
        <v>4</v>
      </c>
      <c r="B145" s="1">
        <v>1</v>
      </c>
      <c r="C145" s="1"/>
      <c r="D145" s="1">
        <f>ROW(A178)</f>
        <v>178</v>
      </c>
      <c r="E145" s="1"/>
      <c r="F145" s="1" t="s">
        <v>232</v>
      </c>
      <c r="G145" s="1" t="s">
        <v>487</v>
      </c>
      <c r="H145" s="1" t="s">
        <v>224</v>
      </c>
      <c r="I145" s="1">
        <v>0</v>
      </c>
      <c r="J145" s="1"/>
      <c r="K145" s="1">
        <v>0</v>
      </c>
      <c r="L145" s="1"/>
      <c r="M145" s="1"/>
      <c r="N145" s="1"/>
      <c r="O145" s="1"/>
      <c r="P145" s="1"/>
      <c r="Q145" s="1"/>
      <c r="R145" s="1"/>
      <c r="S145" s="1"/>
      <c r="T145" s="1"/>
      <c r="U145" s="1" t="s">
        <v>224</v>
      </c>
      <c r="V145" s="1">
        <v>0</v>
      </c>
      <c r="W145" s="1"/>
      <c r="X145" s="1"/>
      <c r="Y145" s="1"/>
      <c r="Z145" s="1"/>
      <c r="AA145" s="1"/>
      <c r="AB145" s="1" t="s">
        <v>224</v>
      </c>
      <c r="AC145" s="1" t="s">
        <v>224</v>
      </c>
      <c r="AD145" s="1" t="s">
        <v>224</v>
      </c>
      <c r="AE145" s="1" t="s">
        <v>224</v>
      </c>
      <c r="AF145" s="1" t="s">
        <v>224</v>
      </c>
      <c r="AG145" s="1" t="s">
        <v>224</v>
      </c>
      <c r="AH145" s="1"/>
      <c r="AI145" s="1"/>
      <c r="AJ145" s="1"/>
      <c r="AK145" s="1"/>
      <c r="AL145" s="1"/>
      <c r="AM145" s="1"/>
      <c r="AN145" s="1"/>
      <c r="AO145" s="1"/>
      <c r="AP145" s="1" t="s">
        <v>224</v>
      </c>
      <c r="AQ145" s="1" t="s">
        <v>224</v>
      </c>
      <c r="AR145" s="1" t="s">
        <v>224</v>
      </c>
      <c r="AS145" s="1"/>
      <c r="AT145" s="1"/>
      <c r="AU145" s="1"/>
      <c r="AV145" s="1"/>
      <c r="AW145" s="1"/>
      <c r="AX145" s="1"/>
      <c r="AY145" s="1"/>
      <c r="AZ145" s="1" t="s">
        <v>224</v>
      </c>
      <c r="BA145" s="1"/>
      <c r="BB145" s="1" t="s">
        <v>224</v>
      </c>
      <c r="BC145" s="1" t="s">
        <v>224</v>
      </c>
      <c r="BD145" s="1" t="s">
        <v>224</v>
      </c>
      <c r="BE145" s="1" t="s">
        <v>224</v>
      </c>
      <c r="BF145" s="1" t="s">
        <v>224</v>
      </c>
      <c r="BG145" s="1" t="s">
        <v>224</v>
      </c>
      <c r="BH145" s="1" t="s">
        <v>224</v>
      </c>
      <c r="BI145" s="1" t="s">
        <v>224</v>
      </c>
      <c r="BJ145" s="1" t="s">
        <v>224</v>
      </c>
      <c r="BK145" s="1" t="s">
        <v>224</v>
      </c>
      <c r="BL145" s="1" t="s">
        <v>224</v>
      </c>
      <c r="BM145" s="1" t="s">
        <v>224</v>
      </c>
      <c r="BN145" s="1" t="s">
        <v>224</v>
      </c>
      <c r="BO145" s="1" t="s">
        <v>224</v>
      </c>
      <c r="BP145" s="1" t="s">
        <v>224</v>
      </c>
      <c r="BQ145" s="1"/>
      <c r="BR145" s="1"/>
      <c r="BS145" s="1"/>
      <c r="BT145" s="1"/>
      <c r="BU145" s="1"/>
      <c r="BV145" s="1"/>
      <c r="BW145" s="1"/>
      <c r="BX145" s="1">
        <v>0</v>
      </c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>
        <v>0</v>
      </c>
    </row>
    <row r="147" spans="1:255" x14ac:dyDescent="0.2">
      <c r="A147" s="3">
        <v>52</v>
      </c>
      <c r="B147" s="3">
        <f t="shared" ref="B147:G147" si="153">B178</f>
        <v>1</v>
      </c>
      <c r="C147" s="3">
        <f t="shared" si="153"/>
        <v>4</v>
      </c>
      <c r="D147" s="3">
        <f t="shared" si="153"/>
        <v>145</v>
      </c>
      <c r="E147" s="3">
        <f t="shared" si="153"/>
        <v>0</v>
      </c>
      <c r="F147" s="3" t="str">
        <f t="shared" si="153"/>
        <v>Новый раздел</v>
      </c>
      <c r="G147" s="3" t="str">
        <f t="shared" si="153"/>
        <v>Сантехнические работы</v>
      </c>
      <c r="H147" s="3"/>
      <c r="I147" s="3"/>
      <c r="J147" s="3"/>
      <c r="K147" s="3"/>
      <c r="L147" s="3"/>
      <c r="M147" s="3"/>
      <c r="N147" s="3"/>
      <c r="O147" s="3">
        <f t="shared" ref="O147:AT147" si="154">O178</f>
        <v>529.51</v>
      </c>
      <c r="P147" s="3">
        <f t="shared" si="154"/>
        <v>482.47</v>
      </c>
      <c r="Q147" s="3">
        <f t="shared" si="154"/>
        <v>2.16</v>
      </c>
      <c r="R147" s="3">
        <f t="shared" si="154"/>
        <v>0.49</v>
      </c>
      <c r="S147" s="3">
        <f t="shared" si="154"/>
        <v>44.88</v>
      </c>
      <c r="T147" s="3">
        <f t="shared" si="154"/>
        <v>0</v>
      </c>
      <c r="U147" s="3">
        <f t="shared" si="154"/>
        <v>4.8714649999999997</v>
      </c>
      <c r="V147" s="3">
        <f t="shared" si="154"/>
        <v>3.8775000000000004E-2</v>
      </c>
      <c r="W147" s="3">
        <f t="shared" si="154"/>
        <v>0</v>
      </c>
      <c r="X147" s="3">
        <f t="shared" si="154"/>
        <v>45.49</v>
      </c>
      <c r="Y147" s="3">
        <f t="shared" si="154"/>
        <v>28.8</v>
      </c>
      <c r="Z147" s="3">
        <f t="shared" si="154"/>
        <v>0</v>
      </c>
      <c r="AA147" s="3">
        <f t="shared" si="154"/>
        <v>0</v>
      </c>
      <c r="AB147" s="3">
        <f t="shared" si="154"/>
        <v>529.51</v>
      </c>
      <c r="AC147" s="3">
        <f t="shared" si="154"/>
        <v>482.47</v>
      </c>
      <c r="AD147" s="3">
        <f t="shared" si="154"/>
        <v>2.16</v>
      </c>
      <c r="AE147" s="3">
        <f t="shared" si="154"/>
        <v>0.49</v>
      </c>
      <c r="AF147" s="3">
        <f t="shared" si="154"/>
        <v>44.88</v>
      </c>
      <c r="AG147" s="3">
        <f t="shared" si="154"/>
        <v>0</v>
      </c>
      <c r="AH147" s="3">
        <f t="shared" si="154"/>
        <v>4.8714649999999997</v>
      </c>
      <c r="AI147" s="3">
        <f t="shared" si="154"/>
        <v>3.8775000000000004E-2</v>
      </c>
      <c r="AJ147" s="3">
        <f t="shared" si="154"/>
        <v>0</v>
      </c>
      <c r="AK147" s="3">
        <f t="shared" si="154"/>
        <v>45.49</v>
      </c>
      <c r="AL147" s="3">
        <f t="shared" si="154"/>
        <v>28.8</v>
      </c>
      <c r="AM147" s="3">
        <f t="shared" si="154"/>
        <v>0</v>
      </c>
      <c r="AN147" s="3">
        <f t="shared" si="154"/>
        <v>0</v>
      </c>
      <c r="AO147" s="3">
        <f t="shared" si="154"/>
        <v>0</v>
      </c>
      <c r="AP147" s="3">
        <f t="shared" si="154"/>
        <v>0</v>
      </c>
      <c r="AQ147" s="3">
        <f t="shared" si="154"/>
        <v>0</v>
      </c>
      <c r="AR147" s="3">
        <f t="shared" si="154"/>
        <v>689.32</v>
      </c>
      <c r="AS147" s="3">
        <f t="shared" si="154"/>
        <v>689.32</v>
      </c>
      <c r="AT147" s="3">
        <f t="shared" si="154"/>
        <v>0</v>
      </c>
      <c r="AU147" s="3">
        <f t="shared" ref="AU147:BZ147" si="155">AU178</f>
        <v>0</v>
      </c>
      <c r="AV147" s="3">
        <f t="shared" si="155"/>
        <v>482.47</v>
      </c>
      <c r="AW147" s="3">
        <f t="shared" si="155"/>
        <v>482.47</v>
      </c>
      <c r="AX147" s="3">
        <f t="shared" si="155"/>
        <v>0</v>
      </c>
      <c r="AY147" s="3">
        <f t="shared" si="155"/>
        <v>482.47</v>
      </c>
      <c r="AZ147" s="3">
        <f t="shared" si="155"/>
        <v>0</v>
      </c>
      <c r="BA147" s="3">
        <f t="shared" si="155"/>
        <v>0</v>
      </c>
      <c r="BB147" s="3">
        <f t="shared" si="155"/>
        <v>0</v>
      </c>
      <c r="BC147" s="3">
        <f t="shared" si="155"/>
        <v>0</v>
      </c>
      <c r="BD147" s="3">
        <f t="shared" si="155"/>
        <v>0</v>
      </c>
      <c r="BE147" s="3">
        <f t="shared" si="155"/>
        <v>0</v>
      </c>
      <c r="BF147" s="3">
        <f t="shared" si="155"/>
        <v>0</v>
      </c>
      <c r="BG147" s="3">
        <f t="shared" si="155"/>
        <v>0</v>
      </c>
      <c r="BH147" s="3">
        <f t="shared" si="155"/>
        <v>0</v>
      </c>
      <c r="BI147" s="3">
        <f t="shared" si="155"/>
        <v>0</v>
      </c>
      <c r="BJ147" s="3">
        <f t="shared" si="155"/>
        <v>0</v>
      </c>
      <c r="BK147" s="3">
        <f t="shared" si="155"/>
        <v>0</v>
      </c>
      <c r="BL147" s="3">
        <f t="shared" si="155"/>
        <v>0</v>
      </c>
      <c r="BM147" s="3">
        <f t="shared" si="155"/>
        <v>0</v>
      </c>
      <c r="BN147" s="3">
        <f t="shared" si="155"/>
        <v>0</v>
      </c>
      <c r="BO147" s="3">
        <f t="shared" si="155"/>
        <v>0</v>
      </c>
      <c r="BP147" s="3">
        <f t="shared" si="155"/>
        <v>0</v>
      </c>
      <c r="BQ147" s="3">
        <f t="shared" si="155"/>
        <v>0</v>
      </c>
      <c r="BR147" s="3">
        <f t="shared" si="155"/>
        <v>0</v>
      </c>
      <c r="BS147" s="3">
        <f t="shared" si="155"/>
        <v>0</v>
      </c>
      <c r="BT147" s="3">
        <f t="shared" si="155"/>
        <v>0</v>
      </c>
      <c r="BU147" s="3">
        <f t="shared" si="155"/>
        <v>0</v>
      </c>
      <c r="BV147" s="3">
        <f t="shared" si="155"/>
        <v>0</v>
      </c>
      <c r="BW147" s="3">
        <f t="shared" si="155"/>
        <v>0</v>
      </c>
      <c r="BX147" s="3">
        <f t="shared" si="155"/>
        <v>0</v>
      </c>
      <c r="BY147" s="3">
        <f t="shared" si="155"/>
        <v>0</v>
      </c>
      <c r="BZ147" s="3">
        <f t="shared" si="155"/>
        <v>0</v>
      </c>
      <c r="CA147" s="3">
        <f t="shared" ref="CA147:DF147" si="156">CA178</f>
        <v>689.32</v>
      </c>
      <c r="CB147" s="3">
        <f t="shared" si="156"/>
        <v>689.32</v>
      </c>
      <c r="CC147" s="3">
        <f t="shared" si="156"/>
        <v>0</v>
      </c>
      <c r="CD147" s="3">
        <f t="shared" si="156"/>
        <v>0</v>
      </c>
      <c r="CE147" s="3">
        <f t="shared" si="156"/>
        <v>482.47</v>
      </c>
      <c r="CF147" s="3">
        <f t="shared" si="156"/>
        <v>482.47</v>
      </c>
      <c r="CG147" s="3">
        <f t="shared" si="156"/>
        <v>0</v>
      </c>
      <c r="CH147" s="3">
        <f t="shared" si="156"/>
        <v>482.47</v>
      </c>
      <c r="CI147" s="3">
        <f t="shared" si="156"/>
        <v>0</v>
      </c>
      <c r="CJ147" s="3">
        <f t="shared" si="156"/>
        <v>0</v>
      </c>
      <c r="CK147" s="3">
        <f t="shared" si="156"/>
        <v>0</v>
      </c>
      <c r="CL147" s="3">
        <f t="shared" si="156"/>
        <v>0</v>
      </c>
      <c r="CM147" s="3">
        <f t="shared" si="156"/>
        <v>0</v>
      </c>
      <c r="CN147" s="3">
        <f t="shared" si="156"/>
        <v>0</v>
      </c>
      <c r="CO147" s="3">
        <f t="shared" si="156"/>
        <v>0</v>
      </c>
      <c r="CP147" s="3">
        <f t="shared" si="156"/>
        <v>0</v>
      </c>
      <c r="CQ147" s="3">
        <f t="shared" si="156"/>
        <v>0</v>
      </c>
      <c r="CR147" s="3">
        <f t="shared" si="156"/>
        <v>0</v>
      </c>
      <c r="CS147" s="3">
        <f t="shared" si="156"/>
        <v>0</v>
      </c>
      <c r="CT147" s="3">
        <f t="shared" si="156"/>
        <v>0</v>
      </c>
      <c r="CU147" s="3">
        <f t="shared" si="156"/>
        <v>0</v>
      </c>
      <c r="CV147" s="3">
        <f t="shared" si="156"/>
        <v>0</v>
      </c>
      <c r="CW147" s="3">
        <f t="shared" si="156"/>
        <v>0</v>
      </c>
      <c r="CX147" s="3">
        <f t="shared" si="156"/>
        <v>0</v>
      </c>
      <c r="CY147" s="3">
        <f t="shared" si="156"/>
        <v>0</v>
      </c>
      <c r="CZ147" s="3">
        <f t="shared" si="156"/>
        <v>0</v>
      </c>
      <c r="DA147" s="3">
        <f t="shared" si="156"/>
        <v>0</v>
      </c>
      <c r="DB147" s="3">
        <f t="shared" si="156"/>
        <v>0</v>
      </c>
      <c r="DC147" s="3">
        <f t="shared" si="156"/>
        <v>0</v>
      </c>
      <c r="DD147" s="3">
        <f t="shared" si="156"/>
        <v>0</v>
      </c>
      <c r="DE147" s="3">
        <f t="shared" si="156"/>
        <v>0</v>
      </c>
      <c r="DF147" s="3">
        <f t="shared" si="156"/>
        <v>0</v>
      </c>
      <c r="DG147" s="4">
        <f t="shared" ref="DG147:EL147" si="157">DG178</f>
        <v>3219.46</v>
      </c>
      <c r="DH147" s="4">
        <f t="shared" si="157"/>
        <v>2933.44</v>
      </c>
      <c r="DI147" s="4">
        <f t="shared" si="157"/>
        <v>13.18</v>
      </c>
      <c r="DJ147" s="4">
        <f t="shared" si="157"/>
        <v>2.92</v>
      </c>
      <c r="DK147" s="4">
        <f t="shared" si="157"/>
        <v>272.83999999999997</v>
      </c>
      <c r="DL147" s="4">
        <f t="shared" si="157"/>
        <v>0</v>
      </c>
      <c r="DM147" s="4">
        <f t="shared" si="157"/>
        <v>4.8714649999999997</v>
      </c>
      <c r="DN147" s="4">
        <f t="shared" si="157"/>
        <v>3.8775000000000004E-2</v>
      </c>
      <c r="DO147" s="4">
        <f t="shared" si="157"/>
        <v>0</v>
      </c>
      <c r="DP147" s="4">
        <f t="shared" si="157"/>
        <v>276.52</v>
      </c>
      <c r="DQ147" s="4">
        <f t="shared" si="157"/>
        <v>175</v>
      </c>
      <c r="DR147" s="4">
        <f t="shared" si="157"/>
        <v>0</v>
      </c>
      <c r="DS147" s="4">
        <f t="shared" si="157"/>
        <v>0</v>
      </c>
      <c r="DT147" s="4">
        <f t="shared" si="157"/>
        <v>3219.46</v>
      </c>
      <c r="DU147" s="4">
        <f t="shared" si="157"/>
        <v>2933.44</v>
      </c>
      <c r="DV147" s="4">
        <f t="shared" si="157"/>
        <v>13.18</v>
      </c>
      <c r="DW147" s="4">
        <f t="shared" si="157"/>
        <v>2.92</v>
      </c>
      <c r="DX147" s="4">
        <f t="shared" si="157"/>
        <v>272.83999999999997</v>
      </c>
      <c r="DY147" s="4">
        <f t="shared" si="157"/>
        <v>0</v>
      </c>
      <c r="DZ147" s="4">
        <f t="shared" si="157"/>
        <v>4.8714649999999997</v>
      </c>
      <c r="EA147" s="4">
        <f t="shared" si="157"/>
        <v>3.8775000000000004E-2</v>
      </c>
      <c r="EB147" s="4">
        <f t="shared" si="157"/>
        <v>0</v>
      </c>
      <c r="EC147" s="4">
        <f t="shared" si="157"/>
        <v>276.52</v>
      </c>
      <c r="ED147" s="4">
        <f t="shared" si="157"/>
        <v>175</v>
      </c>
      <c r="EE147" s="4">
        <f t="shared" si="157"/>
        <v>0</v>
      </c>
      <c r="EF147" s="4">
        <f t="shared" si="157"/>
        <v>0</v>
      </c>
      <c r="EG147" s="4">
        <f t="shared" si="157"/>
        <v>0</v>
      </c>
      <c r="EH147" s="4">
        <f t="shared" si="157"/>
        <v>0</v>
      </c>
      <c r="EI147" s="4">
        <f t="shared" si="157"/>
        <v>0</v>
      </c>
      <c r="EJ147" s="4">
        <f t="shared" si="157"/>
        <v>4190.91</v>
      </c>
      <c r="EK147" s="4">
        <f t="shared" si="157"/>
        <v>4190.91</v>
      </c>
      <c r="EL147" s="4">
        <f t="shared" si="157"/>
        <v>0</v>
      </c>
      <c r="EM147" s="4">
        <f t="shared" ref="EM147:FR147" si="158">EM178</f>
        <v>0</v>
      </c>
      <c r="EN147" s="4">
        <f t="shared" si="158"/>
        <v>2933.44</v>
      </c>
      <c r="EO147" s="4">
        <f t="shared" si="158"/>
        <v>2933.44</v>
      </c>
      <c r="EP147" s="4">
        <f t="shared" si="158"/>
        <v>0</v>
      </c>
      <c r="EQ147" s="4">
        <f t="shared" si="158"/>
        <v>2933.44</v>
      </c>
      <c r="ER147" s="4">
        <f t="shared" si="158"/>
        <v>0</v>
      </c>
      <c r="ES147" s="4">
        <f t="shared" si="158"/>
        <v>0</v>
      </c>
      <c r="ET147" s="4">
        <f t="shared" si="158"/>
        <v>0</v>
      </c>
      <c r="EU147" s="4">
        <f t="shared" si="158"/>
        <v>0</v>
      </c>
      <c r="EV147" s="4">
        <f t="shared" si="158"/>
        <v>0</v>
      </c>
      <c r="EW147" s="4">
        <f t="shared" si="158"/>
        <v>0</v>
      </c>
      <c r="EX147" s="4">
        <f t="shared" si="158"/>
        <v>0</v>
      </c>
      <c r="EY147" s="4">
        <f t="shared" si="158"/>
        <v>0</v>
      </c>
      <c r="EZ147" s="4">
        <f t="shared" si="158"/>
        <v>0</v>
      </c>
      <c r="FA147" s="4">
        <f t="shared" si="158"/>
        <v>0</v>
      </c>
      <c r="FB147" s="4">
        <f t="shared" si="158"/>
        <v>0</v>
      </c>
      <c r="FC147" s="4">
        <f t="shared" si="158"/>
        <v>0</v>
      </c>
      <c r="FD147" s="4">
        <f t="shared" si="158"/>
        <v>0</v>
      </c>
      <c r="FE147" s="4">
        <f t="shared" si="158"/>
        <v>0</v>
      </c>
      <c r="FF147" s="4">
        <f t="shared" si="158"/>
        <v>0</v>
      </c>
      <c r="FG147" s="4">
        <f t="shared" si="158"/>
        <v>0</v>
      </c>
      <c r="FH147" s="4">
        <f t="shared" si="158"/>
        <v>0</v>
      </c>
      <c r="FI147" s="4">
        <f t="shared" si="158"/>
        <v>0</v>
      </c>
      <c r="FJ147" s="4">
        <f t="shared" si="158"/>
        <v>0</v>
      </c>
      <c r="FK147" s="4">
        <f t="shared" si="158"/>
        <v>0</v>
      </c>
      <c r="FL147" s="4">
        <f t="shared" si="158"/>
        <v>0</v>
      </c>
      <c r="FM147" s="4">
        <f t="shared" si="158"/>
        <v>0</v>
      </c>
      <c r="FN147" s="4">
        <f t="shared" si="158"/>
        <v>0</v>
      </c>
      <c r="FO147" s="4">
        <f t="shared" si="158"/>
        <v>0</v>
      </c>
      <c r="FP147" s="4">
        <f t="shared" si="158"/>
        <v>0</v>
      </c>
      <c r="FQ147" s="4">
        <f t="shared" si="158"/>
        <v>0</v>
      </c>
      <c r="FR147" s="4">
        <f t="shared" si="158"/>
        <v>0</v>
      </c>
      <c r="FS147" s="4">
        <f t="shared" ref="FS147:GX147" si="159">FS178</f>
        <v>4190.91</v>
      </c>
      <c r="FT147" s="4">
        <f t="shared" si="159"/>
        <v>4190.91</v>
      </c>
      <c r="FU147" s="4">
        <f t="shared" si="159"/>
        <v>0</v>
      </c>
      <c r="FV147" s="4">
        <f t="shared" si="159"/>
        <v>0</v>
      </c>
      <c r="FW147" s="4">
        <f t="shared" si="159"/>
        <v>2933.44</v>
      </c>
      <c r="FX147" s="4">
        <f t="shared" si="159"/>
        <v>2933.44</v>
      </c>
      <c r="FY147" s="4">
        <f t="shared" si="159"/>
        <v>0</v>
      </c>
      <c r="FZ147" s="4">
        <f t="shared" si="159"/>
        <v>2933.44</v>
      </c>
      <c r="GA147" s="4">
        <f t="shared" si="159"/>
        <v>0</v>
      </c>
      <c r="GB147" s="4">
        <f t="shared" si="159"/>
        <v>0</v>
      </c>
      <c r="GC147" s="4">
        <f t="shared" si="159"/>
        <v>0</v>
      </c>
      <c r="GD147" s="4">
        <f t="shared" si="159"/>
        <v>0</v>
      </c>
      <c r="GE147" s="4">
        <f t="shared" si="159"/>
        <v>0</v>
      </c>
      <c r="GF147" s="4">
        <f t="shared" si="159"/>
        <v>0</v>
      </c>
      <c r="GG147" s="4">
        <f t="shared" si="159"/>
        <v>0</v>
      </c>
      <c r="GH147" s="4">
        <f t="shared" si="159"/>
        <v>0</v>
      </c>
      <c r="GI147" s="4">
        <f t="shared" si="159"/>
        <v>0</v>
      </c>
      <c r="GJ147" s="4">
        <f t="shared" si="159"/>
        <v>0</v>
      </c>
      <c r="GK147" s="4">
        <f t="shared" si="159"/>
        <v>0</v>
      </c>
      <c r="GL147" s="4">
        <f t="shared" si="159"/>
        <v>0</v>
      </c>
      <c r="GM147" s="4">
        <f t="shared" si="159"/>
        <v>0</v>
      </c>
      <c r="GN147" s="4">
        <f t="shared" si="159"/>
        <v>0</v>
      </c>
      <c r="GO147" s="4">
        <f t="shared" si="159"/>
        <v>0</v>
      </c>
      <c r="GP147" s="4">
        <f t="shared" si="159"/>
        <v>0</v>
      </c>
      <c r="GQ147" s="4">
        <f t="shared" si="159"/>
        <v>0</v>
      </c>
      <c r="GR147" s="4">
        <f t="shared" si="159"/>
        <v>0</v>
      </c>
      <c r="GS147" s="4">
        <f t="shared" si="159"/>
        <v>0</v>
      </c>
      <c r="GT147" s="4">
        <f t="shared" si="159"/>
        <v>0</v>
      </c>
      <c r="GU147" s="4">
        <f t="shared" si="159"/>
        <v>0</v>
      </c>
      <c r="GV147" s="4">
        <f t="shared" si="159"/>
        <v>0</v>
      </c>
      <c r="GW147" s="4">
        <f t="shared" si="159"/>
        <v>0</v>
      </c>
      <c r="GX147" s="4">
        <f t="shared" si="159"/>
        <v>0</v>
      </c>
    </row>
    <row r="149" spans="1:255" x14ac:dyDescent="0.2">
      <c r="A149" s="2">
        <v>17</v>
      </c>
      <c r="B149" s="2">
        <v>1</v>
      </c>
      <c r="C149" s="2">
        <f>ROW(SmtRes!A378)</f>
        <v>378</v>
      </c>
      <c r="D149" s="2">
        <f>ROW(EtalonRes!A401)</f>
        <v>401</v>
      </c>
      <c r="E149" s="2" t="s">
        <v>488</v>
      </c>
      <c r="F149" s="2" t="s">
        <v>489</v>
      </c>
      <c r="G149" s="2" t="s">
        <v>490</v>
      </c>
      <c r="H149" s="2" t="s">
        <v>256</v>
      </c>
      <c r="I149" s="2">
        <f t="shared" ref="I149:I158" si="160">ROUND(1/100,9)</f>
        <v>0.01</v>
      </c>
      <c r="J149" s="2">
        <v>0</v>
      </c>
      <c r="K149" s="2"/>
      <c r="L149" s="2"/>
      <c r="M149" s="2"/>
      <c r="N149" s="2"/>
      <c r="O149" s="2">
        <f t="shared" ref="O149:O172" si="161">ROUND(CP149,2)</f>
        <v>3.29</v>
      </c>
      <c r="P149" s="2">
        <f t="shared" ref="P149:P172" si="162">ROUND(CQ149*I149,2)</f>
        <v>0.34</v>
      </c>
      <c r="Q149" s="2">
        <f t="shared" ref="Q149:Q172" si="163">ROUND(CR149*I149,2)</f>
        <v>7.0000000000000007E-2</v>
      </c>
      <c r="R149" s="2">
        <f t="shared" ref="R149:R172" si="164">ROUND(CS149*I149,2)</f>
        <v>0.01</v>
      </c>
      <c r="S149" s="2">
        <f t="shared" ref="S149:S172" si="165">ROUND(CT149*I149,2)</f>
        <v>2.88</v>
      </c>
      <c r="T149" s="2">
        <f t="shared" ref="T149:T172" si="166">ROUND(CU149*I149,2)</f>
        <v>0</v>
      </c>
      <c r="U149" s="2">
        <f t="shared" ref="U149:U172" si="167">CV149*I149</f>
        <v>0.34659999999999996</v>
      </c>
      <c r="V149" s="2">
        <f t="shared" ref="V149:V172" si="168">CW149*I149</f>
        <v>1E-3</v>
      </c>
      <c r="W149" s="2">
        <f t="shared" ref="W149:W172" si="169">ROUND(CX149*I149,2)</f>
        <v>0</v>
      </c>
      <c r="X149" s="2">
        <f t="shared" ref="X149:X172" si="170">ROUND(CY149,2)</f>
        <v>2.14</v>
      </c>
      <c r="Y149" s="2">
        <f t="shared" ref="Y149:Y172" si="171">ROUND(CZ149,2)</f>
        <v>1.45</v>
      </c>
      <c r="Z149" s="2"/>
      <c r="AA149" s="2">
        <v>16499835</v>
      </c>
      <c r="AB149" s="2">
        <f t="shared" ref="AB149:AB172" si="172">ROUND((AC149+AD149+AF149),6)</f>
        <v>328.71</v>
      </c>
      <c r="AC149" s="2">
        <f t="shared" ref="AC149:AC172" si="173">ROUND((ES149),6)</f>
        <v>33.6</v>
      </c>
      <c r="AD149" s="2">
        <f t="shared" ref="AD149:AD156" si="174">ROUND((((ET149)-(EU149))+AE149),6)</f>
        <v>7.09</v>
      </c>
      <c r="AE149" s="2">
        <f t="shared" ref="AE149:AF156" si="175">ROUND((EU149),6)</f>
        <v>1.35</v>
      </c>
      <c r="AF149" s="2">
        <f t="shared" si="175"/>
        <v>288.02</v>
      </c>
      <c r="AG149" s="2">
        <f t="shared" ref="AG149:AG172" si="176">ROUND((AP149),6)</f>
        <v>0</v>
      </c>
      <c r="AH149" s="2">
        <f t="shared" ref="AH149:AI156" si="177">(EW149)</f>
        <v>34.659999999999997</v>
      </c>
      <c r="AI149" s="2">
        <f t="shared" si="177"/>
        <v>0.1</v>
      </c>
      <c r="AJ149" s="2">
        <f t="shared" ref="AJ149:AJ172" si="178">ROUND((AS149),6)</f>
        <v>0</v>
      </c>
      <c r="AK149" s="2">
        <v>328.71</v>
      </c>
      <c r="AL149" s="2">
        <v>33.6</v>
      </c>
      <c r="AM149" s="2">
        <v>7.09</v>
      </c>
      <c r="AN149" s="2">
        <v>1.35</v>
      </c>
      <c r="AO149" s="2">
        <v>288.02</v>
      </c>
      <c r="AP149" s="2">
        <v>0</v>
      </c>
      <c r="AQ149" s="2">
        <v>34.659999999999997</v>
      </c>
      <c r="AR149" s="2">
        <v>0.1</v>
      </c>
      <c r="AS149" s="2">
        <v>0</v>
      </c>
      <c r="AT149" s="2">
        <v>74</v>
      </c>
      <c r="AU149" s="2">
        <v>50</v>
      </c>
      <c r="AV149" s="2">
        <v>1</v>
      </c>
      <c r="AW149" s="2">
        <v>1</v>
      </c>
      <c r="AX149" s="2"/>
      <c r="AY149" s="2"/>
      <c r="AZ149" s="2">
        <v>1</v>
      </c>
      <c r="BA149" s="2">
        <v>1</v>
      </c>
      <c r="BB149" s="2">
        <v>1</v>
      </c>
      <c r="BC149" s="2">
        <v>1</v>
      </c>
      <c r="BD149" s="2" t="s">
        <v>224</v>
      </c>
      <c r="BE149" s="2" t="s">
        <v>224</v>
      </c>
      <c r="BF149" s="2" t="s">
        <v>224</v>
      </c>
      <c r="BG149" s="2" t="s">
        <v>224</v>
      </c>
      <c r="BH149" s="2">
        <v>0</v>
      </c>
      <c r="BI149" s="2">
        <v>1</v>
      </c>
      <c r="BJ149" s="2" t="s">
        <v>491</v>
      </c>
      <c r="BK149" s="2"/>
      <c r="BL149" s="2"/>
      <c r="BM149" s="2">
        <v>65001</v>
      </c>
      <c r="BN149" s="2">
        <v>0</v>
      </c>
      <c r="BO149" s="2" t="s">
        <v>224</v>
      </c>
      <c r="BP149" s="2">
        <v>0</v>
      </c>
      <c r="BQ149" s="2">
        <v>6</v>
      </c>
      <c r="BR149" s="2">
        <v>0</v>
      </c>
      <c r="BS149" s="2">
        <v>1</v>
      </c>
      <c r="BT149" s="2">
        <v>1</v>
      </c>
      <c r="BU149" s="2">
        <v>1</v>
      </c>
      <c r="BV149" s="2">
        <v>1</v>
      </c>
      <c r="BW149" s="2">
        <v>1</v>
      </c>
      <c r="BX149" s="2">
        <v>1</v>
      </c>
      <c r="BY149" s="2" t="s">
        <v>224</v>
      </c>
      <c r="BZ149" s="2">
        <v>74</v>
      </c>
      <c r="CA149" s="2">
        <v>50</v>
      </c>
      <c r="CB149" s="2"/>
      <c r="CC149" s="2"/>
      <c r="CD149" s="2"/>
      <c r="CE149" s="2"/>
      <c r="CF149" s="2">
        <v>0</v>
      </c>
      <c r="CG149" s="2">
        <v>0</v>
      </c>
      <c r="CH149" s="2"/>
      <c r="CI149" s="2"/>
      <c r="CJ149" s="2"/>
      <c r="CK149" s="2"/>
      <c r="CL149" s="2"/>
      <c r="CM149" s="2">
        <v>0</v>
      </c>
      <c r="CN149" s="2" t="s">
        <v>224</v>
      </c>
      <c r="CO149" s="2">
        <v>0</v>
      </c>
      <c r="CP149" s="2">
        <f t="shared" ref="CP149:CP172" si="179">(P149+Q149+S149)</f>
        <v>3.29</v>
      </c>
      <c r="CQ149" s="2">
        <f t="shared" ref="CQ149:CQ172" si="180">AC149*BC149</f>
        <v>33.6</v>
      </c>
      <c r="CR149" s="2">
        <f t="shared" ref="CR149:CR172" si="181">AD149*BB149</f>
        <v>7.09</v>
      </c>
      <c r="CS149" s="2">
        <f t="shared" ref="CS149:CS172" si="182">AE149*BS149</f>
        <v>1.35</v>
      </c>
      <c r="CT149" s="2">
        <f t="shared" ref="CT149:CT172" si="183">AF149*BA149</f>
        <v>288.02</v>
      </c>
      <c r="CU149" s="2">
        <f t="shared" ref="CU149:CU172" si="184">AG149</f>
        <v>0</v>
      </c>
      <c r="CV149" s="2">
        <f t="shared" ref="CV149:CV172" si="185">AH149</f>
        <v>34.659999999999997</v>
      </c>
      <c r="CW149" s="2">
        <f t="shared" ref="CW149:CW172" si="186">AI149</f>
        <v>0.1</v>
      </c>
      <c r="CX149" s="2">
        <f t="shared" ref="CX149:CX172" si="187">AJ149</f>
        <v>0</v>
      </c>
      <c r="CY149" s="2">
        <f t="shared" ref="CY149:CY172" si="188">(((S149+R149)*AT149)/100)</f>
        <v>2.1385999999999998</v>
      </c>
      <c r="CZ149" s="2">
        <f t="shared" ref="CZ149:CZ172" si="189">(((S149+R149)*AU149)/100)</f>
        <v>1.4449999999999996</v>
      </c>
      <c r="DA149" s="2"/>
      <c r="DB149" s="2"/>
      <c r="DC149" s="2" t="s">
        <v>224</v>
      </c>
      <c r="DD149" s="2" t="s">
        <v>224</v>
      </c>
      <c r="DE149" s="2" t="s">
        <v>224</v>
      </c>
      <c r="DF149" s="2" t="s">
        <v>224</v>
      </c>
      <c r="DG149" s="2" t="s">
        <v>224</v>
      </c>
      <c r="DH149" s="2" t="s">
        <v>224</v>
      </c>
      <c r="DI149" s="2" t="s">
        <v>224</v>
      </c>
      <c r="DJ149" s="2" t="s">
        <v>224</v>
      </c>
      <c r="DK149" s="2" t="s">
        <v>224</v>
      </c>
      <c r="DL149" s="2" t="s">
        <v>224</v>
      </c>
      <c r="DM149" s="2" t="s">
        <v>224</v>
      </c>
      <c r="DN149" s="2">
        <v>0</v>
      </c>
      <c r="DO149" s="2">
        <v>0</v>
      </c>
      <c r="DP149" s="2">
        <v>1</v>
      </c>
      <c r="DQ149" s="2">
        <v>1</v>
      </c>
      <c r="DR149" s="2"/>
      <c r="DS149" s="2"/>
      <c r="DT149" s="2"/>
      <c r="DU149" s="2">
        <v>1003</v>
      </c>
      <c r="DV149" s="2" t="s">
        <v>256</v>
      </c>
      <c r="DW149" s="2" t="s">
        <v>256</v>
      </c>
      <c r="DX149" s="2">
        <v>100</v>
      </c>
      <c r="DY149" s="2"/>
      <c r="DZ149" s="2"/>
      <c r="EA149" s="2"/>
      <c r="EB149" s="2"/>
      <c r="EC149" s="2"/>
      <c r="ED149" s="2"/>
      <c r="EE149" s="2">
        <v>15139187</v>
      </c>
      <c r="EF149" s="2">
        <v>6</v>
      </c>
      <c r="EG149" s="2" t="s">
        <v>250</v>
      </c>
      <c r="EH149" s="2">
        <v>0</v>
      </c>
      <c r="EI149" s="2" t="s">
        <v>224</v>
      </c>
      <c r="EJ149" s="2">
        <v>1</v>
      </c>
      <c r="EK149" s="2">
        <v>65001</v>
      </c>
      <c r="EL149" s="2" t="s">
        <v>492</v>
      </c>
      <c r="EM149" s="2" t="s">
        <v>493</v>
      </c>
      <c r="EN149" s="2"/>
      <c r="EO149" s="2" t="s">
        <v>224</v>
      </c>
      <c r="EP149" s="2"/>
      <c r="EQ149" s="2">
        <v>0</v>
      </c>
      <c r="ER149" s="2">
        <v>328.71</v>
      </c>
      <c r="ES149" s="2">
        <v>33.6</v>
      </c>
      <c r="ET149" s="2">
        <v>7.09</v>
      </c>
      <c r="EU149" s="2">
        <v>1.35</v>
      </c>
      <c r="EV149" s="2">
        <v>288.02</v>
      </c>
      <c r="EW149" s="2">
        <v>34.659999999999997</v>
      </c>
      <c r="EX149" s="2">
        <v>0.1</v>
      </c>
      <c r="EY149" s="2">
        <v>0</v>
      </c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>
        <v>0</v>
      </c>
      <c r="FR149" s="2">
        <f t="shared" ref="FR149:FR176" si="190">ROUND(IF(AND(BH149=3,BI149=3),P149,0),2)</f>
        <v>0</v>
      </c>
      <c r="FS149" s="2">
        <v>0</v>
      </c>
      <c r="FT149" s="2"/>
      <c r="FU149" s="2"/>
      <c r="FV149" s="2"/>
      <c r="FW149" s="2"/>
      <c r="FX149" s="2">
        <v>74</v>
      </c>
      <c r="FY149" s="2">
        <v>50</v>
      </c>
      <c r="FZ149" s="2"/>
      <c r="GA149" s="2" t="s">
        <v>224</v>
      </c>
      <c r="GB149" s="2"/>
      <c r="GC149" s="2"/>
      <c r="GD149" s="2">
        <v>0</v>
      </c>
      <c r="GE149" s="2"/>
      <c r="GF149" s="2">
        <v>-93922138</v>
      </c>
      <c r="GG149" s="2">
        <v>2</v>
      </c>
      <c r="GH149" s="2">
        <v>1</v>
      </c>
      <c r="GI149" s="2">
        <v>-2</v>
      </c>
      <c r="GJ149" s="2">
        <v>0</v>
      </c>
      <c r="GK149" s="2">
        <f>ROUND(R149*(R12)/100,2)</f>
        <v>0</v>
      </c>
      <c r="GL149" s="2">
        <f t="shared" ref="GL149:GL176" si="191">ROUND(IF(AND(BH149=3,BI149=3,FS149&lt;&gt;0),P149,0),2)</f>
        <v>0</v>
      </c>
      <c r="GM149" s="2">
        <f t="shared" ref="GM149:GM172" si="192">ROUND(O149+X149+Y149+GK149,2)+GX149</f>
        <v>6.88</v>
      </c>
      <c r="GN149" s="2">
        <f t="shared" ref="GN149:GN172" si="193">IF(OR(BI149=0,BI149=1),ROUND(O149+X149+Y149+GK149,2),0)</f>
        <v>6.88</v>
      </c>
      <c r="GO149" s="2">
        <f t="shared" ref="GO149:GO172" si="194">IF(BI149=2,ROUND(O149+X149+Y149+GK149,2),0)</f>
        <v>0</v>
      </c>
      <c r="GP149" s="2">
        <f t="shared" ref="GP149:GP172" si="195">IF(BI149=4,ROUND(O149+X149+Y149+GK149,2)+GX149,0)</f>
        <v>0</v>
      </c>
      <c r="GQ149" s="2"/>
      <c r="GR149" s="2">
        <v>0</v>
      </c>
      <c r="GS149" s="2">
        <v>3</v>
      </c>
      <c r="GT149" s="2">
        <v>0</v>
      </c>
      <c r="GU149" s="2" t="s">
        <v>224</v>
      </c>
      <c r="GV149" s="2">
        <f t="shared" ref="GV149:GV172" si="196">ROUND(GT149,6)</f>
        <v>0</v>
      </c>
      <c r="GW149" s="2">
        <v>1</v>
      </c>
      <c r="GX149" s="2">
        <f t="shared" ref="GX149:GX176" si="197">ROUND(GV149*GW149*I149,2)</f>
        <v>0</v>
      </c>
      <c r="GY149" s="2"/>
      <c r="GZ149" s="2"/>
      <c r="HA149" s="2">
        <v>0</v>
      </c>
      <c r="HB149" s="2">
        <v>0</v>
      </c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>
        <v>0</v>
      </c>
      <c r="IL149" s="2"/>
      <c r="IM149" s="2"/>
      <c r="IN149" s="2"/>
      <c r="IO149" s="2"/>
      <c r="IP149" s="2"/>
      <c r="IQ149" s="2"/>
      <c r="IR149" s="2"/>
      <c r="IS149" s="2"/>
      <c r="IT149" s="2"/>
      <c r="IU149" s="2"/>
    </row>
    <row r="150" spans="1:255" x14ac:dyDescent="0.2">
      <c r="A150">
        <v>17</v>
      </c>
      <c r="B150">
        <v>1</v>
      </c>
      <c r="C150">
        <f>ROW(SmtRes!A384)</f>
        <v>384</v>
      </c>
      <c r="D150">
        <f>ROW(EtalonRes!A408)</f>
        <v>408</v>
      </c>
      <c r="E150" t="s">
        <v>488</v>
      </c>
      <c r="F150" t="s">
        <v>489</v>
      </c>
      <c r="G150" t="s">
        <v>490</v>
      </c>
      <c r="H150" t="s">
        <v>256</v>
      </c>
      <c r="I150">
        <f t="shared" si="160"/>
        <v>0.01</v>
      </c>
      <c r="J150">
        <v>0</v>
      </c>
      <c r="O150">
        <f t="shared" si="161"/>
        <v>19.98</v>
      </c>
      <c r="P150">
        <f t="shared" si="162"/>
        <v>2.04</v>
      </c>
      <c r="Q150">
        <f t="shared" si="163"/>
        <v>0.43</v>
      </c>
      <c r="R150">
        <f t="shared" si="164"/>
        <v>0.08</v>
      </c>
      <c r="S150">
        <f t="shared" si="165"/>
        <v>17.510000000000002</v>
      </c>
      <c r="T150">
        <f t="shared" si="166"/>
        <v>0</v>
      </c>
      <c r="U150">
        <f t="shared" si="167"/>
        <v>0.34659999999999996</v>
      </c>
      <c r="V150">
        <f t="shared" si="168"/>
        <v>1E-3</v>
      </c>
      <c r="W150">
        <f t="shared" si="169"/>
        <v>0</v>
      </c>
      <c r="X150">
        <f t="shared" si="170"/>
        <v>13.02</v>
      </c>
      <c r="Y150">
        <f t="shared" si="171"/>
        <v>8.8000000000000007</v>
      </c>
      <c r="AA150">
        <v>16499878</v>
      </c>
      <c r="AB150">
        <f t="shared" si="172"/>
        <v>328.71</v>
      </c>
      <c r="AC150">
        <f t="shared" si="173"/>
        <v>33.6</v>
      </c>
      <c r="AD150">
        <f t="shared" si="174"/>
        <v>7.09</v>
      </c>
      <c r="AE150">
        <f t="shared" si="175"/>
        <v>1.35</v>
      </c>
      <c r="AF150">
        <f t="shared" si="175"/>
        <v>288.02</v>
      </c>
      <c r="AG150">
        <f t="shared" si="176"/>
        <v>0</v>
      </c>
      <c r="AH150">
        <f t="shared" si="177"/>
        <v>34.659999999999997</v>
      </c>
      <c r="AI150">
        <f t="shared" si="177"/>
        <v>0.1</v>
      </c>
      <c r="AJ150">
        <f t="shared" si="178"/>
        <v>0</v>
      </c>
      <c r="AK150">
        <v>328.71</v>
      </c>
      <c r="AL150">
        <v>33.6</v>
      </c>
      <c r="AM150">
        <v>7.09</v>
      </c>
      <c r="AN150">
        <v>1.35</v>
      </c>
      <c r="AO150">
        <v>288.02</v>
      </c>
      <c r="AP150">
        <v>0</v>
      </c>
      <c r="AQ150">
        <v>34.659999999999997</v>
      </c>
      <c r="AR150">
        <v>0.1</v>
      </c>
      <c r="AS150">
        <v>0</v>
      </c>
      <c r="AT150">
        <v>74</v>
      </c>
      <c r="AU150">
        <v>50</v>
      </c>
      <c r="AV150">
        <v>1</v>
      </c>
      <c r="AW150">
        <v>1</v>
      </c>
      <c r="AZ150">
        <v>6.08</v>
      </c>
      <c r="BA150">
        <v>6.08</v>
      </c>
      <c r="BB150">
        <v>6.08</v>
      </c>
      <c r="BC150">
        <v>6.08</v>
      </c>
      <c r="BD150" t="s">
        <v>224</v>
      </c>
      <c r="BE150" t="s">
        <v>224</v>
      </c>
      <c r="BF150" t="s">
        <v>224</v>
      </c>
      <c r="BG150" t="s">
        <v>224</v>
      </c>
      <c r="BH150">
        <v>0</v>
      </c>
      <c r="BI150">
        <v>1</v>
      </c>
      <c r="BJ150" t="s">
        <v>491</v>
      </c>
      <c r="BM150">
        <v>65001</v>
      </c>
      <c r="BN150">
        <v>0</v>
      </c>
      <c r="BO150" t="s">
        <v>224</v>
      </c>
      <c r="BP150">
        <v>0</v>
      </c>
      <c r="BQ150">
        <v>6</v>
      </c>
      <c r="BR150">
        <v>0</v>
      </c>
      <c r="BS150">
        <v>6.08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224</v>
      </c>
      <c r="BZ150">
        <v>74</v>
      </c>
      <c r="CA150">
        <v>50</v>
      </c>
      <c r="CF150">
        <v>0</v>
      </c>
      <c r="CG150">
        <v>0</v>
      </c>
      <c r="CM150">
        <v>0</v>
      </c>
      <c r="CN150" t="s">
        <v>224</v>
      </c>
      <c r="CO150">
        <v>0</v>
      </c>
      <c r="CP150">
        <f t="shared" si="179"/>
        <v>19.98</v>
      </c>
      <c r="CQ150">
        <f t="shared" si="180"/>
        <v>204.28800000000001</v>
      </c>
      <c r="CR150">
        <f t="shared" si="181"/>
        <v>43.107199999999999</v>
      </c>
      <c r="CS150">
        <f t="shared" si="182"/>
        <v>8.2080000000000002</v>
      </c>
      <c r="CT150">
        <f t="shared" si="183"/>
        <v>1751.1615999999999</v>
      </c>
      <c r="CU150">
        <f t="shared" si="184"/>
        <v>0</v>
      </c>
      <c r="CV150">
        <f t="shared" si="185"/>
        <v>34.659999999999997</v>
      </c>
      <c r="CW150">
        <f t="shared" si="186"/>
        <v>0.1</v>
      </c>
      <c r="CX150">
        <f t="shared" si="187"/>
        <v>0</v>
      </c>
      <c r="CY150">
        <f t="shared" si="188"/>
        <v>13.0166</v>
      </c>
      <c r="CZ150">
        <f t="shared" si="189"/>
        <v>8.7949999999999999</v>
      </c>
      <c r="DC150" t="s">
        <v>224</v>
      </c>
      <c r="DD150" t="s">
        <v>224</v>
      </c>
      <c r="DE150" t="s">
        <v>224</v>
      </c>
      <c r="DF150" t="s">
        <v>224</v>
      </c>
      <c r="DG150" t="s">
        <v>224</v>
      </c>
      <c r="DH150" t="s">
        <v>224</v>
      </c>
      <c r="DI150" t="s">
        <v>224</v>
      </c>
      <c r="DJ150" t="s">
        <v>224</v>
      </c>
      <c r="DK150" t="s">
        <v>224</v>
      </c>
      <c r="DL150" t="s">
        <v>224</v>
      </c>
      <c r="DM150" t="s">
        <v>224</v>
      </c>
      <c r="DN150">
        <v>0</v>
      </c>
      <c r="DO150">
        <v>0</v>
      </c>
      <c r="DP150">
        <v>1</v>
      </c>
      <c r="DQ150">
        <v>1</v>
      </c>
      <c r="DU150">
        <v>1003</v>
      </c>
      <c r="DV150" t="s">
        <v>256</v>
      </c>
      <c r="DW150" t="s">
        <v>256</v>
      </c>
      <c r="DX150">
        <v>100</v>
      </c>
      <c r="EE150">
        <v>15139187</v>
      </c>
      <c r="EF150">
        <v>6</v>
      </c>
      <c r="EG150" t="s">
        <v>250</v>
      </c>
      <c r="EH150">
        <v>0</v>
      </c>
      <c r="EI150" t="s">
        <v>224</v>
      </c>
      <c r="EJ150">
        <v>1</v>
      </c>
      <c r="EK150">
        <v>65001</v>
      </c>
      <c r="EL150" t="s">
        <v>492</v>
      </c>
      <c r="EM150" t="s">
        <v>493</v>
      </c>
      <c r="EO150" t="s">
        <v>224</v>
      </c>
      <c r="EQ150">
        <v>0</v>
      </c>
      <c r="ER150">
        <v>328.71</v>
      </c>
      <c r="ES150">
        <v>33.6</v>
      </c>
      <c r="ET150">
        <v>7.09</v>
      </c>
      <c r="EU150">
        <v>1.35</v>
      </c>
      <c r="EV150">
        <v>288.02</v>
      </c>
      <c r="EW150">
        <v>34.659999999999997</v>
      </c>
      <c r="EX150">
        <v>0.1</v>
      </c>
      <c r="EY150">
        <v>0</v>
      </c>
      <c r="FQ150">
        <v>0</v>
      </c>
      <c r="FR150">
        <f t="shared" si="190"/>
        <v>0</v>
      </c>
      <c r="FS150">
        <v>0</v>
      </c>
      <c r="FX150">
        <v>74</v>
      </c>
      <c r="FY150">
        <v>50</v>
      </c>
      <c r="GA150" t="s">
        <v>224</v>
      </c>
      <c r="GD150">
        <v>0</v>
      </c>
      <c r="GF150">
        <v>-93922138</v>
      </c>
      <c r="GG150">
        <v>1</v>
      </c>
      <c r="GH150">
        <v>1</v>
      </c>
      <c r="GI150">
        <v>4</v>
      </c>
      <c r="GJ150">
        <v>0</v>
      </c>
      <c r="GK150">
        <f>ROUND(R150*(S12)/100,2)</f>
        <v>0</v>
      </c>
      <c r="GL150">
        <f t="shared" si="191"/>
        <v>0</v>
      </c>
      <c r="GM150">
        <f t="shared" si="192"/>
        <v>41.8</v>
      </c>
      <c r="GN150">
        <f t="shared" si="193"/>
        <v>41.8</v>
      </c>
      <c r="GO150">
        <f t="shared" si="194"/>
        <v>0</v>
      </c>
      <c r="GP150">
        <f t="shared" si="195"/>
        <v>0</v>
      </c>
      <c r="GR150">
        <v>0</v>
      </c>
      <c r="GS150">
        <v>3</v>
      </c>
      <c r="GT150">
        <v>0</v>
      </c>
      <c r="GU150" t="s">
        <v>224</v>
      </c>
      <c r="GV150">
        <f t="shared" si="196"/>
        <v>0</v>
      </c>
      <c r="GW150">
        <v>1</v>
      </c>
      <c r="GX150">
        <f t="shared" si="197"/>
        <v>0</v>
      </c>
      <c r="HA150">
        <v>0</v>
      </c>
      <c r="HB150">
        <v>0</v>
      </c>
      <c r="IK150">
        <v>0</v>
      </c>
    </row>
    <row r="151" spans="1:255" x14ac:dyDescent="0.2">
      <c r="A151" s="2">
        <v>17</v>
      </c>
      <c r="B151" s="2">
        <v>1</v>
      </c>
      <c r="C151" s="2">
        <f>ROW(SmtRes!A387)</f>
        <v>387</v>
      </c>
      <c r="D151" s="2">
        <f>ROW(EtalonRes!A412)</f>
        <v>412</v>
      </c>
      <c r="E151" s="2" t="s">
        <v>494</v>
      </c>
      <c r="F151" s="2" t="s">
        <v>495</v>
      </c>
      <c r="G151" s="2" t="s">
        <v>496</v>
      </c>
      <c r="H151" s="2" t="s">
        <v>497</v>
      </c>
      <c r="I151" s="2">
        <f t="shared" si="160"/>
        <v>0.01</v>
      </c>
      <c r="J151" s="2">
        <v>0</v>
      </c>
      <c r="K151" s="2"/>
      <c r="L151" s="2"/>
      <c r="M151" s="2"/>
      <c r="N151" s="2"/>
      <c r="O151" s="2">
        <f t="shared" si="161"/>
        <v>3.15</v>
      </c>
      <c r="P151" s="2">
        <f t="shared" si="162"/>
        <v>0</v>
      </c>
      <c r="Q151" s="2">
        <f t="shared" si="163"/>
        <v>0.02</v>
      </c>
      <c r="R151" s="2">
        <f t="shared" si="164"/>
        <v>0.01</v>
      </c>
      <c r="S151" s="2">
        <f t="shared" si="165"/>
        <v>3.13</v>
      </c>
      <c r="T151" s="2">
        <f t="shared" si="166"/>
        <v>0</v>
      </c>
      <c r="U151" s="2">
        <f t="shared" si="167"/>
        <v>0.36710000000000004</v>
      </c>
      <c r="V151" s="2">
        <f t="shared" si="168"/>
        <v>7.000000000000001E-4</v>
      </c>
      <c r="W151" s="2">
        <f t="shared" si="169"/>
        <v>0</v>
      </c>
      <c r="X151" s="2">
        <f t="shared" si="170"/>
        <v>2.3199999999999998</v>
      </c>
      <c r="Y151" s="2">
        <f t="shared" si="171"/>
        <v>1.57</v>
      </c>
      <c r="Z151" s="2"/>
      <c r="AA151" s="2">
        <v>16499835</v>
      </c>
      <c r="AB151" s="2">
        <f t="shared" si="172"/>
        <v>315.33</v>
      </c>
      <c r="AC151" s="2">
        <f t="shared" si="173"/>
        <v>0</v>
      </c>
      <c r="AD151" s="2">
        <f t="shared" si="174"/>
        <v>2.19</v>
      </c>
      <c r="AE151" s="2">
        <f t="shared" si="175"/>
        <v>0.95</v>
      </c>
      <c r="AF151" s="2">
        <f t="shared" si="175"/>
        <v>313.14</v>
      </c>
      <c r="AG151" s="2">
        <f t="shared" si="176"/>
        <v>0</v>
      </c>
      <c r="AH151" s="2">
        <f t="shared" si="177"/>
        <v>36.71</v>
      </c>
      <c r="AI151" s="2">
        <f t="shared" si="177"/>
        <v>7.0000000000000007E-2</v>
      </c>
      <c r="AJ151" s="2">
        <f t="shared" si="178"/>
        <v>0</v>
      </c>
      <c r="AK151" s="2">
        <v>315.33</v>
      </c>
      <c r="AL151" s="2">
        <v>0</v>
      </c>
      <c r="AM151" s="2">
        <v>2.19</v>
      </c>
      <c r="AN151" s="2">
        <v>0.95</v>
      </c>
      <c r="AO151" s="2">
        <v>313.14</v>
      </c>
      <c r="AP151" s="2">
        <v>0</v>
      </c>
      <c r="AQ151" s="2">
        <v>36.71</v>
      </c>
      <c r="AR151" s="2">
        <v>7.0000000000000007E-2</v>
      </c>
      <c r="AS151" s="2">
        <v>0</v>
      </c>
      <c r="AT151" s="2">
        <v>74</v>
      </c>
      <c r="AU151" s="2">
        <v>50</v>
      </c>
      <c r="AV151" s="2">
        <v>1</v>
      </c>
      <c r="AW151" s="2">
        <v>1</v>
      </c>
      <c r="AX151" s="2"/>
      <c r="AY151" s="2"/>
      <c r="AZ151" s="2">
        <v>1</v>
      </c>
      <c r="BA151" s="2">
        <v>1</v>
      </c>
      <c r="BB151" s="2">
        <v>1</v>
      </c>
      <c r="BC151" s="2">
        <v>1</v>
      </c>
      <c r="BD151" s="2" t="s">
        <v>224</v>
      </c>
      <c r="BE151" s="2" t="s">
        <v>224</v>
      </c>
      <c r="BF151" s="2" t="s">
        <v>224</v>
      </c>
      <c r="BG151" s="2" t="s">
        <v>224</v>
      </c>
      <c r="BH151" s="2">
        <v>0</v>
      </c>
      <c r="BI151" s="2">
        <v>1</v>
      </c>
      <c r="BJ151" s="2" t="s">
        <v>498</v>
      </c>
      <c r="BK151" s="2"/>
      <c r="BL151" s="2"/>
      <c r="BM151" s="2">
        <v>65001</v>
      </c>
      <c r="BN151" s="2">
        <v>0</v>
      </c>
      <c r="BO151" s="2" t="s">
        <v>224</v>
      </c>
      <c r="BP151" s="2">
        <v>0</v>
      </c>
      <c r="BQ151" s="2">
        <v>6</v>
      </c>
      <c r="BR151" s="2">
        <v>0</v>
      </c>
      <c r="BS151" s="2">
        <v>1</v>
      </c>
      <c r="BT151" s="2">
        <v>1</v>
      </c>
      <c r="BU151" s="2">
        <v>1</v>
      </c>
      <c r="BV151" s="2">
        <v>1</v>
      </c>
      <c r="BW151" s="2">
        <v>1</v>
      </c>
      <c r="BX151" s="2">
        <v>1</v>
      </c>
      <c r="BY151" s="2" t="s">
        <v>224</v>
      </c>
      <c r="BZ151" s="2">
        <v>74</v>
      </c>
      <c r="CA151" s="2">
        <v>50</v>
      </c>
      <c r="CB151" s="2"/>
      <c r="CC151" s="2"/>
      <c r="CD151" s="2"/>
      <c r="CE151" s="2"/>
      <c r="CF151" s="2">
        <v>0</v>
      </c>
      <c r="CG151" s="2">
        <v>0</v>
      </c>
      <c r="CH151" s="2"/>
      <c r="CI151" s="2"/>
      <c r="CJ151" s="2"/>
      <c r="CK151" s="2"/>
      <c r="CL151" s="2"/>
      <c r="CM151" s="2">
        <v>0</v>
      </c>
      <c r="CN151" s="2" t="s">
        <v>224</v>
      </c>
      <c r="CO151" s="2">
        <v>0</v>
      </c>
      <c r="CP151" s="2">
        <f t="shared" si="179"/>
        <v>3.15</v>
      </c>
      <c r="CQ151" s="2">
        <f t="shared" si="180"/>
        <v>0</v>
      </c>
      <c r="CR151" s="2">
        <f t="shared" si="181"/>
        <v>2.19</v>
      </c>
      <c r="CS151" s="2">
        <f t="shared" si="182"/>
        <v>0.95</v>
      </c>
      <c r="CT151" s="2">
        <f t="shared" si="183"/>
        <v>313.14</v>
      </c>
      <c r="CU151" s="2">
        <f t="shared" si="184"/>
        <v>0</v>
      </c>
      <c r="CV151" s="2">
        <f t="shared" si="185"/>
        <v>36.71</v>
      </c>
      <c r="CW151" s="2">
        <f t="shared" si="186"/>
        <v>7.0000000000000007E-2</v>
      </c>
      <c r="CX151" s="2">
        <f t="shared" si="187"/>
        <v>0</v>
      </c>
      <c r="CY151" s="2">
        <f t="shared" si="188"/>
        <v>2.3235999999999999</v>
      </c>
      <c r="CZ151" s="2">
        <f t="shared" si="189"/>
        <v>1.5699999999999996</v>
      </c>
      <c r="DA151" s="2"/>
      <c r="DB151" s="2"/>
      <c r="DC151" s="2" t="s">
        <v>224</v>
      </c>
      <c r="DD151" s="2" t="s">
        <v>224</v>
      </c>
      <c r="DE151" s="2" t="s">
        <v>224</v>
      </c>
      <c r="DF151" s="2" t="s">
        <v>224</v>
      </c>
      <c r="DG151" s="2" t="s">
        <v>224</v>
      </c>
      <c r="DH151" s="2" t="s">
        <v>224</v>
      </c>
      <c r="DI151" s="2" t="s">
        <v>224</v>
      </c>
      <c r="DJ151" s="2" t="s">
        <v>224</v>
      </c>
      <c r="DK151" s="2" t="s">
        <v>224</v>
      </c>
      <c r="DL151" s="2" t="s">
        <v>224</v>
      </c>
      <c r="DM151" s="2" t="s">
        <v>224</v>
      </c>
      <c r="DN151" s="2">
        <v>0</v>
      </c>
      <c r="DO151" s="2">
        <v>0</v>
      </c>
      <c r="DP151" s="2">
        <v>1</v>
      </c>
      <c r="DQ151" s="2">
        <v>1</v>
      </c>
      <c r="DR151" s="2"/>
      <c r="DS151" s="2"/>
      <c r="DT151" s="2"/>
      <c r="DU151" s="2">
        <v>1013</v>
      </c>
      <c r="DV151" s="2" t="s">
        <v>497</v>
      </c>
      <c r="DW151" s="2" t="s">
        <v>497</v>
      </c>
      <c r="DX151" s="2">
        <v>1</v>
      </c>
      <c r="DY151" s="2"/>
      <c r="DZ151" s="2"/>
      <c r="EA151" s="2"/>
      <c r="EB151" s="2"/>
      <c r="EC151" s="2"/>
      <c r="ED151" s="2"/>
      <c r="EE151" s="2">
        <v>15139187</v>
      </c>
      <c r="EF151" s="2">
        <v>6</v>
      </c>
      <c r="EG151" s="2" t="s">
        <v>250</v>
      </c>
      <c r="EH151" s="2">
        <v>0</v>
      </c>
      <c r="EI151" s="2" t="s">
        <v>224</v>
      </c>
      <c r="EJ151" s="2">
        <v>1</v>
      </c>
      <c r="EK151" s="2">
        <v>65001</v>
      </c>
      <c r="EL151" s="2" t="s">
        <v>492</v>
      </c>
      <c r="EM151" s="2" t="s">
        <v>493</v>
      </c>
      <c r="EN151" s="2"/>
      <c r="EO151" s="2" t="s">
        <v>224</v>
      </c>
      <c r="EP151" s="2"/>
      <c r="EQ151" s="2">
        <v>0</v>
      </c>
      <c r="ER151" s="2">
        <v>315.33</v>
      </c>
      <c r="ES151" s="2">
        <v>0</v>
      </c>
      <c r="ET151" s="2">
        <v>2.19</v>
      </c>
      <c r="EU151" s="2">
        <v>0.95</v>
      </c>
      <c r="EV151" s="2">
        <v>313.14</v>
      </c>
      <c r="EW151" s="2">
        <v>36.71</v>
      </c>
      <c r="EX151" s="2">
        <v>7.0000000000000007E-2</v>
      </c>
      <c r="EY151" s="2">
        <v>0</v>
      </c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>
        <v>0</v>
      </c>
      <c r="FR151" s="2">
        <f t="shared" si="190"/>
        <v>0</v>
      </c>
      <c r="FS151" s="2">
        <v>0</v>
      </c>
      <c r="FT151" s="2"/>
      <c r="FU151" s="2"/>
      <c r="FV151" s="2"/>
      <c r="FW151" s="2"/>
      <c r="FX151" s="2">
        <v>74</v>
      </c>
      <c r="FY151" s="2">
        <v>50</v>
      </c>
      <c r="FZ151" s="2"/>
      <c r="GA151" s="2" t="s">
        <v>224</v>
      </c>
      <c r="GB151" s="2"/>
      <c r="GC151" s="2"/>
      <c r="GD151" s="2">
        <v>0</v>
      </c>
      <c r="GE151" s="2"/>
      <c r="GF151" s="2">
        <v>-678127360</v>
      </c>
      <c r="GG151" s="2">
        <v>2</v>
      </c>
      <c r="GH151" s="2">
        <v>1</v>
      </c>
      <c r="GI151" s="2">
        <v>-2</v>
      </c>
      <c r="GJ151" s="2">
        <v>0</v>
      </c>
      <c r="GK151" s="2">
        <f>ROUND(R151*(R12)/100,2)</f>
        <v>0</v>
      </c>
      <c r="GL151" s="2">
        <f t="shared" si="191"/>
        <v>0</v>
      </c>
      <c r="GM151" s="2">
        <f t="shared" si="192"/>
        <v>7.04</v>
      </c>
      <c r="GN151" s="2">
        <f t="shared" si="193"/>
        <v>7.04</v>
      </c>
      <c r="GO151" s="2">
        <f t="shared" si="194"/>
        <v>0</v>
      </c>
      <c r="GP151" s="2">
        <f t="shared" si="195"/>
        <v>0</v>
      </c>
      <c r="GQ151" s="2"/>
      <c r="GR151" s="2">
        <v>0</v>
      </c>
      <c r="GS151" s="2">
        <v>3</v>
      </c>
      <c r="GT151" s="2">
        <v>0</v>
      </c>
      <c r="GU151" s="2" t="s">
        <v>224</v>
      </c>
      <c r="GV151" s="2">
        <f t="shared" si="196"/>
        <v>0</v>
      </c>
      <c r="GW151" s="2">
        <v>1</v>
      </c>
      <c r="GX151" s="2">
        <f t="shared" si="197"/>
        <v>0</v>
      </c>
      <c r="GY151" s="2"/>
      <c r="GZ151" s="2"/>
      <c r="HA151" s="2">
        <v>0</v>
      </c>
      <c r="HB151" s="2">
        <v>0</v>
      </c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>
        <v>0</v>
      </c>
      <c r="IL151" s="2"/>
      <c r="IM151" s="2"/>
      <c r="IN151" s="2"/>
      <c r="IO151" s="2"/>
      <c r="IP151" s="2"/>
      <c r="IQ151" s="2"/>
      <c r="IR151" s="2"/>
      <c r="IS151" s="2"/>
      <c r="IT151" s="2"/>
      <c r="IU151" s="2"/>
    </row>
    <row r="152" spans="1:255" x14ac:dyDescent="0.2">
      <c r="A152">
        <v>17</v>
      </c>
      <c r="B152">
        <v>1</v>
      </c>
      <c r="C152">
        <f>ROW(SmtRes!A390)</f>
        <v>390</v>
      </c>
      <c r="D152">
        <f>ROW(EtalonRes!A416)</f>
        <v>416</v>
      </c>
      <c r="E152" t="s">
        <v>494</v>
      </c>
      <c r="F152" t="s">
        <v>495</v>
      </c>
      <c r="G152" t="s">
        <v>496</v>
      </c>
      <c r="H152" t="s">
        <v>497</v>
      </c>
      <c r="I152">
        <f t="shared" si="160"/>
        <v>0.01</v>
      </c>
      <c r="J152">
        <v>0</v>
      </c>
      <c r="O152">
        <f t="shared" si="161"/>
        <v>19.170000000000002</v>
      </c>
      <c r="P152">
        <f t="shared" si="162"/>
        <v>0</v>
      </c>
      <c r="Q152">
        <f t="shared" si="163"/>
        <v>0.13</v>
      </c>
      <c r="R152">
        <f t="shared" si="164"/>
        <v>0.06</v>
      </c>
      <c r="S152">
        <f t="shared" si="165"/>
        <v>19.04</v>
      </c>
      <c r="T152">
        <f t="shared" si="166"/>
        <v>0</v>
      </c>
      <c r="U152">
        <f t="shared" si="167"/>
        <v>0.36710000000000004</v>
      </c>
      <c r="V152">
        <f t="shared" si="168"/>
        <v>7.000000000000001E-4</v>
      </c>
      <c r="W152">
        <f t="shared" si="169"/>
        <v>0</v>
      </c>
      <c r="X152">
        <f t="shared" si="170"/>
        <v>14.13</v>
      </c>
      <c r="Y152">
        <f t="shared" si="171"/>
        <v>9.5500000000000007</v>
      </c>
      <c r="AA152">
        <v>16499878</v>
      </c>
      <c r="AB152">
        <f t="shared" si="172"/>
        <v>315.33</v>
      </c>
      <c r="AC152">
        <f t="shared" si="173"/>
        <v>0</v>
      </c>
      <c r="AD152">
        <f t="shared" si="174"/>
        <v>2.19</v>
      </c>
      <c r="AE152">
        <f t="shared" si="175"/>
        <v>0.95</v>
      </c>
      <c r="AF152">
        <f t="shared" si="175"/>
        <v>313.14</v>
      </c>
      <c r="AG152">
        <f t="shared" si="176"/>
        <v>0</v>
      </c>
      <c r="AH152">
        <f t="shared" si="177"/>
        <v>36.71</v>
      </c>
      <c r="AI152">
        <f t="shared" si="177"/>
        <v>7.0000000000000007E-2</v>
      </c>
      <c r="AJ152">
        <f t="shared" si="178"/>
        <v>0</v>
      </c>
      <c r="AK152">
        <v>315.33</v>
      </c>
      <c r="AL152">
        <v>0</v>
      </c>
      <c r="AM152">
        <v>2.19</v>
      </c>
      <c r="AN152">
        <v>0.95</v>
      </c>
      <c r="AO152">
        <v>313.14</v>
      </c>
      <c r="AP152">
        <v>0</v>
      </c>
      <c r="AQ152">
        <v>36.71</v>
      </c>
      <c r="AR152">
        <v>7.0000000000000007E-2</v>
      </c>
      <c r="AS152">
        <v>0</v>
      </c>
      <c r="AT152">
        <v>74</v>
      </c>
      <c r="AU152">
        <v>50</v>
      </c>
      <c r="AV152">
        <v>1</v>
      </c>
      <c r="AW152">
        <v>1</v>
      </c>
      <c r="AZ152">
        <v>6.08</v>
      </c>
      <c r="BA152">
        <v>6.08</v>
      </c>
      <c r="BB152">
        <v>6.08</v>
      </c>
      <c r="BC152">
        <v>6.08</v>
      </c>
      <c r="BD152" t="s">
        <v>224</v>
      </c>
      <c r="BE152" t="s">
        <v>224</v>
      </c>
      <c r="BF152" t="s">
        <v>224</v>
      </c>
      <c r="BG152" t="s">
        <v>224</v>
      </c>
      <c r="BH152">
        <v>0</v>
      </c>
      <c r="BI152">
        <v>1</v>
      </c>
      <c r="BJ152" t="s">
        <v>498</v>
      </c>
      <c r="BM152">
        <v>65001</v>
      </c>
      <c r="BN152">
        <v>0</v>
      </c>
      <c r="BO152" t="s">
        <v>224</v>
      </c>
      <c r="BP152">
        <v>0</v>
      </c>
      <c r="BQ152">
        <v>6</v>
      </c>
      <c r="BR152">
        <v>0</v>
      </c>
      <c r="BS152">
        <v>6.08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224</v>
      </c>
      <c r="BZ152">
        <v>74</v>
      </c>
      <c r="CA152">
        <v>50</v>
      </c>
      <c r="CF152">
        <v>0</v>
      </c>
      <c r="CG152">
        <v>0</v>
      </c>
      <c r="CM152">
        <v>0</v>
      </c>
      <c r="CN152" t="s">
        <v>224</v>
      </c>
      <c r="CO152">
        <v>0</v>
      </c>
      <c r="CP152">
        <f t="shared" si="179"/>
        <v>19.169999999999998</v>
      </c>
      <c r="CQ152">
        <f t="shared" si="180"/>
        <v>0</v>
      </c>
      <c r="CR152">
        <f t="shared" si="181"/>
        <v>13.315199999999999</v>
      </c>
      <c r="CS152">
        <f t="shared" si="182"/>
        <v>5.7759999999999998</v>
      </c>
      <c r="CT152">
        <f t="shared" si="183"/>
        <v>1903.8912</v>
      </c>
      <c r="CU152">
        <f t="shared" si="184"/>
        <v>0</v>
      </c>
      <c r="CV152">
        <f t="shared" si="185"/>
        <v>36.71</v>
      </c>
      <c r="CW152">
        <f t="shared" si="186"/>
        <v>7.0000000000000007E-2</v>
      </c>
      <c r="CX152">
        <f t="shared" si="187"/>
        <v>0</v>
      </c>
      <c r="CY152">
        <f t="shared" si="188"/>
        <v>14.133999999999999</v>
      </c>
      <c r="CZ152">
        <f t="shared" si="189"/>
        <v>9.5499999999999989</v>
      </c>
      <c r="DC152" t="s">
        <v>224</v>
      </c>
      <c r="DD152" t="s">
        <v>224</v>
      </c>
      <c r="DE152" t="s">
        <v>224</v>
      </c>
      <c r="DF152" t="s">
        <v>224</v>
      </c>
      <c r="DG152" t="s">
        <v>224</v>
      </c>
      <c r="DH152" t="s">
        <v>224</v>
      </c>
      <c r="DI152" t="s">
        <v>224</v>
      </c>
      <c r="DJ152" t="s">
        <v>224</v>
      </c>
      <c r="DK152" t="s">
        <v>224</v>
      </c>
      <c r="DL152" t="s">
        <v>224</v>
      </c>
      <c r="DM152" t="s">
        <v>224</v>
      </c>
      <c r="DN152">
        <v>0</v>
      </c>
      <c r="DO152">
        <v>0</v>
      </c>
      <c r="DP152">
        <v>1</v>
      </c>
      <c r="DQ152">
        <v>1</v>
      </c>
      <c r="DU152">
        <v>1013</v>
      </c>
      <c r="DV152" t="s">
        <v>497</v>
      </c>
      <c r="DW152" t="s">
        <v>497</v>
      </c>
      <c r="DX152">
        <v>1</v>
      </c>
      <c r="EE152">
        <v>15139187</v>
      </c>
      <c r="EF152">
        <v>6</v>
      </c>
      <c r="EG152" t="s">
        <v>250</v>
      </c>
      <c r="EH152">
        <v>0</v>
      </c>
      <c r="EI152" t="s">
        <v>224</v>
      </c>
      <c r="EJ152">
        <v>1</v>
      </c>
      <c r="EK152">
        <v>65001</v>
      </c>
      <c r="EL152" t="s">
        <v>492</v>
      </c>
      <c r="EM152" t="s">
        <v>493</v>
      </c>
      <c r="EO152" t="s">
        <v>224</v>
      </c>
      <c r="EQ152">
        <v>0</v>
      </c>
      <c r="ER152">
        <v>315.33</v>
      </c>
      <c r="ES152">
        <v>0</v>
      </c>
      <c r="ET152">
        <v>2.19</v>
      </c>
      <c r="EU152">
        <v>0.95</v>
      </c>
      <c r="EV152">
        <v>313.14</v>
      </c>
      <c r="EW152">
        <v>36.71</v>
      </c>
      <c r="EX152">
        <v>7.0000000000000007E-2</v>
      </c>
      <c r="EY152">
        <v>0</v>
      </c>
      <c r="FQ152">
        <v>0</v>
      </c>
      <c r="FR152">
        <f t="shared" si="190"/>
        <v>0</v>
      </c>
      <c r="FS152">
        <v>0</v>
      </c>
      <c r="FX152">
        <v>74</v>
      </c>
      <c r="FY152">
        <v>50</v>
      </c>
      <c r="GA152" t="s">
        <v>224</v>
      </c>
      <c r="GD152">
        <v>0</v>
      </c>
      <c r="GF152">
        <v>-678127360</v>
      </c>
      <c r="GG152">
        <v>1</v>
      </c>
      <c r="GH152">
        <v>1</v>
      </c>
      <c r="GI152">
        <v>4</v>
      </c>
      <c r="GJ152">
        <v>0</v>
      </c>
      <c r="GK152">
        <f>ROUND(R152*(S12)/100,2)</f>
        <v>0</v>
      </c>
      <c r="GL152">
        <f t="shared" si="191"/>
        <v>0</v>
      </c>
      <c r="GM152">
        <f t="shared" si="192"/>
        <v>42.85</v>
      </c>
      <c r="GN152">
        <f t="shared" si="193"/>
        <v>42.85</v>
      </c>
      <c r="GO152">
        <f t="shared" si="194"/>
        <v>0</v>
      </c>
      <c r="GP152">
        <f t="shared" si="195"/>
        <v>0</v>
      </c>
      <c r="GR152">
        <v>0</v>
      </c>
      <c r="GS152">
        <v>3</v>
      </c>
      <c r="GT152">
        <v>0</v>
      </c>
      <c r="GU152" t="s">
        <v>224</v>
      </c>
      <c r="GV152">
        <f t="shared" si="196"/>
        <v>0</v>
      </c>
      <c r="GW152">
        <v>1</v>
      </c>
      <c r="GX152">
        <f t="shared" si="197"/>
        <v>0</v>
      </c>
      <c r="HA152">
        <v>0</v>
      </c>
      <c r="HB152">
        <v>0</v>
      </c>
      <c r="IK152">
        <v>0</v>
      </c>
    </row>
    <row r="153" spans="1:255" x14ac:dyDescent="0.2">
      <c r="A153" s="2">
        <v>17</v>
      </c>
      <c r="B153" s="2">
        <v>1</v>
      </c>
      <c r="C153" s="2">
        <f>ROW(SmtRes!A393)</f>
        <v>393</v>
      </c>
      <c r="D153" s="2">
        <f>ROW(EtalonRes!A420)</f>
        <v>420</v>
      </c>
      <c r="E153" s="2" t="s">
        <v>499</v>
      </c>
      <c r="F153" s="2" t="s">
        <v>500</v>
      </c>
      <c r="G153" s="2" t="s">
        <v>501</v>
      </c>
      <c r="H153" s="2" t="s">
        <v>497</v>
      </c>
      <c r="I153" s="2">
        <f t="shared" si="160"/>
        <v>0.01</v>
      </c>
      <c r="J153" s="2">
        <v>0</v>
      </c>
      <c r="K153" s="2"/>
      <c r="L153" s="2"/>
      <c r="M153" s="2"/>
      <c r="N153" s="2"/>
      <c r="O153" s="2">
        <f t="shared" si="161"/>
        <v>4.46</v>
      </c>
      <c r="P153" s="2">
        <f t="shared" si="162"/>
        <v>0</v>
      </c>
      <c r="Q153" s="2">
        <f t="shared" si="163"/>
        <v>0.08</v>
      </c>
      <c r="R153" s="2">
        <f t="shared" si="164"/>
        <v>0.04</v>
      </c>
      <c r="S153" s="2">
        <f t="shared" si="165"/>
        <v>4.38</v>
      </c>
      <c r="T153" s="2">
        <f t="shared" si="166"/>
        <v>0</v>
      </c>
      <c r="U153" s="2">
        <f t="shared" si="167"/>
        <v>0.51300000000000001</v>
      </c>
      <c r="V153" s="2">
        <f t="shared" si="168"/>
        <v>2.6000000000000003E-3</v>
      </c>
      <c r="W153" s="2">
        <f t="shared" si="169"/>
        <v>0</v>
      </c>
      <c r="X153" s="2">
        <f t="shared" si="170"/>
        <v>3.27</v>
      </c>
      <c r="Y153" s="2">
        <f t="shared" si="171"/>
        <v>2.21</v>
      </c>
      <c r="Z153" s="2"/>
      <c r="AA153" s="2">
        <v>16499835</v>
      </c>
      <c r="AB153" s="2">
        <f t="shared" si="172"/>
        <v>445.72</v>
      </c>
      <c r="AC153" s="2">
        <f t="shared" si="173"/>
        <v>0</v>
      </c>
      <c r="AD153" s="2">
        <f t="shared" si="174"/>
        <v>8.1300000000000008</v>
      </c>
      <c r="AE153" s="2">
        <f t="shared" si="175"/>
        <v>3.51</v>
      </c>
      <c r="AF153" s="2">
        <f t="shared" si="175"/>
        <v>437.59</v>
      </c>
      <c r="AG153" s="2">
        <f t="shared" si="176"/>
        <v>0</v>
      </c>
      <c r="AH153" s="2">
        <f t="shared" si="177"/>
        <v>51.3</v>
      </c>
      <c r="AI153" s="2">
        <f t="shared" si="177"/>
        <v>0.26</v>
      </c>
      <c r="AJ153" s="2">
        <f t="shared" si="178"/>
        <v>0</v>
      </c>
      <c r="AK153" s="2">
        <v>445.72</v>
      </c>
      <c r="AL153" s="2">
        <v>0</v>
      </c>
      <c r="AM153" s="2">
        <v>8.1300000000000008</v>
      </c>
      <c r="AN153" s="2">
        <v>3.51</v>
      </c>
      <c r="AO153" s="2">
        <v>437.59</v>
      </c>
      <c r="AP153" s="2">
        <v>0</v>
      </c>
      <c r="AQ153" s="2">
        <v>51.3</v>
      </c>
      <c r="AR153" s="2">
        <v>0.26</v>
      </c>
      <c r="AS153" s="2">
        <v>0</v>
      </c>
      <c r="AT153" s="2">
        <v>74</v>
      </c>
      <c r="AU153" s="2">
        <v>50</v>
      </c>
      <c r="AV153" s="2">
        <v>1</v>
      </c>
      <c r="AW153" s="2">
        <v>1</v>
      </c>
      <c r="AX153" s="2"/>
      <c r="AY153" s="2"/>
      <c r="AZ153" s="2">
        <v>1</v>
      </c>
      <c r="BA153" s="2">
        <v>1</v>
      </c>
      <c r="BB153" s="2">
        <v>1</v>
      </c>
      <c r="BC153" s="2">
        <v>1</v>
      </c>
      <c r="BD153" s="2" t="s">
        <v>224</v>
      </c>
      <c r="BE153" s="2" t="s">
        <v>224</v>
      </c>
      <c r="BF153" s="2" t="s">
        <v>224</v>
      </c>
      <c r="BG153" s="2" t="s">
        <v>224</v>
      </c>
      <c r="BH153" s="2">
        <v>0</v>
      </c>
      <c r="BI153" s="2">
        <v>1</v>
      </c>
      <c r="BJ153" s="2" t="s">
        <v>502</v>
      </c>
      <c r="BK153" s="2"/>
      <c r="BL153" s="2"/>
      <c r="BM153" s="2">
        <v>65001</v>
      </c>
      <c r="BN153" s="2">
        <v>0</v>
      </c>
      <c r="BO153" s="2" t="s">
        <v>224</v>
      </c>
      <c r="BP153" s="2">
        <v>0</v>
      </c>
      <c r="BQ153" s="2">
        <v>6</v>
      </c>
      <c r="BR153" s="2">
        <v>0</v>
      </c>
      <c r="BS153" s="2">
        <v>1</v>
      </c>
      <c r="BT153" s="2">
        <v>1</v>
      </c>
      <c r="BU153" s="2">
        <v>1</v>
      </c>
      <c r="BV153" s="2">
        <v>1</v>
      </c>
      <c r="BW153" s="2">
        <v>1</v>
      </c>
      <c r="BX153" s="2">
        <v>1</v>
      </c>
      <c r="BY153" s="2" t="s">
        <v>224</v>
      </c>
      <c r="BZ153" s="2">
        <v>74</v>
      </c>
      <c r="CA153" s="2">
        <v>50</v>
      </c>
      <c r="CB153" s="2"/>
      <c r="CC153" s="2"/>
      <c r="CD153" s="2"/>
      <c r="CE153" s="2"/>
      <c r="CF153" s="2">
        <v>0</v>
      </c>
      <c r="CG153" s="2">
        <v>0</v>
      </c>
      <c r="CH153" s="2"/>
      <c r="CI153" s="2"/>
      <c r="CJ153" s="2"/>
      <c r="CK153" s="2"/>
      <c r="CL153" s="2"/>
      <c r="CM153" s="2">
        <v>0</v>
      </c>
      <c r="CN153" s="2" t="s">
        <v>224</v>
      </c>
      <c r="CO153" s="2">
        <v>0</v>
      </c>
      <c r="CP153" s="2">
        <f t="shared" si="179"/>
        <v>4.46</v>
      </c>
      <c r="CQ153" s="2">
        <f t="shared" si="180"/>
        <v>0</v>
      </c>
      <c r="CR153" s="2">
        <f t="shared" si="181"/>
        <v>8.1300000000000008</v>
      </c>
      <c r="CS153" s="2">
        <f t="shared" si="182"/>
        <v>3.51</v>
      </c>
      <c r="CT153" s="2">
        <f t="shared" si="183"/>
        <v>437.59</v>
      </c>
      <c r="CU153" s="2">
        <f t="shared" si="184"/>
        <v>0</v>
      </c>
      <c r="CV153" s="2">
        <f t="shared" si="185"/>
        <v>51.3</v>
      </c>
      <c r="CW153" s="2">
        <f t="shared" si="186"/>
        <v>0.26</v>
      </c>
      <c r="CX153" s="2">
        <f t="shared" si="187"/>
        <v>0</v>
      </c>
      <c r="CY153" s="2">
        <f t="shared" si="188"/>
        <v>3.2707999999999999</v>
      </c>
      <c r="CZ153" s="2">
        <f t="shared" si="189"/>
        <v>2.21</v>
      </c>
      <c r="DA153" s="2"/>
      <c r="DB153" s="2"/>
      <c r="DC153" s="2" t="s">
        <v>224</v>
      </c>
      <c r="DD153" s="2" t="s">
        <v>224</v>
      </c>
      <c r="DE153" s="2" t="s">
        <v>224</v>
      </c>
      <c r="DF153" s="2" t="s">
        <v>224</v>
      </c>
      <c r="DG153" s="2" t="s">
        <v>224</v>
      </c>
      <c r="DH153" s="2" t="s">
        <v>224</v>
      </c>
      <c r="DI153" s="2" t="s">
        <v>224</v>
      </c>
      <c r="DJ153" s="2" t="s">
        <v>224</v>
      </c>
      <c r="DK153" s="2" t="s">
        <v>224</v>
      </c>
      <c r="DL153" s="2" t="s">
        <v>224</v>
      </c>
      <c r="DM153" s="2" t="s">
        <v>224</v>
      </c>
      <c r="DN153" s="2">
        <v>0</v>
      </c>
      <c r="DO153" s="2">
        <v>0</v>
      </c>
      <c r="DP153" s="2">
        <v>1</v>
      </c>
      <c r="DQ153" s="2">
        <v>1</v>
      </c>
      <c r="DR153" s="2"/>
      <c r="DS153" s="2"/>
      <c r="DT153" s="2"/>
      <c r="DU153" s="2">
        <v>1013</v>
      </c>
      <c r="DV153" s="2" t="s">
        <v>497</v>
      </c>
      <c r="DW153" s="2" t="s">
        <v>497</v>
      </c>
      <c r="DX153" s="2">
        <v>1</v>
      </c>
      <c r="DY153" s="2"/>
      <c r="DZ153" s="2"/>
      <c r="EA153" s="2"/>
      <c r="EB153" s="2"/>
      <c r="EC153" s="2"/>
      <c r="ED153" s="2"/>
      <c r="EE153" s="2">
        <v>15139187</v>
      </c>
      <c r="EF153" s="2">
        <v>6</v>
      </c>
      <c r="EG153" s="2" t="s">
        <v>250</v>
      </c>
      <c r="EH153" s="2">
        <v>0</v>
      </c>
      <c r="EI153" s="2" t="s">
        <v>224</v>
      </c>
      <c r="EJ153" s="2">
        <v>1</v>
      </c>
      <c r="EK153" s="2">
        <v>65001</v>
      </c>
      <c r="EL153" s="2" t="s">
        <v>492</v>
      </c>
      <c r="EM153" s="2" t="s">
        <v>493</v>
      </c>
      <c r="EN153" s="2"/>
      <c r="EO153" s="2" t="s">
        <v>224</v>
      </c>
      <c r="EP153" s="2"/>
      <c r="EQ153" s="2">
        <v>0</v>
      </c>
      <c r="ER153" s="2">
        <v>445.72</v>
      </c>
      <c r="ES153" s="2">
        <v>0</v>
      </c>
      <c r="ET153" s="2">
        <v>8.1300000000000008</v>
      </c>
      <c r="EU153" s="2">
        <v>3.51</v>
      </c>
      <c r="EV153" s="2">
        <v>437.59</v>
      </c>
      <c r="EW153" s="2">
        <v>51.3</v>
      </c>
      <c r="EX153" s="2">
        <v>0.26</v>
      </c>
      <c r="EY153" s="2">
        <v>0</v>
      </c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>
        <v>0</v>
      </c>
      <c r="FR153" s="2">
        <f t="shared" si="190"/>
        <v>0</v>
      </c>
      <c r="FS153" s="2">
        <v>0</v>
      </c>
      <c r="FT153" s="2"/>
      <c r="FU153" s="2"/>
      <c r="FV153" s="2"/>
      <c r="FW153" s="2"/>
      <c r="FX153" s="2">
        <v>74</v>
      </c>
      <c r="FY153" s="2">
        <v>50</v>
      </c>
      <c r="FZ153" s="2"/>
      <c r="GA153" s="2" t="s">
        <v>224</v>
      </c>
      <c r="GB153" s="2"/>
      <c r="GC153" s="2"/>
      <c r="GD153" s="2">
        <v>0</v>
      </c>
      <c r="GE153" s="2"/>
      <c r="GF153" s="2">
        <v>739869842</v>
      </c>
      <c r="GG153" s="2">
        <v>2</v>
      </c>
      <c r="GH153" s="2">
        <v>1</v>
      </c>
      <c r="GI153" s="2">
        <v>-2</v>
      </c>
      <c r="GJ153" s="2">
        <v>0</v>
      </c>
      <c r="GK153" s="2">
        <f>ROUND(R153*(R12)/100,2)</f>
        <v>0</v>
      </c>
      <c r="GL153" s="2">
        <f t="shared" si="191"/>
        <v>0</v>
      </c>
      <c r="GM153" s="2">
        <f t="shared" si="192"/>
        <v>9.94</v>
      </c>
      <c r="GN153" s="2">
        <f t="shared" si="193"/>
        <v>9.94</v>
      </c>
      <c r="GO153" s="2">
        <f t="shared" si="194"/>
        <v>0</v>
      </c>
      <c r="GP153" s="2">
        <f t="shared" si="195"/>
        <v>0</v>
      </c>
      <c r="GQ153" s="2"/>
      <c r="GR153" s="2">
        <v>0</v>
      </c>
      <c r="GS153" s="2">
        <v>3</v>
      </c>
      <c r="GT153" s="2">
        <v>0</v>
      </c>
      <c r="GU153" s="2" t="s">
        <v>224</v>
      </c>
      <c r="GV153" s="2">
        <f t="shared" si="196"/>
        <v>0</v>
      </c>
      <c r="GW153" s="2">
        <v>1</v>
      </c>
      <c r="GX153" s="2">
        <f t="shared" si="197"/>
        <v>0</v>
      </c>
      <c r="GY153" s="2"/>
      <c r="GZ153" s="2"/>
      <c r="HA153" s="2">
        <v>0</v>
      </c>
      <c r="HB153" s="2">
        <v>0</v>
      </c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>
        <v>0</v>
      </c>
      <c r="IL153" s="2"/>
      <c r="IM153" s="2"/>
      <c r="IN153" s="2"/>
      <c r="IO153" s="2"/>
      <c r="IP153" s="2"/>
      <c r="IQ153" s="2"/>
      <c r="IR153" s="2"/>
      <c r="IS153" s="2"/>
      <c r="IT153" s="2"/>
      <c r="IU153" s="2"/>
    </row>
    <row r="154" spans="1:255" x14ac:dyDescent="0.2">
      <c r="A154">
        <v>17</v>
      </c>
      <c r="B154">
        <v>1</v>
      </c>
      <c r="C154">
        <f>ROW(SmtRes!A396)</f>
        <v>396</v>
      </c>
      <c r="D154">
        <f>ROW(EtalonRes!A424)</f>
        <v>424</v>
      </c>
      <c r="E154" t="s">
        <v>499</v>
      </c>
      <c r="F154" t="s">
        <v>500</v>
      </c>
      <c r="G154" t="s">
        <v>501</v>
      </c>
      <c r="H154" t="s">
        <v>497</v>
      </c>
      <c r="I154">
        <f t="shared" si="160"/>
        <v>0.01</v>
      </c>
      <c r="J154">
        <v>0</v>
      </c>
      <c r="O154">
        <f t="shared" si="161"/>
        <v>27.1</v>
      </c>
      <c r="P154">
        <f t="shared" si="162"/>
        <v>0</v>
      </c>
      <c r="Q154">
        <f t="shared" si="163"/>
        <v>0.49</v>
      </c>
      <c r="R154">
        <f t="shared" si="164"/>
        <v>0.21</v>
      </c>
      <c r="S154">
        <f t="shared" si="165"/>
        <v>26.61</v>
      </c>
      <c r="T154">
        <f t="shared" si="166"/>
        <v>0</v>
      </c>
      <c r="U154">
        <f t="shared" si="167"/>
        <v>0.51300000000000001</v>
      </c>
      <c r="V154">
        <f t="shared" si="168"/>
        <v>2.6000000000000003E-3</v>
      </c>
      <c r="W154">
        <f t="shared" si="169"/>
        <v>0</v>
      </c>
      <c r="X154">
        <f t="shared" si="170"/>
        <v>19.850000000000001</v>
      </c>
      <c r="Y154">
        <f t="shared" si="171"/>
        <v>13.41</v>
      </c>
      <c r="AA154">
        <v>16499878</v>
      </c>
      <c r="AB154">
        <f t="shared" si="172"/>
        <v>445.72</v>
      </c>
      <c r="AC154">
        <f t="shared" si="173"/>
        <v>0</v>
      </c>
      <c r="AD154">
        <f t="shared" si="174"/>
        <v>8.1300000000000008</v>
      </c>
      <c r="AE154">
        <f t="shared" si="175"/>
        <v>3.51</v>
      </c>
      <c r="AF154">
        <f t="shared" si="175"/>
        <v>437.59</v>
      </c>
      <c r="AG154">
        <f t="shared" si="176"/>
        <v>0</v>
      </c>
      <c r="AH154">
        <f t="shared" si="177"/>
        <v>51.3</v>
      </c>
      <c r="AI154">
        <f t="shared" si="177"/>
        <v>0.26</v>
      </c>
      <c r="AJ154">
        <f t="shared" si="178"/>
        <v>0</v>
      </c>
      <c r="AK154">
        <v>445.72</v>
      </c>
      <c r="AL154">
        <v>0</v>
      </c>
      <c r="AM154">
        <v>8.1300000000000008</v>
      </c>
      <c r="AN154">
        <v>3.51</v>
      </c>
      <c r="AO154">
        <v>437.59</v>
      </c>
      <c r="AP154">
        <v>0</v>
      </c>
      <c r="AQ154">
        <v>51.3</v>
      </c>
      <c r="AR154">
        <v>0.26</v>
      </c>
      <c r="AS154">
        <v>0</v>
      </c>
      <c r="AT154">
        <v>74</v>
      </c>
      <c r="AU154">
        <v>50</v>
      </c>
      <c r="AV154">
        <v>1</v>
      </c>
      <c r="AW154">
        <v>1</v>
      </c>
      <c r="AZ154">
        <v>6.08</v>
      </c>
      <c r="BA154">
        <v>6.08</v>
      </c>
      <c r="BB154">
        <v>6.08</v>
      </c>
      <c r="BC154">
        <v>6.08</v>
      </c>
      <c r="BD154" t="s">
        <v>224</v>
      </c>
      <c r="BE154" t="s">
        <v>224</v>
      </c>
      <c r="BF154" t="s">
        <v>224</v>
      </c>
      <c r="BG154" t="s">
        <v>224</v>
      </c>
      <c r="BH154">
        <v>0</v>
      </c>
      <c r="BI154">
        <v>1</v>
      </c>
      <c r="BJ154" t="s">
        <v>502</v>
      </c>
      <c r="BM154">
        <v>65001</v>
      </c>
      <c r="BN154">
        <v>0</v>
      </c>
      <c r="BO154" t="s">
        <v>224</v>
      </c>
      <c r="BP154">
        <v>0</v>
      </c>
      <c r="BQ154">
        <v>6</v>
      </c>
      <c r="BR154">
        <v>0</v>
      </c>
      <c r="BS154">
        <v>6.08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224</v>
      </c>
      <c r="BZ154">
        <v>74</v>
      </c>
      <c r="CA154">
        <v>50</v>
      </c>
      <c r="CF154">
        <v>0</v>
      </c>
      <c r="CG154">
        <v>0</v>
      </c>
      <c r="CM154">
        <v>0</v>
      </c>
      <c r="CN154" t="s">
        <v>224</v>
      </c>
      <c r="CO154">
        <v>0</v>
      </c>
      <c r="CP154">
        <f t="shared" si="179"/>
        <v>27.099999999999998</v>
      </c>
      <c r="CQ154">
        <f t="shared" si="180"/>
        <v>0</v>
      </c>
      <c r="CR154">
        <f t="shared" si="181"/>
        <v>49.430400000000006</v>
      </c>
      <c r="CS154">
        <f t="shared" si="182"/>
        <v>21.340799999999998</v>
      </c>
      <c r="CT154">
        <f t="shared" si="183"/>
        <v>2660.5472</v>
      </c>
      <c r="CU154">
        <f t="shared" si="184"/>
        <v>0</v>
      </c>
      <c r="CV154">
        <f t="shared" si="185"/>
        <v>51.3</v>
      </c>
      <c r="CW154">
        <f t="shared" si="186"/>
        <v>0.26</v>
      </c>
      <c r="CX154">
        <f t="shared" si="187"/>
        <v>0</v>
      </c>
      <c r="CY154">
        <f t="shared" si="188"/>
        <v>19.846800000000002</v>
      </c>
      <c r="CZ154">
        <f t="shared" si="189"/>
        <v>13.41</v>
      </c>
      <c r="DC154" t="s">
        <v>224</v>
      </c>
      <c r="DD154" t="s">
        <v>224</v>
      </c>
      <c r="DE154" t="s">
        <v>224</v>
      </c>
      <c r="DF154" t="s">
        <v>224</v>
      </c>
      <c r="DG154" t="s">
        <v>224</v>
      </c>
      <c r="DH154" t="s">
        <v>224</v>
      </c>
      <c r="DI154" t="s">
        <v>224</v>
      </c>
      <c r="DJ154" t="s">
        <v>224</v>
      </c>
      <c r="DK154" t="s">
        <v>224</v>
      </c>
      <c r="DL154" t="s">
        <v>224</v>
      </c>
      <c r="DM154" t="s">
        <v>224</v>
      </c>
      <c r="DN154">
        <v>0</v>
      </c>
      <c r="DO154">
        <v>0</v>
      </c>
      <c r="DP154">
        <v>1</v>
      </c>
      <c r="DQ154">
        <v>1</v>
      </c>
      <c r="DU154">
        <v>1013</v>
      </c>
      <c r="DV154" t="s">
        <v>497</v>
      </c>
      <c r="DW154" t="s">
        <v>497</v>
      </c>
      <c r="DX154">
        <v>1</v>
      </c>
      <c r="EE154">
        <v>15139187</v>
      </c>
      <c r="EF154">
        <v>6</v>
      </c>
      <c r="EG154" t="s">
        <v>250</v>
      </c>
      <c r="EH154">
        <v>0</v>
      </c>
      <c r="EI154" t="s">
        <v>224</v>
      </c>
      <c r="EJ154">
        <v>1</v>
      </c>
      <c r="EK154">
        <v>65001</v>
      </c>
      <c r="EL154" t="s">
        <v>492</v>
      </c>
      <c r="EM154" t="s">
        <v>493</v>
      </c>
      <c r="EO154" t="s">
        <v>224</v>
      </c>
      <c r="EQ154">
        <v>0</v>
      </c>
      <c r="ER154">
        <v>445.72</v>
      </c>
      <c r="ES154">
        <v>0</v>
      </c>
      <c r="ET154">
        <v>8.1300000000000008</v>
      </c>
      <c r="EU154">
        <v>3.51</v>
      </c>
      <c r="EV154">
        <v>437.59</v>
      </c>
      <c r="EW154">
        <v>51.3</v>
      </c>
      <c r="EX154">
        <v>0.26</v>
      </c>
      <c r="EY154">
        <v>0</v>
      </c>
      <c r="FQ154">
        <v>0</v>
      </c>
      <c r="FR154">
        <f t="shared" si="190"/>
        <v>0</v>
      </c>
      <c r="FS154">
        <v>0</v>
      </c>
      <c r="FX154">
        <v>74</v>
      </c>
      <c r="FY154">
        <v>50</v>
      </c>
      <c r="GA154" t="s">
        <v>224</v>
      </c>
      <c r="GD154">
        <v>0</v>
      </c>
      <c r="GF154">
        <v>739869842</v>
      </c>
      <c r="GG154">
        <v>1</v>
      </c>
      <c r="GH154">
        <v>1</v>
      </c>
      <c r="GI154">
        <v>4</v>
      </c>
      <c r="GJ154">
        <v>0</v>
      </c>
      <c r="GK154">
        <f>ROUND(R154*(S12)/100,2)</f>
        <v>0</v>
      </c>
      <c r="GL154">
        <f t="shared" si="191"/>
        <v>0</v>
      </c>
      <c r="GM154">
        <f t="shared" si="192"/>
        <v>60.36</v>
      </c>
      <c r="GN154">
        <f t="shared" si="193"/>
        <v>60.36</v>
      </c>
      <c r="GO154">
        <f t="shared" si="194"/>
        <v>0</v>
      </c>
      <c r="GP154">
        <f t="shared" si="195"/>
        <v>0</v>
      </c>
      <c r="GR154">
        <v>0</v>
      </c>
      <c r="GS154">
        <v>3</v>
      </c>
      <c r="GT154">
        <v>0</v>
      </c>
      <c r="GU154" t="s">
        <v>224</v>
      </c>
      <c r="GV154">
        <f t="shared" si="196"/>
        <v>0</v>
      </c>
      <c r="GW154">
        <v>1</v>
      </c>
      <c r="GX154">
        <f t="shared" si="197"/>
        <v>0</v>
      </c>
      <c r="HA154">
        <v>0</v>
      </c>
      <c r="HB154">
        <v>0</v>
      </c>
      <c r="IK154">
        <v>0</v>
      </c>
    </row>
    <row r="155" spans="1:255" x14ac:dyDescent="0.2">
      <c r="A155" s="2">
        <v>17</v>
      </c>
      <c r="B155" s="2">
        <v>1</v>
      </c>
      <c r="C155" s="2">
        <f>ROW(SmtRes!A399)</f>
        <v>399</v>
      </c>
      <c r="D155" s="2">
        <f>ROW(EtalonRes!A428)</f>
        <v>428</v>
      </c>
      <c r="E155" s="2" t="s">
        <v>503</v>
      </c>
      <c r="F155" s="2" t="s">
        <v>504</v>
      </c>
      <c r="G155" s="2" t="s">
        <v>505</v>
      </c>
      <c r="H155" s="2" t="s">
        <v>256</v>
      </c>
      <c r="I155" s="2">
        <f t="shared" si="160"/>
        <v>0.01</v>
      </c>
      <c r="J155" s="2">
        <v>0</v>
      </c>
      <c r="K155" s="2"/>
      <c r="L155" s="2"/>
      <c r="M155" s="2"/>
      <c r="N155" s="2"/>
      <c r="O155" s="2">
        <f t="shared" si="161"/>
        <v>5.87</v>
      </c>
      <c r="P155" s="2">
        <f t="shared" si="162"/>
        <v>0</v>
      </c>
      <c r="Q155" s="2">
        <f t="shared" si="163"/>
        <v>0.05</v>
      </c>
      <c r="R155" s="2">
        <f t="shared" si="164"/>
        <v>0.02</v>
      </c>
      <c r="S155" s="2">
        <f t="shared" si="165"/>
        <v>5.82</v>
      </c>
      <c r="T155" s="2">
        <f t="shared" si="166"/>
        <v>0</v>
      </c>
      <c r="U155" s="2">
        <f t="shared" si="167"/>
        <v>0.68799999999999994</v>
      </c>
      <c r="V155" s="2">
        <f t="shared" si="168"/>
        <v>1.6000000000000001E-3</v>
      </c>
      <c r="W155" s="2">
        <f t="shared" si="169"/>
        <v>0</v>
      </c>
      <c r="X155" s="2">
        <f t="shared" si="170"/>
        <v>4.32</v>
      </c>
      <c r="Y155" s="2">
        <f t="shared" si="171"/>
        <v>2.92</v>
      </c>
      <c r="Z155" s="2"/>
      <c r="AA155" s="2">
        <v>16499835</v>
      </c>
      <c r="AB155" s="2">
        <f t="shared" si="172"/>
        <v>587.04999999999995</v>
      </c>
      <c r="AC155" s="2">
        <f t="shared" si="173"/>
        <v>0</v>
      </c>
      <c r="AD155" s="2">
        <f t="shared" si="174"/>
        <v>5</v>
      </c>
      <c r="AE155" s="2">
        <f t="shared" si="175"/>
        <v>2.16</v>
      </c>
      <c r="AF155" s="2">
        <f t="shared" si="175"/>
        <v>582.04999999999995</v>
      </c>
      <c r="AG155" s="2">
        <f t="shared" si="176"/>
        <v>0</v>
      </c>
      <c r="AH155" s="2">
        <f t="shared" si="177"/>
        <v>68.8</v>
      </c>
      <c r="AI155" s="2">
        <f t="shared" si="177"/>
        <v>0.16</v>
      </c>
      <c r="AJ155" s="2">
        <f t="shared" si="178"/>
        <v>0</v>
      </c>
      <c r="AK155" s="2">
        <v>587.04999999999995</v>
      </c>
      <c r="AL155" s="2">
        <v>0</v>
      </c>
      <c r="AM155" s="2">
        <v>5</v>
      </c>
      <c r="AN155" s="2">
        <v>2.16</v>
      </c>
      <c r="AO155" s="2">
        <v>582.04999999999995</v>
      </c>
      <c r="AP155" s="2">
        <v>0</v>
      </c>
      <c r="AQ155" s="2">
        <v>68.8</v>
      </c>
      <c r="AR155" s="2">
        <v>0.16</v>
      </c>
      <c r="AS155" s="2">
        <v>0</v>
      </c>
      <c r="AT155" s="2">
        <v>74</v>
      </c>
      <c r="AU155" s="2">
        <v>50</v>
      </c>
      <c r="AV155" s="2">
        <v>1</v>
      </c>
      <c r="AW155" s="2">
        <v>1</v>
      </c>
      <c r="AX155" s="2"/>
      <c r="AY155" s="2"/>
      <c r="AZ155" s="2">
        <v>1</v>
      </c>
      <c r="BA155" s="2">
        <v>1</v>
      </c>
      <c r="BB155" s="2">
        <v>1</v>
      </c>
      <c r="BC155" s="2">
        <v>1</v>
      </c>
      <c r="BD155" s="2" t="s">
        <v>224</v>
      </c>
      <c r="BE155" s="2" t="s">
        <v>224</v>
      </c>
      <c r="BF155" s="2" t="s">
        <v>224</v>
      </c>
      <c r="BG155" s="2" t="s">
        <v>224</v>
      </c>
      <c r="BH155" s="2">
        <v>0</v>
      </c>
      <c r="BI155" s="2">
        <v>1</v>
      </c>
      <c r="BJ155" s="2" t="s">
        <v>506</v>
      </c>
      <c r="BK155" s="2"/>
      <c r="BL155" s="2"/>
      <c r="BM155" s="2">
        <v>65001</v>
      </c>
      <c r="BN155" s="2">
        <v>0</v>
      </c>
      <c r="BO155" s="2" t="s">
        <v>224</v>
      </c>
      <c r="BP155" s="2">
        <v>0</v>
      </c>
      <c r="BQ155" s="2">
        <v>6</v>
      </c>
      <c r="BR155" s="2">
        <v>0</v>
      </c>
      <c r="BS155" s="2">
        <v>1</v>
      </c>
      <c r="BT155" s="2">
        <v>1</v>
      </c>
      <c r="BU155" s="2">
        <v>1</v>
      </c>
      <c r="BV155" s="2">
        <v>1</v>
      </c>
      <c r="BW155" s="2">
        <v>1</v>
      </c>
      <c r="BX155" s="2">
        <v>1</v>
      </c>
      <c r="BY155" s="2" t="s">
        <v>224</v>
      </c>
      <c r="BZ155" s="2">
        <v>74</v>
      </c>
      <c r="CA155" s="2">
        <v>50</v>
      </c>
      <c r="CB155" s="2"/>
      <c r="CC155" s="2"/>
      <c r="CD155" s="2"/>
      <c r="CE155" s="2"/>
      <c r="CF155" s="2">
        <v>0</v>
      </c>
      <c r="CG155" s="2">
        <v>0</v>
      </c>
      <c r="CH155" s="2"/>
      <c r="CI155" s="2"/>
      <c r="CJ155" s="2"/>
      <c r="CK155" s="2"/>
      <c r="CL155" s="2"/>
      <c r="CM155" s="2">
        <v>0</v>
      </c>
      <c r="CN155" s="2" t="s">
        <v>224</v>
      </c>
      <c r="CO155" s="2">
        <v>0</v>
      </c>
      <c r="CP155" s="2">
        <f t="shared" si="179"/>
        <v>5.87</v>
      </c>
      <c r="CQ155" s="2">
        <f t="shared" si="180"/>
        <v>0</v>
      </c>
      <c r="CR155" s="2">
        <f t="shared" si="181"/>
        <v>5</v>
      </c>
      <c r="CS155" s="2">
        <f t="shared" si="182"/>
        <v>2.16</v>
      </c>
      <c r="CT155" s="2">
        <f t="shared" si="183"/>
        <v>582.04999999999995</v>
      </c>
      <c r="CU155" s="2">
        <f t="shared" si="184"/>
        <v>0</v>
      </c>
      <c r="CV155" s="2">
        <f t="shared" si="185"/>
        <v>68.8</v>
      </c>
      <c r="CW155" s="2">
        <f t="shared" si="186"/>
        <v>0.16</v>
      </c>
      <c r="CX155" s="2">
        <f t="shared" si="187"/>
        <v>0</v>
      </c>
      <c r="CY155" s="2">
        <f t="shared" si="188"/>
        <v>4.3216000000000001</v>
      </c>
      <c r="CZ155" s="2">
        <f t="shared" si="189"/>
        <v>2.92</v>
      </c>
      <c r="DA155" s="2"/>
      <c r="DB155" s="2"/>
      <c r="DC155" s="2" t="s">
        <v>224</v>
      </c>
      <c r="DD155" s="2" t="s">
        <v>224</v>
      </c>
      <c r="DE155" s="2" t="s">
        <v>224</v>
      </c>
      <c r="DF155" s="2" t="s">
        <v>224</v>
      </c>
      <c r="DG155" s="2" t="s">
        <v>224</v>
      </c>
      <c r="DH155" s="2" t="s">
        <v>224</v>
      </c>
      <c r="DI155" s="2" t="s">
        <v>224</v>
      </c>
      <c r="DJ155" s="2" t="s">
        <v>224</v>
      </c>
      <c r="DK155" s="2" t="s">
        <v>224</v>
      </c>
      <c r="DL155" s="2" t="s">
        <v>224</v>
      </c>
      <c r="DM155" s="2" t="s">
        <v>224</v>
      </c>
      <c r="DN155" s="2">
        <v>0</v>
      </c>
      <c r="DO155" s="2">
        <v>0</v>
      </c>
      <c r="DP155" s="2">
        <v>1</v>
      </c>
      <c r="DQ155" s="2">
        <v>1</v>
      </c>
      <c r="DR155" s="2"/>
      <c r="DS155" s="2"/>
      <c r="DT155" s="2"/>
      <c r="DU155" s="2">
        <v>1003</v>
      </c>
      <c r="DV155" s="2" t="s">
        <v>256</v>
      </c>
      <c r="DW155" s="2" t="s">
        <v>256</v>
      </c>
      <c r="DX155" s="2">
        <v>100</v>
      </c>
      <c r="DY155" s="2"/>
      <c r="DZ155" s="2"/>
      <c r="EA155" s="2"/>
      <c r="EB155" s="2"/>
      <c r="EC155" s="2"/>
      <c r="ED155" s="2"/>
      <c r="EE155" s="2">
        <v>15139187</v>
      </c>
      <c r="EF155" s="2">
        <v>6</v>
      </c>
      <c r="EG155" s="2" t="s">
        <v>250</v>
      </c>
      <c r="EH155" s="2">
        <v>0</v>
      </c>
      <c r="EI155" s="2" t="s">
        <v>224</v>
      </c>
      <c r="EJ155" s="2">
        <v>1</v>
      </c>
      <c r="EK155" s="2">
        <v>65001</v>
      </c>
      <c r="EL155" s="2" t="s">
        <v>492</v>
      </c>
      <c r="EM155" s="2" t="s">
        <v>493</v>
      </c>
      <c r="EN155" s="2"/>
      <c r="EO155" s="2" t="s">
        <v>224</v>
      </c>
      <c r="EP155" s="2"/>
      <c r="EQ155" s="2">
        <v>0</v>
      </c>
      <c r="ER155" s="2">
        <v>587.04999999999995</v>
      </c>
      <c r="ES155" s="2">
        <v>0</v>
      </c>
      <c r="ET155" s="2">
        <v>5</v>
      </c>
      <c r="EU155" s="2">
        <v>2.16</v>
      </c>
      <c r="EV155" s="2">
        <v>582.04999999999995</v>
      </c>
      <c r="EW155" s="2">
        <v>68.8</v>
      </c>
      <c r="EX155" s="2">
        <v>0.16</v>
      </c>
      <c r="EY155" s="2">
        <v>0</v>
      </c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>
        <v>0</v>
      </c>
      <c r="FR155" s="2">
        <f t="shared" si="190"/>
        <v>0</v>
      </c>
      <c r="FS155" s="2">
        <v>0</v>
      </c>
      <c r="FT155" s="2"/>
      <c r="FU155" s="2"/>
      <c r="FV155" s="2"/>
      <c r="FW155" s="2"/>
      <c r="FX155" s="2">
        <v>74</v>
      </c>
      <c r="FY155" s="2">
        <v>50</v>
      </c>
      <c r="FZ155" s="2"/>
      <c r="GA155" s="2" t="s">
        <v>224</v>
      </c>
      <c r="GB155" s="2"/>
      <c r="GC155" s="2"/>
      <c r="GD155" s="2">
        <v>0</v>
      </c>
      <c r="GE155" s="2"/>
      <c r="GF155" s="2">
        <v>786114150</v>
      </c>
      <c r="GG155" s="2">
        <v>2</v>
      </c>
      <c r="GH155" s="2">
        <v>1</v>
      </c>
      <c r="GI155" s="2">
        <v>-2</v>
      </c>
      <c r="GJ155" s="2">
        <v>0</v>
      </c>
      <c r="GK155" s="2">
        <f>ROUND(R155*(R12)/100,2)</f>
        <v>0</v>
      </c>
      <c r="GL155" s="2">
        <f t="shared" si="191"/>
        <v>0</v>
      </c>
      <c r="GM155" s="2">
        <f t="shared" si="192"/>
        <v>13.11</v>
      </c>
      <c r="GN155" s="2">
        <f t="shared" si="193"/>
        <v>13.11</v>
      </c>
      <c r="GO155" s="2">
        <f t="shared" si="194"/>
        <v>0</v>
      </c>
      <c r="GP155" s="2">
        <f t="shared" si="195"/>
        <v>0</v>
      </c>
      <c r="GQ155" s="2"/>
      <c r="GR155" s="2">
        <v>0</v>
      </c>
      <c r="GS155" s="2">
        <v>3</v>
      </c>
      <c r="GT155" s="2">
        <v>0</v>
      </c>
      <c r="GU155" s="2" t="s">
        <v>224</v>
      </c>
      <c r="GV155" s="2">
        <f t="shared" si="196"/>
        <v>0</v>
      </c>
      <c r="GW155" s="2">
        <v>1</v>
      </c>
      <c r="GX155" s="2">
        <f t="shared" si="197"/>
        <v>0</v>
      </c>
      <c r="GY155" s="2"/>
      <c r="GZ155" s="2"/>
      <c r="HA155" s="2">
        <v>0</v>
      </c>
      <c r="HB155" s="2">
        <v>0</v>
      </c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>
        <v>0</v>
      </c>
      <c r="IL155" s="2"/>
      <c r="IM155" s="2"/>
      <c r="IN155" s="2"/>
      <c r="IO155" s="2"/>
      <c r="IP155" s="2"/>
      <c r="IQ155" s="2"/>
      <c r="IR155" s="2"/>
      <c r="IS155" s="2"/>
      <c r="IT155" s="2"/>
      <c r="IU155" s="2"/>
    </row>
    <row r="156" spans="1:255" x14ac:dyDescent="0.2">
      <c r="A156">
        <v>17</v>
      </c>
      <c r="B156">
        <v>1</v>
      </c>
      <c r="C156">
        <f>ROW(SmtRes!A402)</f>
        <v>402</v>
      </c>
      <c r="D156">
        <f>ROW(EtalonRes!A432)</f>
        <v>432</v>
      </c>
      <c r="E156" t="s">
        <v>503</v>
      </c>
      <c r="F156" t="s">
        <v>504</v>
      </c>
      <c r="G156" t="s">
        <v>505</v>
      </c>
      <c r="H156" t="s">
        <v>256</v>
      </c>
      <c r="I156">
        <f t="shared" si="160"/>
        <v>0.01</v>
      </c>
      <c r="J156">
        <v>0</v>
      </c>
      <c r="O156">
        <f t="shared" si="161"/>
        <v>35.69</v>
      </c>
      <c r="P156">
        <f t="shared" si="162"/>
        <v>0</v>
      </c>
      <c r="Q156">
        <f t="shared" si="163"/>
        <v>0.3</v>
      </c>
      <c r="R156">
        <f t="shared" si="164"/>
        <v>0.13</v>
      </c>
      <c r="S156">
        <f t="shared" si="165"/>
        <v>35.39</v>
      </c>
      <c r="T156">
        <f t="shared" si="166"/>
        <v>0</v>
      </c>
      <c r="U156">
        <f t="shared" si="167"/>
        <v>0.68799999999999994</v>
      </c>
      <c r="V156">
        <f t="shared" si="168"/>
        <v>1.6000000000000001E-3</v>
      </c>
      <c r="W156">
        <f t="shared" si="169"/>
        <v>0</v>
      </c>
      <c r="X156">
        <f t="shared" si="170"/>
        <v>26.28</v>
      </c>
      <c r="Y156">
        <f t="shared" si="171"/>
        <v>17.760000000000002</v>
      </c>
      <c r="AA156">
        <v>16499878</v>
      </c>
      <c r="AB156">
        <f t="shared" si="172"/>
        <v>587.04999999999995</v>
      </c>
      <c r="AC156">
        <f t="shared" si="173"/>
        <v>0</v>
      </c>
      <c r="AD156">
        <f t="shared" si="174"/>
        <v>5</v>
      </c>
      <c r="AE156">
        <f t="shared" si="175"/>
        <v>2.16</v>
      </c>
      <c r="AF156">
        <f t="shared" si="175"/>
        <v>582.04999999999995</v>
      </c>
      <c r="AG156">
        <f t="shared" si="176"/>
        <v>0</v>
      </c>
      <c r="AH156">
        <f t="shared" si="177"/>
        <v>68.8</v>
      </c>
      <c r="AI156">
        <f t="shared" si="177"/>
        <v>0.16</v>
      </c>
      <c r="AJ156">
        <f t="shared" si="178"/>
        <v>0</v>
      </c>
      <c r="AK156">
        <v>587.04999999999995</v>
      </c>
      <c r="AL156">
        <v>0</v>
      </c>
      <c r="AM156">
        <v>5</v>
      </c>
      <c r="AN156">
        <v>2.16</v>
      </c>
      <c r="AO156">
        <v>582.04999999999995</v>
      </c>
      <c r="AP156">
        <v>0</v>
      </c>
      <c r="AQ156">
        <v>68.8</v>
      </c>
      <c r="AR156">
        <v>0.16</v>
      </c>
      <c r="AS156">
        <v>0</v>
      </c>
      <c r="AT156">
        <v>74</v>
      </c>
      <c r="AU156">
        <v>50</v>
      </c>
      <c r="AV156">
        <v>1</v>
      </c>
      <c r="AW156">
        <v>1</v>
      </c>
      <c r="AZ156">
        <v>6.08</v>
      </c>
      <c r="BA156">
        <v>6.08</v>
      </c>
      <c r="BB156">
        <v>6.08</v>
      </c>
      <c r="BC156">
        <v>6.08</v>
      </c>
      <c r="BD156" t="s">
        <v>224</v>
      </c>
      <c r="BE156" t="s">
        <v>224</v>
      </c>
      <c r="BF156" t="s">
        <v>224</v>
      </c>
      <c r="BG156" t="s">
        <v>224</v>
      </c>
      <c r="BH156">
        <v>0</v>
      </c>
      <c r="BI156">
        <v>1</v>
      </c>
      <c r="BJ156" t="s">
        <v>506</v>
      </c>
      <c r="BM156">
        <v>65001</v>
      </c>
      <c r="BN156">
        <v>0</v>
      </c>
      <c r="BO156" t="s">
        <v>224</v>
      </c>
      <c r="BP156">
        <v>0</v>
      </c>
      <c r="BQ156">
        <v>6</v>
      </c>
      <c r="BR156">
        <v>0</v>
      </c>
      <c r="BS156">
        <v>6.08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224</v>
      </c>
      <c r="BZ156">
        <v>74</v>
      </c>
      <c r="CA156">
        <v>50</v>
      </c>
      <c r="CF156">
        <v>0</v>
      </c>
      <c r="CG156">
        <v>0</v>
      </c>
      <c r="CM156">
        <v>0</v>
      </c>
      <c r="CN156" t="s">
        <v>224</v>
      </c>
      <c r="CO156">
        <v>0</v>
      </c>
      <c r="CP156">
        <f t="shared" si="179"/>
        <v>35.69</v>
      </c>
      <c r="CQ156">
        <f t="shared" si="180"/>
        <v>0</v>
      </c>
      <c r="CR156">
        <f t="shared" si="181"/>
        <v>30.4</v>
      </c>
      <c r="CS156">
        <f t="shared" si="182"/>
        <v>13.132800000000001</v>
      </c>
      <c r="CT156">
        <f t="shared" si="183"/>
        <v>3538.8639999999996</v>
      </c>
      <c r="CU156">
        <f t="shared" si="184"/>
        <v>0</v>
      </c>
      <c r="CV156">
        <f t="shared" si="185"/>
        <v>68.8</v>
      </c>
      <c r="CW156">
        <f t="shared" si="186"/>
        <v>0.16</v>
      </c>
      <c r="CX156">
        <f t="shared" si="187"/>
        <v>0</v>
      </c>
      <c r="CY156">
        <f t="shared" si="188"/>
        <v>26.284800000000001</v>
      </c>
      <c r="CZ156">
        <f t="shared" si="189"/>
        <v>17.760000000000002</v>
      </c>
      <c r="DC156" t="s">
        <v>224</v>
      </c>
      <c r="DD156" t="s">
        <v>224</v>
      </c>
      <c r="DE156" t="s">
        <v>224</v>
      </c>
      <c r="DF156" t="s">
        <v>224</v>
      </c>
      <c r="DG156" t="s">
        <v>224</v>
      </c>
      <c r="DH156" t="s">
        <v>224</v>
      </c>
      <c r="DI156" t="s">
        <v>224</v>
      </c>
      <c r="DJ156" t="s">
        <v>224</v>
      </c>
      <c r="DK156" t="s">
        <v>224</v>
      </c>
      <c r="DL156" t="s">
        <v>224</v>
      </c>
      <c r="DM156" t="s">
        <v>224</v>
      </c>
      <c r="DN156">
        <v>0</v>
      </c>
      <c r="DO156">
        <v>0</v>
      </c>
      <c r="DP156">
        <v>1</v>
      </c>
      <c r="DQ156">
        <v>1</v>
      </c>
      <c r="DU156">
        <v>1003</v>
      </c>
      <c r="DV156" t="s">
        <v>256</v>
      </c>
      <c r="DW156" t="s">
        <v>256</v>
      </c>
      <c r="DX156">
        <v>100</v>
      </c>
      <c r="EE156">
        <v>15139187</v>
      </c>
      <c r="EF156">
        <v>6</v>
      </c>
      <c r="EG156" t="s">
        <v>250</v>
      </c>
      <c r="EH156">
        <v>0</v>
      </c>
      <c r="EI156" t="s">
        <v>224</v>
      </c>
      <c r="EJ156">
        <v>1</v>
      </c>
      <c r="EK156">
        <v>65001</v>
      </c>
      <c r="EL156" t="s">
        <v>492</v>
      </c>
      <c r="EM156" t="s">
        <v>493</v>
      </c>
      <c r="EO156" t="s">
        <v>224</v>
      </c>
      <c r="EQ156">
        <v>0</v>
      </c>
      <c r="ER156">
        <v>587.04999999999995</v>
      </c>
      <c r="ES156">
        <v>0</v>
      </c>
      <c r="ET156">
        <v>5</v>
      </c>
      <c r="EU156">
        <v>2.16</v>
      </c>
      <c r="EV156">
        <v>582.04999999999995</v>
      </c>
      <c r="EW156">
        <v>68.8</v>
      </c>
      <c r="EX156">
        <v>0.16</v>
      </c>
      <c r="EY156">
        <v>0</v>
      </c>
      <c r="FQ156">
        <v>0</v>
      </c>
      <c r="FR156">
        <f t="shared" si="190"/>
        <v>0</v>
      </c>
      <c r="FS156">
        <v>0</v>
      </c>
      <c r="FX156">
        <v>74</v>
      </c>
      <c r="FY156">
        <v>50</v>
      </c>
      <c r="GA156" t="s">
        <v>224</v>
      </c>
      <c r="GD156">
        <v>0</v>
      </c>
      <c r="GF156">
        <v>786114150</v>
      </c>
      <c r="GG156">
        <v>1</v>
      </c>
      <c r="GH156">
        <v>1</v>
      </c>
      <c r="GI156">
        <v>4</v>
      </c>
      <c r="GJ156">
        <v>0</v>
      </c>
      <c r="GK156">
        <f>ROUND(R156*(S12)/100,2)</f>
        <v>0</v>
      </c>
      <c r="GL156">
        <f t="shared" si="191"/>
        <v>0</v>
      </c>
      <c r="GM156">
        <f t="shared" si="192"/>
        <v>79.73</v>
      </c>
      <c r="GN156">
        <f t="shared" si="193"/>
        <v>79.73</v>
      </c>
      <c r="GO156">
        <f t="shared" si="194"/>
        <v>0</v>
      </c>
      <c r="GP156">
        <f t="shared" si="195"/>
        <v>0</v>
      </c>
      <c r="GR156">
        <v>0</v>
      </c>
      <c r="GS156">
        <v>3</v>
      </c>
      <c r="GT156">
        <v>0</v>
      </c>
      <c r="GU156" t="s">
        <v>224</v>
      </c>
      <c r="GV156">
        <f t="shared" si="196"/>
        <v>0</v>
      </c>
      <c r="GW156">
        <v>1</v>
      </c>
      <c r="GX156">
        <f t="shared" si="197"/>
        <v>0</v>
      </c>
      <c r="HA156">
        <v>0</v>
      </c>
      <c r="HB156">
        <v>0</v>
      </c>
      <c r="IK156">
        <v>0</v>
      </c>
    </row>
    <row r="157" spans="1:255" x14ac:dyDescent="0.2">
      <c r="A157" s="2">
        <v>17</v>
      </c>
      <c r="B157" s="2">
        <v>1</v>
      </c>
      <c r="C157" s="2">
        <f>ROW(SmtRes!A417)</f>
        <v>417</v>
      </c>
      <c r="D157" s="2">
        <f>ROW(EtalonRes!A449)</f>
        <v>449</v>
      </c>
      <c r="E157" s="2" t="s">
        <v>507</v>
      </c>
      <c r="F157" s="2" t="s">
        <v>508</v>
      </c>
      <c r="G157" s="2" t="s">
        <v>509</v>
      </c>
      <c r="H157" s="2" t="s">
        <v>256</v>
      </c>
      <c r="I157" s="2">
        <f t="shared" si="160"/>
        <v>0.01</v>
      </c>
      <c r="J157" s="2">
        <v>0</v>
      </c>
      <c r="K157" s="2"/>
      <c r="L157" s="2"/>
      <c r="M157" s="2"/>
      <c r="N157" s="2"/>
      <c r="O157" s="2">
        <f t="shared" si="161"/>
        <v>4.41</v>
      </c>
      <c r="P157" s="2">
        <f t="shared" si="162"/>
        <v>0.27</v>
      </c>
      <c r="Q157" s="2">
        <f t="shared" si="163"/>
        <v>0.49</v>
      </c>
      <c r="R157" s="2">
        <f t="shared" si="164"/>
        <v>0.08</v>
      </c>
      <c r="S157" s="2">
        <f t="shared" si="165"/>
        <v>3.65</v>
      </c>
      <c r="T157" s="2">
        <f t="shared" si="166"/>
        <v>0</v>
      </c>
      <c r="U157" s="2">
        <f t="shared" si="167"/>
        <v>0.37915499999999996</v>
      </c>
      <c r="V157" s="2">
        <f t="shared" si="168"/>
        <v>6.2500000000000003E-3</v>
      </c>
      <c r="W157" s="2">
        <f t="shared" si="169"/>
        <v>0</v>
      </c>
      <c r="X157" s="2">
        <f t="shared" si="170"/>
        <v>4.29</v>
      </c>
      <c r="Y157" s="2">
        <f t="shared" si="171"/>
        <v>2.65</v>
      </c>
      <c r="Z157" s="2"/>
      <c r="AA157" s="2">
        <v>16499835</v>
      </c>
      <c r="AB157" s="2">
        <f t="shared" si="172"/>
        <v>440.928</v>
      </c>
      <c r="AC157" s="2">
        <f t="shared" si="173"/>
        <v>27.27</v>
      </c>
      <c r="AD157" s="2">
        <f>ROUND(((((ET157*1.25))-((EU157*1.25)))+AE157),6)</f>
        <v>48.912500000000001</v>
      </c>
      <c r="AE157" s="2">
        <f>ROUND(((EU157*1.25)),6)</f>
        <v>7.6124999999999998</v>
      </c>
      <c r="AF157" s="2">
        <f>ROUND(((EV157*1.15)),6)</f>
        <v>364.74549999999999</v>
      </c>
      <c r="AG157" s="2">
        <f t="shared" si="176"/>
        <v>0</v>
      </c>
      <c r="AH157" s="2">
        <f>((EW157*1.15))</f>
        <v>37.915499999999994</v>
      </c>
      <c r="AI157" s="2">
        <f>((EX157*1.25))</f>
        <v>0.625</v>
      </c>
      <c r="AJ157" s="2">
        <f t="shared" si="178"/>
        <v>0</v>
      </c>
      <c r="AK157" s="2">
        <v>383.57</v>
      </c>
      <c r="AL157" s="2">
        <v>27.27</v>
      </c>
      <c r="AM157" s="2">
        <v>39.130000000000003</v>
      </c>
      <c r="AN157" s="2">
        <v>6.09</v>
      </c>
      <c r="AO157" s="2">
        <v>317.17</v>
      </c>
      <c r="AP157" s="2">
        <v>0</v>
      </c>
      <c r="AQ157" s="2">
        <v>32.97</v>
      </c>
      <c r="AR157" s="2">
        <v>0.5</v>
      </c>
      <c r="AS157" s="2">
        <v>0</v>
      </c>
      <c r="AT157" s="2">
        <v>115</v>
      </c>
      <c r="AU157" s="2">
        <v>71</v>
      </c>
      <c r="AV157" s="2">
        <v>1</v>
      </c>
      <c r="AW157" s="2">
        <v>1</v>
      </c>
      <c r="AX157" s="2"/>
      <c r="AY157" s="2"/>
      <c r="AZ157" s="2">
        <v>1</v>
      </c>
      <c r="BA157" s="2">
        <v>1</v>
      </c>
      <c r="BB157" s="2">
        <v>1</v>
      </c>
      <c r="BC157" s="2">
        <v>1</v>
      </c>
      <c r="BD157" s="2" t="s">
        <v>224</v>
      </c>
      <c r="BE157" s="2" t="s">
        <v>224</v>
      </c>
      <c r="BF157" s="2" t="s">
        <v>224</v>
      </c>
      <c r="BG157" s="2" t="s">
        <v>224</v>
      </c>
      <c r="BH157" s="2">
        <v>0</v>
      </c>
      <c r="BI157" s="2">
        <v>1</v>
      </c>
      <c r="BJ157" s="2" t="s">
        <v>510</v>
      </c>
      <c r="BK157" s="2"/>
      <c r="BL157" s="2"/>
      <c r="BM157" s="2">
        <v>16001</v>
      </c>
      <c r="BN157" s="2">
        <v>0</v>
      </c>
      <c r="BO157" s="2" t="s">
        <v>224</v>
      </c>
      <c r="BP157" s="2">
        <v>0</v>
      </c>
      <c r="BQ157" s="2">
        <v>2</v>
      </c>
      <c r="BR157" s="2">
        <v>0</v>
      </c>
      <c r="BS157" s="2">
        <v>1</v>
      </c>
      <c r="BT157" s="2">
        <v>1</v>
      </c>
      <c r="BU157" s="2">
        <v>1</v>
      </c>
      <c r="BV157" s="2">
        <v>1</v>
      </c>
      <c r="BW157" s="2">
        <v>1</v>
      </c>
      <c r="BX157" s="2">
        <v>1</v>
      </c>
      <c r="BY157" s="2" t="s">
        <v>224</v>
      </c>
      <c r="BZ157" s="2">
        <v>128</v>
      </c>
      <c r="CA157" s="2">
        <v>83</v>
      </c>
      <c r="CB157" s="2"/>
      <c r="CC157" s="2"/>
      <c r="CD157" s="2"/>
      <c r="CE157" s="2"/>
      <c r="CF157" s="2">
        <v>0</v>
      </c>
      <c r="CG157" s="2">
        <v>0</v>
      </c>
      <c r="CH157" s="2"/>
      <c r="CI157" s="2"/>
      <c r="CJ157" s="2"/>
      <c r="CK157" s="2"/>
      <c r="CL157" s="2"/>
      <c r="CM157" s="2">
        <v>0</v>
      </c>
      <c r="CN157" s="2" t="s">
        <v>123</v>
      </c>
      <c r="CO157" s="2">
        <v>0</v>
      </c>
      <c r="CP157" s="2">
        <f t="shared" si="179"/>
        <v>4.41</v>
      </c>
      <c r="CQ157" s="2">
        <f t="shared" si="180"/>
        <v>27.27</v>
      </c>
      <c r="CR157" s="2">
        <f t="shared" si="181"/>
        <v>48.912500000000001</v>
      </c>
      <c r="CS157" s="2">
        <f t="shared" si="182"/>
        <v>7.6124999999999998</v>
      </c>
      <c r="CT157" s="2">
        <f t="shared" si="183"/>
        <v>364.74549999999999</v>
      </c>
      <c r="CU157" s="2">
        <f t="shared" si="184"/>
        <v>0</v>
      </c>
      <c r="CV157" s="2">
        <f t="shared" si="185"/>
        <v>37.915499999999994</v>
      </c>
      <c r="CW157" s="2">
        <f t="shared" si="186"/>
        <v>0.625</v>
      </c>
      <c r="CX157" s="2">
        <f t="shared" si="187"/>
        <v>0</v>
      </c>
      <c r="CY157" s="2">
        <f t="shared" si="188"/>
        <v>4.2895000000000003</v>
      </c>
      <c r="CZ157" s="2">
        <f t="shared" si="189"/>
        <v>2.6482999999999999</v>
      </c>
      <c r="DA157" s="2"/>
      <c r="DB157" s="2"/>
      <c r="DC157" s="2" t="s">
        <v>224</v>
      </c>
      <c r="DD157" s="2" t="s">
        <v>224</v>
      </c>
      <c r="DE157" s="2" t="s">
        <v>239</v>
      </c>
      <c r="DF157" s="2" t="s">
        <v>239</v>
      </c>
      <c r="DG157" s="2" t="s">
        <v>240</v>
      </c>
      <c r="DH157" s="2" t="s">
        <v>224</v>
      </c>
      <c r="DI157" s="2" t="s">
        <v>240</v>
      </c>
      <c r="DJ157" s="2" t="s">
        <v>239</v>
      </c>
      <c r="DK157" s="2" t="s">
        <v>224</v>
      </c>
      <c r="DL157" s="2" t="s">
        <v>224</v>
      </c>
      <c r="DM157" s="2" t="s">
        <v>224</v>
      </c>
      <c r="DN157" s="2">
        <v>0</v>
      </c>
      <c r="DO157" s="2">
        <v>0</v>
      </c>
      <c r="DP157" s="2">
        <v>1</v>
      </c>
      <c r="DQ157" s="2">
        <v>1</v>
      </c>
      <c r="DR157" s="2"/>
      <c r="DS157" s="2"/>
      <c r="DT157" s="2"/>
      <c r="DU157" s="2">
        <v>1003</v>
      </c>
      <c r="DV157" s="2" t="s">
        <v>256</v>
      </c>
      <c r="DW157" s="2" t="s">
        <v>256</v>
      </c>
      <c r="DX157" s="2">
        <v>100</v>
      </c>
      <c r="DY157" s="2"/>
      <c r="DZ157" s="2"/>
      <c r="EA157" s="2"/>
      <c r="EB157" s="2"/>
      <c r="EC157" s="2"/>
      <c r="ED157" s="2"/>
      <c r="EE157" s="2">
        <v>15139127</v>
      </c>
      <c r="EF157" s="2">
        <v>2</v>
      </c>
      <c r="EG157" s="2" t="s">
        <v>233</v>
      </c>
      <c r="EH157" s="2">
        <v>0</v>
      </c>
      <c r="EI157" s="2" t="s">
        <v>224</v>
      </c>
      <c r="EJ157" s="2">
        <v>1</v>
      </c>
      <c r="EK157" s="2">
        <v>16001</v>
      </c>
      <c r="EL157" s="2" t="s">
        <v>511</v>
      </c>
      <c r="EM157" s="2" t="s">
        <v>512</v>
      </c>
      <c r="EN157" s="2"/>
      <c r="EO157" s="2" t="s">
        <v>243</v>
      </c>
      <c r="EP157" s="2"/>
      <c r="EQ157" s="2">
        <v>0</v>
      </c>
      <c r="ER157" s="2">
        <v>383.57</v>
      </c>
      <c r="ES157" s="2">
        <v>27.27</v>
      </c>
      <c r="ET157" s="2">
        <v>39.130000000000003</v>
      </c>
      <c r="EU157" s="2">
        <v>6.09</v>
      </c>
      <c r="EV157" s="2">
        <v>317.17</v>
      </c>
      <c r="EW157" s="2">
        <v>32.97</v>
      </c>
      <c r="EX157" s="2">
        <v>0.5</v>
      </c>
      <c r="EY157" s="2">
        <v>0</v>
      </c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>
        <v>0</v>
      </c>
      <c r="FR157" s="2">
        <f t="shared" si="190"/>
        <v>0</v>
      </c>
      <c r="FS157" s="2">
        <v>0</v>
      </c>
      <c r="FT157" s="2" t="s">
        <v>244</v>
      </c>
      <c r="FU157" s="2" t="s">
        <v>245</v>
      </c>
      <c r="FV157" s="2"/>
      <c r="FW157" s="2"/>
      <c r="FX157" s="2">
        <v>115.2</v>
      </c>
      <c r="FY157" s="2">
        <v>70.55</v>
      </c>
      <c r="FZ157" s="2"/>
      <c r="GA157" s="2" t="s">
        <v>224</v>
      </c>
      <c r="GB157" s="2"/>
      <c r="GC157" s="2"/>
      <c r="GD157" s="2">
        <v>0</v>
      </c>
      <c r="GE157" s="2"/>
      <c r="GF157" s="2">
        <v>1382640866</v>
      </c>
      <c r="GG157" s="2">
        <v>2</v>
      </c>
      <c r="GH157" s="2">
        <v>1</v>
      </c>
      <c r="GI157" s="2">
        <v>-2</v>
      </c>
      <c r="GJ157" s="2">
        <v>0</v>
      </c>
      <c r="GK157" s="2">
        <f>ROUND(R157*(R12)/100,2)</f>
        <v>0</v>
      </c>
      <c r="GL157" s="2">
        <f t="shared" si="191"/>
        <v>0</v>
      </c>
      <c r="GM157" s="2">
        <f t="shared" si="192"/>
        <v>11.35</v>
      </c>
      <c r="GN157" s="2">
        <f t="shared" si="193"/>
        <v>11.35</v>
      </c>
      <c r="GO157" s="2">
        <f t="shared" si="194"/>
        <v>0</v>
      </c>
      <c r="GP157" s="2">
        <f t="shared" si="195"/>
        <v>0</v>
      </c>
      <c r="GQ157" s="2"/>
      <c r="GR157" s="2">
        <v>0</v>
      </c>
      <c r="GS157" s="2">
        <v>3</v>
      </c>
      <c r="GT157" s="2">
        <v>0</v>
      </c>
      <c r="GU157" s="2" t="s">
        <v>224</v>
      </c>
      <c r="GV157" s="2">
        <f t="shared" si="196"/>
        <v>0</v>
      </c>
      <c r="GW157" s="2">
        <v>1</v>
      </c>
      <c r="GX157" s="2">
        <f t="shared" si="197"/>
        <v>0</v>
      </c>
      <c r="GY157" s="2"/>
      <c r="GZ157" s="2"/>
      <c r="HA157" s="2">
        <v>0</v>
      </c>
      <c r="HB157" s="2">
        <v>0</v>
      </c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>
        <v>0</v>
      </c>
      <c r="IL157" s="2"/>
      <c r="IM157" s="2"/>
      <c r="IN157" s="2"/>
      <c r="IO157" s="2"/>
      <c r="IP157" s="2"/>
      <c r="IQ157" s="2"/>
      <c r="IR157" s="2"/>
      <c r="IS157" s="2"/>
      <c r="IT157" s="2"/>
      <c r="IU157" s="2"/>
    </row>
    <row r="158" spans="1:255" x14ac:dyDescent="0.2">
      <c r="A158">
        <v>17</v>
      </c>
      <c r="B158">
        <v>1</v>
      </c>
      <c r="C158">
        <f>ROW(SmtRes!A432)</f>
        <v>432</v>
      </c>
      <c r="D158">
        <f>ROW(EtalonRes!A466)</f>
        <v>466</v>
      </c>
      <c r="E158" t="s">
        <v>507</v>
      </c>
      <c r="F158" t="s">
        <v>508</v>
      </c>
      <c r="G158" t="s">
        <v>509</v>
      </c>
      <c r="H158" t="s">
        <v>256</v>
      </c>
      <c r="I158">
        <f t="shared" si="160"/>
        <v>0.01</v>
      </c>
      <c r="J158">
        <v>0</v>
      </c>
      <c r="O158">
        <f t="shared" si="161"/>
        <v>26.81</v>
      </c>
      <c r="P158">
        <f t="shared" si="162"/>
        <v>1.66</v>
      </c>
      <c r="Q158">
        <f t="shared" si="163"/>
        <v>2.97</v>
      </c>
      <c r="R158">
        <f t="shared" si="164"/>
        <v>0.46</v>
      </c>
      <c r="S158">
        <f t="shared" si="165"/>
        <v>22.18</v>
      </c>
      <c r="T158">
        <f t="shared" si="166"/>
        <v>0</v>
      </c>
      <c r="U158">
        <f t="shared" si="167"/>
        <v>0.37915499999999996</v>
      </c>
      <c r="V158">
        <f t="shared" si="168"/>
        <v>6.2500000000000003E-3</v>
      </c>
      <c r="W158">
        <f t="shared" si="169"/>
        <v>0</v>
      </c>
      <c r="X158">
        <f t="shared" si="170"/>
        <v>26.04</v>
      </c>
      <c r="Y158">
        <f t="shared" si="171"/>
        <v>16.07</v>
      </c>
      <c r="AA158">
        <v>16499878</v>
      </c>
      <c r="AB158">
        <f t="shared" si="172"/>
        <v>440.928</v>
      </c>
      <c r="AC158">
        <f t="shared" si="173"/>
        <v>27.27</v>
      </c>
      <c r="AD158">
        <f>ROUND(((((ET158*1.25))-((EU158*1.25)))+AE158),6)</f>
        <v>48.912500000000001</v>
      </c>
      <c r="AE158">
        <f>ROUND(((EU158*1.25)),6)</f>
        <v>7.6124999999999998</v>
      </c>
      <c r="AF158">
        <f>ROUND(((EV158*1.15)),6)</f>
        <v>364.74549999999999</v>
      </c>
      <c r="AG158">
        <f t="shared" si="176"/>
        <v>0</v>
      </c>
      <c r="AH158">
        <f>((EW158*1.15))</f>
        <v>37.915499999999994</v>
      </c>
      <c r="AI158">
        <f>((EX158*1.25))</f>
        <v>0.625</v>
      </c>
      <c r="AJ158">
        <f t="shared" si="178"/>
        <v>0</v>
      </c>
      <c r="AK158">
        <v>383.57</v>
      </c>
      <c r="AL158">
        <v>27.27</v>
      </c>
      <c r="AM158">
        <v>39.130000000000003</v>
      </c>
      <c r="AN158">
        <v>6.09</v>
      </c>
      <c r="AO158">
        <v>317.17</v>
      </c>
      <c r="AP158">
        <v>0</v>
      </c>
      <c r="AQ158">
        <v>32.97</v>
      </c>
      <c r="AR158">
        <v>0.5</v>
      </c>
      <c r="AS158">
        <v>0</v>
      </c>
      <c r="AT158">
        <v>115</v>
      </c>
      <c r="AU158">
        <v>71</v>
      </c>
      <c r="AV158">
        <v>1</v>
      </c>
      <c r="AW158">
        <v>1</v>
      </c>
      <c r="AZ158">
        <v>6.08</v>
      </c>
      <c r="BA158">
        <v>6.08</v>
      </c>
      <c r="BB158">
        <v>6.08</v>
      </c>
      <c r="BC158">
        <v>6.08</v>
      </c>
      <c r="BD158" t="s">
        <v>224</v>
      </c>
      <c r="BE158" t="s">
        <v>224</v>
      </c>
      <c r="BF158" t="s">
        <v>224</v>
      </c>
      <c r="BG158" t="s">
        <v>224</v>
      </c>
      <c r="BH158">
        <v>0</v>
      </c>
      <c r="BI158">
        <v>1</v>
      </c>
      <c r="BJ158" t="s">
        <v>510</v>
      </c>
      <c r="BM158">
        <v>16001</v>
      </c>
      <c r="BN158">
        <v>0</v>
      </c>
      <c r="BO158" t="s">
        <v>224</v>
      </c>
      <c r="BP158">
        <v>0</v>
      </c>
      <c r="BQ158">
        <v>2</v>
      </c>
      <c r="BR158">
        <v>0</v>
      </c>
      <c r="BS158">
        <v>6.08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224</v>
      </c>
      <c r="BZ158">
        <v>128</v>
      </c>
      <c r="CA158">
        <v>83</v>
      </c>
      <c r="CF158">
        <v>0</v>
      </c>
      <c r="CG158">
        <v>0</v>
      </c>
      <c r="CM158">
        <v>0</v>
      </c>
      <c r="CN158" t="s">
        <v>123</v>
      </c>
      <c r="CO158">
        <v>0</v>
      </c>
      <c r="CP158">
        <f t="shared" si="179"/>
        <v>26.81</v>
      </c>
      <c r="CQ158">
        <f t="shared" si="180"/>
        <v>165.80160000000001</v>
      </c>
      <c r="CR158">
        <f t="shared" si="181"/>
        <v>297.38800000000003</v>
      </c>
      <c r="CS158">
        <f t="shared" si="182"/>
        <v>46.283999999999999</v>
      </c>
      <c r="CT158">
        <f t="shared" si="183"/>
        <v>2217.6526399999998</v>
      </c>
      <c r="CU158">
        <f t="shared" si="184"/>
        <v>0</v>
      </c>
      <c r="CV158">
        <f t="shared" si="185"/>
        <v>37.915499999999994</v>
      </c>
      <c r="CW158">
        <f t="shared" si="186"/>
        <v>0.625</v>
      </c>
      <c r="CX158">
        <f t="shared" si="187"/>
        <v>0</v>
      </c>
      <c r="CY158">
        <f t="shared" si="188"/>
        <v>26.035999999999998</v>
      </c>
      <c r="CZ158">
        <f t="shared" si="189"/>
        <v>16.074400000000001</v>
      </c>
      <c r="DC158" t="s">
        <v>224</v>
      </c>
      <c r="DD158" t="s">
        <v>224</v>
      </c>
      <c r="DE158" t="s">
        <v>239</v>
      </c>
      <c r="DF158" t="s">
        <v>239</v>
      </c>
      <c r="DG158" t="s">
        <v>240</v>
      </c>
      <c r="DH158" t="s">
        <v>224</v>
      </c>
      <c r="DI158" t="s">
        <v>240</v>
      </c>
      <c r="DJ158" t="s">
        <v>239</v>
      </c>
      <c r="DK158" t="s">
        <v>224</v>
      </c>
      <c r="DL158" t="s">
        <v>224</v>
      </c>
      <c r="DM158" t="s">
        <v>224</v>
      </c>
      <c r="DN158">
        <v>0</v>
      </c>
      <c r="DO158">
        <v>0</v>
      </c>
      <c r="DP158">
        <v>1</v>
      </c>
      <c r="DQ158">
        <v>1</v>
      </c>
      <c r="DU158">
        <v>1003</v>
      </c>
      <c r="DV158" t="s">
        <v>256</v>
      </c>
      <c r="DW158" t="s">
        <v>256</v>
      </c>
      <c r="DX158">
        <v>100</v>
      </c>
      <c r="EE158">
        <v>15139127</v>
      </c>
      <c r="EF158">
        <v>2</v>
      </c>
      <c r="EG158" t="s">
        <v>233</v>
      </c>
      <c r="EH158">
        <v>0</v>
      </c>
      <c r="EI158" t="s">
        <v>224</v>
      </c>
      <c r="EJ158">
        <v>1</v>
      </c>
      <c r="EK158">
        <v>16001</v>
      </c>
      <c r="EL158" t="s">
        <v>511</v>
      </c>
      <c r="EM158" t="s">
        <v>512</v>
      </c>
      <c r="EO158" t="s">
        <v>243</v>
      </c>
      <c r="EQ158">
        <v>0</v>
      </c>
      <c r="ER158">
        <v>383.57</v>
      </c>
      <c r="ES158">
        <v>27.27</v>
      </c>
      <c r="ET158">
        <v>39.130000000000003</v>
      </c>
      <c r="EU158">
        <v>6.09</v>
      </c>
      <c r="EV158">
        <v>317.17</v>
      </c>
      <c r="EW158">
        <v>32.97</v>
      </c>
      <c r="EX158">
        <v>0.5</v>
      </c>
      <c r="EY158">
        <v>0</v>
      </c>
      <c r="FQ158">
        <v>0</v>
      </c>
      <c r="FR158">
        <f t="shared" si="190"/>
        <v>0</v>
      </c>
      <c r="FS158">
        <v>0</v>
      </c>
      <c r="FT158" t="s">
        <v>244</v>
      </c>
      <c r="FU158" t="s">
        <v>245</v>
      </c>
      <c r="FX158">
        <v>115.2</v>
      </c>
      <c r="FY158">
        <v>70.55</v>
      </c>
      <c r="GA158" t="s">
        <v>224</v>
      </c>
      <c r="GD158">
        <v>0</v>
      </c>
      <c r="GF158">
        <v>1382640866</v>
      </c>
      <c r="GG158">
        <v>1</v>
      </c>
      <c r="GH158">
        <v>1</v>
      </c>
      <c r="GI158">
        <v>4</v>
      </c>
      <c r="GJ158">
        <v>0</v>
      </c>
      <c r="GK158">
        <f>ROUND(R158*(S12)/100,2)</f>
        <v>0</v>
      </c>
      <c r="GL158">
        <f t="shared" si="191"/>
        <v>0</v>
      </c>
      <c r="GM158">
        <f t="shared" si="192"/>
        <v>68.92</v>
      </c>
      <c r="GN158">
        <f t="shared" si="193"/>
        <v>68.92</v>
      </c>
      <c r="GO158">
        <f t="shared" si="194"/>
        <v>0</v>
      </c>
      <c r="GP158">
        <f t="shared" si="195"/>
        <v>0</v>
      </c>
      <c r="GR158">
        <v>0</v>
      </c>
      <c r="GS158">
        <v>3</v>
      </c>
      <c r="GT158">
        <v>0</v>
      </c>
      <c r="GU158" t="s">
        <v>224</v>
      </c>
      <c r="GV158">
        <f t="shared" si="196"/>
        <v>0</v>
      </c>
      <c r="GW158">
        <v>1</v>
      </c>
      <c r="GX158">
        <f t="shared" si="197"/>
        <v>0</v>
      </c>
      <c r="HA158">
        <v>0</v>
      </c>
      <c r="HB158">
        <v>0</v>
      </c>
      <c r="IK158">
        <v>0</v>
      </c>
    </row>
    <row r="159" spans="1:255" x14ac:dyDescent="0.2">
      <c r="A159" s="2">
        <v>18</v>
      </c>
      <c r="B159" s="2">
        <v>1</v>
      </c>
      <c r="C159" s="2">
        <v>417</v>
      </c>
      <c r="D159" s="2"/>
      <c r="E159" s="2" t="s">
        <v>513</v>
      </c>
      <c r="F159" s="2" t="s">
        <v>514</v>
      </c>
      <c r="G159" s="2" t="s">
        <v>515</v>
      </c>
      <c r="H159" s="2" t="s">
        <v>351</v>
      </c>
      <c r="I159" s="2">
        <f>I157*J159</f>
        <v>1</v>
      </c>
      <c r="J159" s="2">
        <v>100</v>
      </c>
      <c r="K159" s="2"/>
      <c r="L159" s="2"/>
      <c r="M159" s="2"/>
      <c r="N159" s="2"/>
      <c r="O159" s="2">
        <f t="shared" si="161"/>
        <v>23.39</v>
      </c>
      <c r="P159" s="2">
        <f t="shared" si="162"/>
        <v>23.39</v>
      </c>
      <c r="Q159" s="2">
        <f t="shared" si="163"/>
        <v>0</v>
      </c>
      <c r="R159" s="2">
        <f t="shared" si="164"/>
        <v>0</v>
      </c>
      <c r="S159" s="2">
        <f t="shared" si="165"/>
        <v>0</v>
      </c>
      <c r="T159" s="2">
        <f t="shared" si="166"/>
        <v>0</v>
      </c>
      <c r="U159" s="2">
        <f t="shared" si="167"/>
        <v>0</v>
      </c>
      <c r="V159" s="2">
        <f t="shared" si="168"/>
        <v>0</v>
      </c>
      <c r="W159" s="2">
        <f t="shared" si="169"/>
        <v>0</v>
      </c>
      <c r="X159" s="2">
        <f t="shared" si="170"/>
        <v>0</v>
      </c>
      <c r="Y159" s="2">
        <f t="shared" si="171"/>
        <v>0</v>
      </c>
      <c r="Z159" s="2"/>
      <c r="AA159" s="2">
        <v>16499835</v>
      </c>
      <c r="AB159" s="2">
        <f t="shared" si="172"/>
        <v>23.39</v>
      </c>
      <c r="AC159" s="2">
        <f t="shared" si="173"/>
        <v>23.39</v>
      </c>
      <c r="AD159" s="2">
        <f>ROUND((((ET159)-(EU159))+AE159),6)</f>
        <v>0</v>
      </c>
      <c r="AE159" s="2">
        <f>ROUND((EU159),6)</f>
        <v>0</v>
      </c>
      <c r="AF159" s="2">
        <f>ROUND((EV159),6)</f>
        <v>0</v>
      </c>
      <c r="AG159" s="2">
        <f t="shared" si="176"/>
        <v>0</v>
      </c>
      <c r="AH159" s="2">
        <f>(EW159)</f>
        <v>0</v>
      </c>
      <c r="AI159" s="2">
        <f>(EX159)</f>
        <v>0</v>
      </c>
      <c r="AJ159" s="2">
        <f t="shared" si="178"/>
        <v>0</v>
      </c>
      <c r="AK159" s="2">
        <v>23.39</v>
      </c>
      <c r="AL159" s="2">
        <v>23.39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115</v>
      </c>
      <c r="AU159" s="2">
        <v>71</v>
      </c>
      <c r="AV159" s="2">
        <v>1</v>
      </c>
      <c r="AW159" s="2">
        <v>1</v>
      </c>
      <c r="AX159" s="2"/>
      <c r="AY159" s="2"/>
      <c r="AZ159" s="2">
        <v>1</v>
      </c>
      <c r="BA159" s="2">
        <v>1</v>
      </c>
      <c r="BB159" s="2">
        <v>1</v>
      </c>
      <c r="BC159" s="2">
        <v>1</v>
      </c>
      <c r="BD159" s="2" t="s">
        <v>224</v>
      </c>
      <c r="BE159" s="2" t="s">
        <v>224</v>
      </c>
      <c r="BF159" s="2" t="s">
        <v>224</v>
      </c>
      <c r="BG159" s="2" t="s">
        <v>224</v>
      </c>
      <c r="BH159" s="2">
        <v>3</v>
      </c>
      <c r="BI159" s="2">
        <v>1</v>
      </c>
      <c r="BJ159" s="2" t="s">
        <v>516</v>
      </c>
      <c r="BK159" s="2"/>
      <c r="BL159" s="2"/>
      <c r="BM159" s="2">
        <v>16001</v>
      </c>
      <c r="BN159" s="2">
        <v>0</v>
      </c>
      <c r="BO159" s="2" t="s">
        <v>224</v>
      </c>
      <c r="BP159" s="2">
        <v>0</v>
      </c>
      <c r="BQ159" s="2">
        <v>2</v>
      </c>
      <c r="BR159" s="2">
        <v>0</v>
      </c>
      <c r="BS159" s="2">
        <v>1</v>
      </c>
      <c r="BT159" s="2">
        <v>1</v>
      </c>
      <c r="BU159" s="2">
        <v>1</v>
      </c>
      <c r="BV159" s="2">
        <v>1</v>
      </c>
      <c r="BW159" s="2">
        <v>1</v>
      </c>
      <c r="BX159" s="2">
        <v>1</v>
      </c>
      <c r="BY159" s="2" t="s">
        <v>224</v>
      </c>
      <c r="BZ159" s="2">
        <v>128</v>
      </c>
      <c r="CA159" s="2">
        <v>83</v>
      </c>
      <c r="CB159" s="2"/>
      <c r="CC159" s="2"/>
      <c r="CD159" s="2"/>
      <c r="CE159" s="2"/>
      <c r="CF159" s="2">
        <v>0</v>
      </c>
      <c r="CG159" s="2">
        <v>0</v>
      </c>
      <c r="CH159" s="2"/>
      <c r="CI159" s="2"/>
      <c r="CJ159" s="2"/>
      <c r="CK159" s="2"/>
      <c r="CL159" s="2"/>
      <c r="CM159" s="2">
        <v>0</v>
      </c>
      <c r="CN159" s="2" t="s">
        <v>224</v>
      </c>
      <c r="CO159" s="2">
        <v>0</v>
      </c>
      <c r="CP159" s="2">
        <f t="shared" si="179"/>
        <v>23.39</v>
      </c>
      <c r="CQ159" s="2">
        <f t="shared" si="180"/>
        <v>23.39</v>
      </c>
      <c r="CR159" s="2">
        <f t="shared" si="181"/>
        <v>0</v>
      </c>
      <c r="CS159" s="2">
        <f t="shared" si="182"/>
        <v>0</v>
      </c>
      <c r="CT159" s="2">
        <f t="shared" si="183"/>
        <v>0</v>
      </c>
      <c r="CU159" s="2">
        <f t="shared" si="184"/>
        <v>0</v>
      </c>
      <c r="CV159" s="2">
        <f t="shared" si="185"/>
        <v>0</v>
      </c>
      <c r="CW159" s="2">
        <f t="shared" si="186"/>
        <v>0</v>
      </c>
      <c r="CX159" s="2">
        <f t="shared" si="187"/>
        <v>0</v>
      </c>
      <c r="CY159" s="2">
        <f t="shared" si="188"/>
        <v>0</v>
      </c>
      <c r="CZ159" s="2">
        <f t="shared" si="189"/>
        <v>0</v>
      </c>
      <c r="DA159" s="2"/>
      <c r="DB159" s="2"/>
      <c r="DC159" s="2" t="s">
        <v>224</v>
      </c>
      <c r="DD159" s="2" t="s">
        <v>224</v>
      </c>
      <c r="DE159" s="2" t="s">
        <v>224</v>
      </c>
      <c r="DF159" s="2" t="s">
        <v>224</v>
      </c>
      <c r="DG159" s="2" t="s">
        <v>224</v>
      </c>
      <c r="DH159" s="2" t="s">
        <v>224</v>
      </c>
      <c r="DI159" s="2" t="s">
        <v>224</v>
      </c>
      <c r="DJ159" s="2" t="s">
        <v>224</v>
      </c>
      <c r="DK159" s="2" t="s">
        <v>224</v>
      </c>
      <c r="DL159" s="2" t="s">
        <v>224</v>
      </c>
      <c r="DM159" s="2" t="s">
        <v>224</v>
      </c>
      <c r="DN159" s="2">
        <v>0</v>
      </c>
      <c r="DO159" s="2">
        <v>0</v>
      </c>
      <c r="DP159" s="2">
        <v>1</v>
      </c>
      <c r="DQ159" s="2">
        <v>1</v>
      </c>
      <c r="DR159" s="2"/>
      <c r="DS159" s="2"/>
      <c r="DT159" s="2"/>
      <c r="DU159" s="2">
        <v>1003</v>
      </c>
      <c r="DV159" s="2" t="s">
        <v>351</v>
      </c>
      <c r="DW159" s="2" t="s">
        <v>351</v>
      </c>
      <c r="DX159" s="2">
        <v>1</v>
      </c>
      <c r="DY159" s="2"/>
      <c r="DZ159" s="2"/>
      <c r="EA159" s="2"/>
      <c r="EB159" s="2"/>
      <c r="EC159" s="2"/>
      <c r="ED159" s="2"/>
      <c r="EE159" s="2">
        <v>15139127</v>
      </c>
      <c r="EF159" s="2">
        <v>2</v>
      </c>
      <c r="EG159" s="2" t="s">
        <v>233</v>
      </c>
      <c r="EH159" s="2">
        <v>0</v>
      </c>
      <c r="EI159" s="2" t="s">
        <v>224</v>
      </c>
      <c r="EJ159" s="2">
        <v>1</v>
      </c>
      <c r="EK159" s="2">
        <v>16001</v>
      </c>
      <c r="EL159" s="2" t="s">
        <v>511</v>
      </c>
      <c r="EM159" s="2" t="s">
        <v>512</v>
      </c>
      <c r="EN159" s="2"/>
      <c r="EO159" s="2" t="s">
        <v>224</v>
      </c>
      <c r="EP159" s="2"/>
      <c r="EQ159" s="2">
        <v>0</v>
      </c>
      <c r="ER159" s="2">
        <v>23.39</v>
      </c>
      <c r="ES159" s="2">
        <v>23.39</v>
      </c>
      <c r="ET159" s="2">
        <v>0</v>
      </c>
      <c r="EU159" s="2">
        <v>0</v>
      </c>
      <c r="EV159" s="2">
        <v>0</v>
      </c>
      <c r="EW159" s="2">
        <v>0</v>
      </c>
      <c r="EX159" s="2">
        <v>0</v>
      </c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>
        <v>0</v>
      </c>
      <c r="FR159" s="2">
        <f t="shared" si="190"/>
        <v>0</v>
      </c>
      <c r="FS159" s="2">
        <v>0</v>
      </c>
      <c r="FT159" s="2" t="s">
        <v>244</v>
      </c>
      <c r="FU159" s="2" t="s">
        <v>245</v>
      </c>
      <c r="FV159" s="2"/>
      <c r="FW159" s="2"/>
      <c r="FX159" s="2">
        <v>115.2</v>
      </c>
      <c r="FY159" s="2">
        <v>70.55</v>
      </c>
      <c r="FZ159" s="2"/>
      <c r="GA159" s="2" t="s">
        <v>224</v>
      </c>
      <c r="GB159" s="2"/>
      <c r="GC159" s="2"/>
      <c r="GD159" s="2">
        <v>0</v>
      </c>
      <c r="GE159" s="2"/>
      <c r="GF159" s="2">
        <v>1733734597</v>
      </c>
      <c r="GG159" s="2">
        <v>2</v>
      </c>
      <c r="GH159" s="2">
        <v>1</v>
      </c>
      <c r="GI159" s="2">
        <v>-2</v>
      </c>
      <c r="GJ159" s="2">
        <v>0</v>
      </c>
      <c r="GK159" s="2">
        <f>ROUND(R159*(R12)/100,2)</f>
        <v>0</v>
      </c>
      <c r="GL159" s="2">
        <f t="shared" si="191"/>
        <v>0</v>
      </c>
      <c r="GM159" s="2">
        <f t="shared" si="192"/>
        <v>23.39</v>
      </c>
      <c r="GN159" s="2">
        <f t="shared" si="193"/>
        <v>23.39</v>
      </c>
      <c r="GO159" s="2">
        <f t="shared" si="194"/>
        <v>0</v>
      </c>
      <c r="GP159" s="2">
        <f t="shared" si="195"/>
        <v>0</v>
      </c>
      <c r="GQ159" s="2"/>
      <c r="GR159" s="2">
        <v>0</v>
      </c>
      <c r="GS159" s="2">
        <v>3</v>
      </c>
      <c r="GT159" s="2">
        <v>0</v>
      </c>
      <c r="GU159" s="2" t="s">
        <v>224</v>
      </c>
      <c r="GV159" s="2">
        <f t="shared" si="196"/>
        <v>0</v>
      </c>
      <c r="GW159" s="2">
        <v>1</v>
      </c>
      <c r="GX159" s="2">
        <f t="shared" si="197"/>
        <v>0</v>
      </c>
      <c r="GY159" s="2"/>
      <c r="GZ159" s="2"/>
      <c r="HA159" s="2">
        <v>0</v>
      </c>
      <c r="HB159" s="2">
        <v>0</v>
      </c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>
        <v>0</v>
      </c>
      <c r="IL159" s="2"/>
      <c r="IM159" s="2"/>
      <c r="IN159" s="2"/>
      <c r="IO159" s="2"/>
      <c r="IP159" s="2"/>
      <c r="IQ159" s="2"/>
      <c r="IR159" s="2"/>
      <c r="IS159" s="2"/>
      <c r="IT159" s="2"/>
      <c r="IU159" s="2"/>
    </row>
    <row r="160" spans="1:255" x14ac:dyDescent="0.2">
      <c r="A160">
        <v>18</v>
      </c>
      <c r="B160">
        <v>1</v>
      </c>
      <c r="C160">
        <v>432</v>
      </c>
      <c r="E160" t="s">
        <v>513</v>
      </c>
      <c r="F160" t="s">
        <v>514</v>
      </c>
      <c r="G160" t="s">
        <v>515</v>
      </c>
      <c r="H160" t="s">
        <v>351</v>
      </c>
      <c r="I160">
        <f>I158*J160</f>
        <v>1</v>
      </c>
      <c r="J160">
        <v>100</v>
      </c>
      <c r="O160">
        <f t="shared" si="161"/>
        <v>142.21</v>
      </c>
      <c r="P160">
        <f t="shared" si="162"/>
        <v>142.21</v>
      </c>
      <c r="Q160">
        <f t="shared" si="163"/>
        <v>0</v>
      </c>
      <c r="R160">
        <f t="shared" si="164"/>
        <v>0</v>
      </c>
      <c r="S160">
        <f t="shared" si="165"/>
        <v>0</v>
      </c>
      <c r="T160">
        <f t="shared" si="166"/>
        <v>0</v>
      </c>
      <c r="U160">
        <f t="shared" si="167"/>
        <v>0</v>
      </c>
      <c r="V160">
        <f t="shared" si="168"/>
        <v>0</v>
      </c>
      <c r="W160">
        <f t="shared" si="169"/>
        <v>0</v>
      </c>
      <c r="X160">
        <f t="shared" si="170"/>
        <v>0</v>
      </c>
      <c r="Y160">
        <f t="shared" si="171"/>
        <v>0</v>
      </c>
      <c r="AA160">
        <v>16499878</v>
      </c>
      <c r="AB160">
        <f t="shared" si="172"/>
        <v>23.39</v>
      </c>
      <c r="AC160">
        <f t="shared" si="173"/>
        <v>23.39</v>
      </c>
      <c r="AD160">
        <f>ROUND((((ET160)-(EU160))+AE160),6)</f>
        <v>0</v>
      </c>
      <c r="AE160">
        <f>ROUND((EU160),6)</f>
        <v>0</v>
      </c>
      <c r="AF160">
        <f>ROUND((EV160),6)</f>
        <v>0</v>
      </c>
      <c r="AG160">
        <f t="shared" si="176"/>
        <v>0</v>
      </c>
      <c r="AH160">
        <f>(EW160)</f>
        <v>0</v>
      </c>
      <c r="AI160">
        <f>(EX160)</f>
        <v>0</v>
      </c>
      <c r="AJ160">
        <f t="shared" si="178"/>
        <v>0</v>
      </c>
      <c r="AK160">
        <v>23.39</v>
      </c>
      <c r="AL160">
        <v>23.39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115</v>
      </c>
      <c r="AU160">
        <v>71</v>
      </c>
      <c r="AV160">
        <v>1</v>
      </c>
      <c r="AW160">
        <v>1</v>
      </c>
      <c r="AZ160">
        <v>6.08</v>
      </c>
      <c r="BA160">
        <v>1</v>
      </c>
      <c r="BB160">
        <v>1</v>
      </c>
      <c r="BC160">
        <v>6.08</v>
      </c>
      <c r="BD160" t="s">
        <v>224</v>
      </c>
      <c r="BE160" t="s">
        <v>224</v>
      </c>
      <c r="BF160" t="s">
        <v>224</v>
      </c>
      <c r="BG160" t="s">
        <v>224</v>
      </c>
      <c r="BH160">
        <v>3</v>
      </c>
      <c r="BI160">
        <v>1</v>
      </c>
      <c r="BJ160" t="s">
        <v>516</v>
      </c>
      <c r="BM160">
        <v>16001</v>
      </c>
      <c r="BN160">
        <v>0</v>
      </c>
      <c r="BO160" t="s">
        <v>224</v>
      </c>
      <c r="BP160">
        <v>0</v>
      </c>
      <c r="BQ160">
        <v>2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224</v>
      </c>
      <c r="BZ160">
        <v>128</v>
      </c>
      <c r="CA160">
        <v>83</v>
      </c>
      <c r="CF160">
        <v>0</v>
      </c>
      <c r="CG160">
        <v>0</v>
      </c>
      <c r="CM160">
        <v>0</v>
      </c>
      <c r="CN160" t="s">
        <v>224</v>
      </c>
      <c r="CO160">
        <v>0</v>
      </c>
      <c r="CP160">
        <f t="shared" si="179"/>
        <v>142.21</v>
      </c>
      <c r="CQ160">
        <f t="shared" si="180"/>
        <v>142.21119999999999</v>
      </c>
      <c r="CR160">
        <f t="shared" si="181"/>
        <v>0</v>
      </c>
      <c r="CS160">
        <f t="shared" si="182"/>
        <v>0</v>
      </c>
      <c r="CT160">
        <f t="shared" si="183"/>
        <v>0</v>
      </c>
      <c r="CU160">
        <f t="shared" si="184"/>
        <v>0</v>
      </c>
      <c r="CV160">
        <f t="shared" si="185"/>
        <v>0</v>
      </c>
      <c r="CW160">
        <f t="shared" si="186"/>
        <v>0</v>
      </c>
      <c r="CX160">
        <f t="shared" si="187"/>
        <v>0</v>
      </c>
      <c r="CY160">
        <f t="shared" si="188"/>
        <v>0</v>
      </c>
      <c r="CZ160">
        <f t="shared" si="189"/>
        <v>0</v>
      </c>
      <c r="DC160" t="s">
        <v>224</v>
      </c>
      <c r="DD160" t="s">
        <v>224</v>
      </c>
      <c r="DE160" t="s">
        <v>224</v>
      </c>
      <c r="DF160" t="s">
        <v>224</v>
      </c>
      <c r="DG160" t="s">
        <v>224</v>
      </c>
      <c r="DH160" t="s">
        <v>224</v>
      </c>
      <c r="DI160" t="s">
        <v>224</v>
      </c>
      <c r="DJ160" t="s">
        <v>224</v>
      </c>
      <c r="DK160" t="s">
        <v>224</v>
      </c>
      <c r="DL160" t="s">
        <v>224</v>
      </c>
      <c r="DM160" t="s">
        <v>224</v>
      </c>
      <c r="DN160">
        <v>0</v>
      </c>
      <c r="DO160">
        <v>0</v>
      </c>
      <c r="DP160">
        <v>1</v>
      </c>
      <c r="DQ160">
        <v>1</v>
      </c>
      <c r="DU160">
        <v>1003</v>
      </c>
      <c r="DV160" t="s">
        <v>351</v>
      </c>
      <c r="DW160" t="s">
        <v>351</v>
      </c>
      <c r="DX160">
        <v>1</v>
      </c>
      <c r="EE160">
        <v>15139127</v>
      </c>
      <c r="EF160">
        <v>2</v>
      </c>
      <c r="EG160" t="s">
        <v>233</v>
      </c>
      <c r="EH160">
        <v>0</v>
      </c>
      <c r="EI160" t="s">
        <v>224</v>
      </c>
      <c r="EJ160">
        <v>1</v>
      </c>
      <c r="EK160">
        <v>16001</v>
      </c>
      <c r="EL160" t="s">
        <v>511</v>
      </c>
      <c r="EM160" t="s">
        <v>512</v>
      </c>
      <c r="EO160" t="s">
        <v>224</v>
      </c>
      <c r="EQ160">
        <v>0</v>
      </c>
      <c r="ER160">
        <v>23.39</v>
      </c>
      <c r="ES160">
        <v>23.39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190"/>
        <v>0</v>
      </c>
      <c r="FS160">
        <v>0</v>
      </c>
      <c r="FT160" t="s">
        <v>244</v>
      </c>
      <c r="FU160" t="s">
        <v>245</v>
      </c>
      <c r="FX160">
        <v>115.2</v>
      </c>
      <c r="FY160">
        <v>70.55</v>
      </c>
      <c r="GA160" t="s">
        <v>224</v>
      </c>
      <c r="GD160">
        <v>0</v>
      </c>
      <c r="GF160">
        <v>1733734597</v>
      </c>
      <c r="GG160">
        <v>1</v>
      </c>
      <c r="GH160">
        <v>1</v>
      </c>
      <c r="GI160">
        <v>4</v>
      </c>
      <c r="GJ160">
        <v>0</v>
      </c>
      <c r="GK160">
        <f>ROUND(R160*(S12)/100,2)</f>
        <v>0</v>
      </c>
      <c r="GL160">
        <f t="shared" si="191"/>
        <v>0</v>
      </c>
      <c r="GM160">
        <f t="shared" si="192"/>
        <v>142.21</v>
      </c>
      <c r="GN160">
        <f t="shared" si="193"/>
        <v>142.21</v>
      </c>
      <c r="GO160">
        <f t="shared" si="194"/>
        <v>0</v>
      </c>
      <c r="GP160">
        <f t="shared" si="195"/>
        <v>0</v>
      </c>
      <c r="GR160">
        <v>0</v>
      </c>
      <c r="GS160">
        <v>3</v>
      </c>
      <c r="GT160">
        <v>0</v>
      </c>
      <c r="GU160" t="s">
        <v>224</v>
      </c>
      <c r="GV160">
        <f t="shared" si="196"/>
        <v>0</v>
      </c>
      <c r="GW160">
        <v>1</v>
      </c>
      <c r="GX160">
        <f t="shared" si="197"/>
        <v>0</v>
      </c>
      <c r="HA160">
        <v>0</v>
      </c>
      <c r="HB160">
        <v>0</v>
      </c>
      <c r="IK160">
        <v>0</v>
      </c>
    </row>
    <row r="161" spans="1:255" x14ac:dyDescent="0.2">
      <c r="A161" s="2">
        <v>17</v>
      </c>
      <c r="B161" s="2">
        <v>1</v>
      </c>
      <c r="C161" s="2">
        <f>ROW(SmtRes!A441)</f>
        <v>441</v>
      </c>
      <c r="D161" s="2">
        <f>ROW(EtalonRes!A477)</f>
        <v>477</v>
      </c>
      <c r="E161" s="2" t="s">
        <v>517</v>
      </c>
      <c r="F161" s="2" t="s">
        <v>518</v>
      </c>
      <c r="G161" s="2" t="s">
        <v>519</v>
      </c>
      <c r="H161" s="2" t="s">
        <v>256</v>
      </c>
      <c r="I161" s="2">
        <f>ROUND(1/100,9)</f>
        <v>0.01</v>
      </c>
      <c r="J161" s="2">
        <v>0</v>
      </c>
      <c r="K161" s="2"/>
      <c r="L161" s="2"/>
      <c r="M161" s="2"/>
      <c r="N161" s="2"/>
      <c r="O161" s="2">
        <f t="shared" si="161"/>
        <v>7.91</v>
      </c>
      <c r="P161" s="2">
        <f t="shared" si="162"/>
        <v>0.55000000000000004</v>
      </c>
      <c r="Q161" s="2">
        <f t="shared" si="163"/>
        <v>0.03</v>
      </c>
      <c r="R161" s="2">
        <f t="shared" si="164"/>
        <v>0.01</v>
      </c>
      <c r="S161" s="2">
        <f t="shared" si="165"/>
        <v>7.33</v>
      </c>
      <c r="T161" s="2">
        <f t="shared" si="166"/>
        <v>0</v>
      </c>
      <c r="U161" s="2">
        <f t="shared" si="167"/>
        <v>0.73875999999999997</v>
      </c>
      <c r="V161" s="2">
        <f t="shared" si="168"/>
        <v>3.7500000000000001E-4</v>
      </c>
      <c r="W161" s="2">
        <f t="shared" si="169"/>
        <v>0</v>
      </c>
      <c r="X161" s="2">
        <f t="shared" si="170"/>
        <v>8.44</v>
      </c>
      <c r="Y161" s="2">
        <f t="shared" si="171"/>
        <v>5.21</v>
      </c>
      <c r="Z161" s="2"/>
      <c r="AA161" s="2">
        <v>16499835</v>
      </c>
      <c r="AB161" s="2">
        <f t="shared" si="172"/>
        <v>791.51900000000001</v>
      </c>
      <c r="AC161" s="2">
        <f t="shared" si="173"/>
        <v>55.37</v>
      </c>
      <c r="AD161" s="2">
        <f>ROUND(((((ET161*1.25))-((EU161*1.25)))+AE161),6)</f>
        <v>3.3</v>
      </c>
      <c r="AE161" s="2">
        <f>ROUND(((EU161*1.25)),6)</f>
        <v>0.5</v>
      </c>
      <c r="AF161" s="2">
        <f>ROUND(((EV161*1.15)),6)</f>
        <v>732.84900000000005</v>
      </c>
      <c r="AG161" s="2">
        <f t="shared" si="176"/>
        <v>0</v>
      </c>
      <c r="AH161" s="2">
        <f>((EW161*1.15))</f>
        <v>73.875999999999991</v>
      </c>
      <c r="AI161" s="2">
        <f>((EX161*1.25))</f>
        <v>3.7499999999999999E-2</v>
      </c>
      <c r="AJ161" s="2">
        <f t="shared" si="178"/>
        <v>0</v>
      </c>
      <c r="AK161" s="2">
        <v>695.27</v>
      </c>
      <c r="AL161" s="2">
        <v>55.37</v>
      </c>
      <c r="AM161" s="2">
        <v>2.64</v>
      </c>
      <c r="AN161" s="2">
        <v>0.4</v>
      </c>
      <c r="AO161" s="2">
        <v>637.26</v>
      </c>
      <c r="AP161" s="2">
        <v>0</v>
      </c>
      <c r="AQ161" s="2">
        <v>64.239999999999995</v>
      </c>
      <c r="AR161" s="2">
        <v>0.03</v>
      </c>
      <c r="AS161" s="2">
        <v>0</v>
      </c>
      <c r="AT161" s="2">
        <v>115</v>
      </c>
      <c r="AU161" s="2">
        <v>71</v>
      </c>
      <c r="AV161" s="2">
        <v>1</v>
      </c>
      <c r="AW161" s="2">
        <v>1</v>
      </c>
      <c r="AX161" s="2"/>
      <c r="AY161" s="2"/>
      <c r="AZ161" s="2">
        <v>1</v>
      </c>
      <c r="BA161" s="2">
        <v>1</v>
      </c>
      <c r="BB161" s="2">
        <v>1</v>
      </c>
      <c r="BC161" s="2">
        <v>1</v>
      </c>
      <c r="BD161" s="2" t="s">
        <v>224</v>
      </c>
      <c r="BE161" s="2" t="s">
        <v>224</v>
      </c>
      <c r="BF161" s="2" t="s">
        <v>224</v>
      </c>
      <c r="BG161" s="2" t="s">
        <v>224</v>
      </c>
      <c r="BH161" s="2">
        <v>0</v>
      </c>
      <c r="BI161" s="2">
        <v>1</v>
      </c>
      <c r="BJ161" s="2" t="s">
        <v>520</v>
      </c>
      <c r="BK161" s="2"/>
      <c r="BL161" s="2"/>
      <c r="BM161" s="2">
        <v>16001</v>
      </c>
      <c r="BN161" s="2">
        <v>0</v>
      </c>
      <c r="BO161" s="2" t="s">
        <v>224</v>
      </c>
      <c r="BP161" s="2">
        <v>0</v>
      </c>
      <c r="BQ161" s="2">
        <v>2</v>
      </c>
      <c r="BR161" s="2">
        <v>0</v>
      </c>
      <c r="BS161" s="2">
        <v>1</v>
      </c>
      <c r="BT161" s="2">
        <v>1</v>
      </c>
      <c r="BU161" s="2">
        <v>1</v>
      </c>
      <c r="BV161" s="2">
        <v>1</v>
      </c>
      <c r="BW161" s="2">
        <v>1</v>
      </c>
      <c r="BX161" s="2">
        <v>1</v>
      </c>
      <c r="BY161" s="2" t="s">
        <v>224</v>
      </c>
      <c r="BZ161" s="2">
        <v>128</v>
      </c>
      <c r="CA161" s="2">
        <v>83</v>
      </c>
      <c r="CB161" s="2"/>
      <c r="CC161" s="2"/>
      <c r="CD161" s="2"/>
      <c r="CE161" s="2"/>
      <c r="CF161" s="2">
        <v>0</v>
      </c>
      <c r="CG161" s="2">
        <v>0</v>
      </c>
      <c r="CH161" s="2"/>
      <c r="CI161" s="2"/>
      <c r="CJ161" s="2"/>
      <c r="CK161" s="2"/>
      <c r="CL161" s="2"/>
      <c r="CM161" s="2">
        <v>0</v>
      </c>
      <c r="CN161" s="2" t="s">
        <v>123</v>
      </c>
      <c r="CO161" s="2">
        <v>0</v>
      </c>
      <c r="CP161" s="2">
        <f t="shared" si="179"/>
        <v>7.91</v>
      </c>
      <c r="CQ161" s="2">
        <f t="shared" si="180"/>
        <v>55.37</v>
      </c>
      <c r="CR161" s="2">
        <f t="shared" si="181"/>
        <v>3.3</v>
      </c>
      <c r="CS161" s="2">
        <f t="shared" si="182"/>
        <v>0.5</v>
      </c>
      <c r="CT161" s="2">
        <f t="shared" si="183"/>
        <v>732.84900000000005</v>
      </c>
      <c r="CU161" s="2">
        <f t="shared" si="184"/>
        <v>0</v>
      </c>
      <c r="CV161" s="2">
        <f t="shared" si="185"/>
        <v>73.875999999999991</v>
      </c>
      <c r="CW161" s="2">
        <f t="shared" si="186"/>
        <v>3.7499999999999999E-2</v>
      </c>
      <c r="CX161" s="2">
        <f t="shared" si="187"/>
        <v>0</v>
      </c>
      <c r="CY161" s="2">
        <f t="shared" si="188"/>
        <v>8.4410000000000007</v>
      </c>
      <c r="CZ161" s="2">
        <f t="shared" si="189"/>
        <v>5.2114000000000003</v>
      </c>
      <c r="DA161" s="2"/>
      <c r="DB161" s="2"/>
      <c r="DC161" s="2" t="s">
        <v>224</v>
      </c>
      <c r="DD161" s="2" t="s">
        <v>224</v>
      </c>
      <c r="DE161" s="2" t="s">
        <v>239</v>
      </c>
      <c r="DF161" s="2" t="s">
        <v>239</v>
      </c>
      <c r="DG161" s="2" t="s">
        <v>240</v>
      </c>
      <c r="DH161" s="2" t="s">
        <v>224</v>
      </c>
      <c r="DI161" s="2" t="s">
        <v>240</v>
      </c>
      <c r="DJ161" s="2" t="s">
        <v>239</v>
      </c>
      <c r="DK161" s="2" t="s">
        <v>224</v>
      </c>
      <c r="DL161" s="2" t="s">
        <v>224</v>
      </c>
      <c r="DM161" s="2" t="s">
        <v>224</v>
      </c>
      <c r="DN161" s="2">
        <v>0</v>
      </c>
      <c r="DO161" s="2">
        <v>0</v>
      </c>
      <c r="DP161" s="2">
        <v>1</v>
      </c>
      <c r="DQ161" s="2">
        <v>1</v>
      </c>
      <c r="DR161" s="2"/>
      <c r="DS161" s="2"/>
      <c r="DT161" s="2"/>
      <c r="DU161" s="2">
        <v>1003</v>
      </c>
      <c r="DV161" s="2" t="s">
        <v>256</v>
      </c>
      <c r="DW161" s="2" t="s">
        <v>256</v>
      </c>
      <c r="DX161" s="2">
        <v>100</v>
      </c>
      <c r="DY161" s="2"/>
      <c r="DZ161" s="2"/>
      <c r="EA161" s="2"/>
      <c r="EB161" s="2"/>
      <c r="EC161" s="2"/>
      <c r="ED161" s="2"/>
      <c r="EE161" s="2">
        <v>15139127</v>
      </c>
      <c r="EF161" s="2">
        <v>2</v>
      </c>
      <c r="EG161" s="2" t="s">
        <v>233</v>
      </c>
      <c r="EH161" s="2">
        <v>0</v>
      </c>
      <c r="EI161" s="2" t="s">
        <v>224</v>
      </c>
      <c r="EJ161" s="2">
        <v>1</v>
      </c>
      <c r="EK161" s="2">
        <v>16001</v>
      </c>
      <c r="EL161" s="2" t="s">
        <v>511</v>
      </c>
      <c r="EM161" s="2" t="s">
        <v>512</v>
      </c>
      <c r="EN161" s="2"/>
      <c r="EO161" s="2" t="s">
        <v>243</v>
      </c>
      <c r="EP161" s="2"/>
      <c r="EQ161" s="2">
        <v>0</v>
      </c>
      <c r="ER161" s="2">
        <v>695.27</v>
      </c>
      <c r="ES161" s="2">
        <v>55.37</v>
      </c>
      <c r="ET161" s="2">
        <v>2.64</v>
      </c>
      <c r="EU161" s="2">
        <v>0.4</v>
      </c>
      <c r="EV161" s="2">
        <v>637.26</v>
      </c>
      <c r="EW161" s="2">
        <v>64.239999999999995</v>
      </c>
      <c r="EX161" s="2">
        <v>0.03</v>
      </c>
      <c r="EY161" s="2">
        <v>0</v>
      </c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>
        <v>0</v>
      </c>
      <c r="FR161" s="2">
        <f t="shared" si="190"/>
        <v>0</v>
      </c>
      <c r="FS161" s="2">
        <v>0</v>
      </c>
      <c r="FT161" s="2" t="s">
        <v>244</v>
      </c>
      <c r="FU161" s="2" t="s">
        <v>245</v>
      </c>
      <c r="FV161" s="2"/>
      <c r="FW161" s="2"/>
      <c r="FX161" s="2">
        <v>115.2</v>
      </c>
      <c r="FY161" s="2">
        <v>70.55</v>
      </c>
      <c r="FZ161" s="2"/>
      <c r="GA161" s="2" t="s">
        <v>224</v>
      </c>
      <c r="GB161" s="2"/>
      <c r="GC161" s="2"/>
      <c r="GD161" s="2">
        <v>0</v>
      </c>
      <c r="GE161" s="2"/>
      <c r="GF161" s="2">
        <v>77844681</v>
      </c>
      <c r="GG161" s="2">
        <v>2</v>
      </c>
      <c r="GH161" s="2">
        <v>1</v>
      </c>
      <c r="GI161" s="2">
        <v>-2</v>
      </c>
      <c r="GJ161" s="2">
        <v>0</v>
      </c>
      <c r="GK161" s="2">
        <f>ROUND(R161*(R12)/100,2)</f>
        <v>0</v>
      </c>
      <c r="GL161" s="2">
        <f t="shared" si="191"/>
        <v>0</v>
      </c>
      <c r="GM161" s="2">
        <f t="shared" si="192"/>
        <v>21.56</v>
      </c>
      <c r="GN161" s="2">
        <f t="shared" si="193"/>
        <v>21.56</v>
      </c>
      <c r="GO161" s="2">
        <f t="shared" si="194"/>
        <v>0</v>
      </c>
      <c r="GP161" s="2">
        <f t="shared" si="195"/>
        <v>0</v>
      </c>
      <c r="GQ161" s="2"/>
      <c r="GR161" s="2">
        <v>0</v>
      </c>
      <c r="GS161" s="2">
        <v>3</v>
      </c>
      <c r="GT161" s="2">
        <v>0</v>
      </c>
      <c r="GU161" s="2" t="s">
        <v>224</v>
      </c>
      <c r="GV161" s="2">
        <f t="shared" si="196"/>
        <v>0</v>
      </c>
      <c r="GW161" s="2">
        <v>1</v>
      </c>
      <c r="GX161" s="2">
        <f t="shared" si="197"/>
        <v>0</v>
      </c>
      <c r="GY161" s="2"/>
      <c r="GZ161" s="2"/>
      <c r="HA161" s="2">
        <v>0</v>
      </c>
      <c r="HB161" s="2">
        <v>0</v>
      </c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>
        <v>0</v>
      </c>
      <c r="IL161" s="2"/>
      <c r="IM161" s="2"/>
      <c r="IN161" s="2"/>
      <c r="IO161" s="2"/>
      <c r="IP161" s="2"/>
      <c r="IQ161" s="2"/>
      <c r="IR161" s="2"/>
      <c r="IS161" s="2"/>
      <c r="IT161" s="2"/>
      <c r="IU161" s="2"/>
    </row>
    <row r="162" spans="1:255" x14ac:dyDescent="0.2">
      <c r="A162">
        <v>17</v>
      </c>
      <c r="B162">
        <v>1</v>
      </c>
      <c r="C162">
        <f>ROW(SmtRes!A450)</f>
        <v>450</v>
      </c>
      <c r="D162">
        <f>ROW(EtalonRes!A488)</f>
        <v>488</v>
      </c>
      <c r="E162" t="s">
        <v>517</v>
      </c>
      <c r="F162" t="s">
        <v>518</v>
      </c>
      <c r="G162" t="s">
        <v>519</v>
      </c>
      <c r="H162" t="s">
        <v>256</v>
      </c>
      <c r="I162">
        <f>ROUND(1/100,9)</f>
        <v>0.01</v>
      </c>
      <c r="J162">
        <v>0</v>
      </c>
      <c r="O162">
        <f t="shared" si="161"/>
        <v>48.13</v>
      </c>
      <c r="P162">
        <f t="shared" si="162"/>
        <v>3.37</v>
      </c>
      <c r="Q162">
        <f t="shared" si="163"/>
        <v>0.2</v>
      </c>
      <c r="R162">
        <f t="shared" si="164"/>
        <v>0.03</v>
      </c>
      <c r="S162">
        <f t="shared" si="165"/>
        <v>44.56</v>
      </c>
      <c r="T162">
        <f t="shared" si="166"/>
        <v>0</v>
      </c>
      <c r="U162">
        <f t="shared" si="167"/>
        <v>0.73875999999999997</v>
      </c>
      <c r="V162">
        <f t="shared" si="168"/>
        <v>3.7500000000000001E-4</v>
      </c>
      <c r="W162">
        <f t="shared" si="169"/>
        <v>0</v>
      </c>
      <c r="X162">
        <f t="shared" si="170"/>
        <v>51.28</v>
      </c>
      <c r="Y162">
        <f t="shared" si="171"/>
        <v>31.66</v>
      </c>
      <c r="AA162">
        <v>16499878</v>
      </c>
      <c r="AB162">
        <f t="shared" si="172"/>
        <v>791.51900000000001</v>
      </c>
      <c r="AC162">
        <f t="shared" si="173"/>
        <v>55.37</v>
      </c>
      <c r="AD162">
        <f>ROUND(((((ET162*1.25))-((EU162*1.25)))+AE162),6)</f>
        <v>3.3</v>
      </c>
      <c r="AE162">
        <f>ROUND(((EU162*1.25)),6)</f>
        <v>0.5</v>
      </c>
      <c r="AF162">
        <f>ROUND(((EV162*1.15)),6)</f>
        <v>732.84900000000005</v>
      </c>
      <c r="AG162">
        <f t="shared" si="176"/>
        <v>0</v>
      </c>
      <c r="AH162">
        <f>((EW162*1.15))</f>
        <v>73.875999999999991</v>
      </c>
      <c r="AI162">
        <f>((EX162*1.25))</f>
        <v>3.7499999999999999E-2</v>
      </c>
      <c r="AJ162">
        <f t="shared" si="178"/>
        <v>0</v>
      </c>
      <c r="AK162">
        <v>695.27</v>
      </c>
      <c r="AL162">
        <v>55.37</v>
      </c>
      <c r="AM162">
        <v>2.64</v>
      </c>
      <c r="AN162">
        <v>0.4</v>
      </c>
      <c r="AO162">
        <v>637.26</v>
      </c>
      <c r="AP162">
        <v>0</v>
      </c>
      <c r="AQ162">
        <v>64.239999999999995</v>
      </c>
      <c r="AR162">
        <v>0.03</v>
      </c>
      <c r="AS162">
        <v>0</v>
      </c>
      <c r="AT162">
        <v>115</v>
      </c>
      <c r="AU162">
        <v>71</v>
      </c>
      <c r="AV162">
        <v>1</v>
      </c>
      <c r="AW162">
        <v>1</v>
      </c>
      <c r="AZ162">
        <v>6.08</v>
      </c>
      <c r="BA162">
        <v>6.08</v>
      </c>
      <c r="BB162">
        <v>6.08</v>
      </c>
      <c r="BC162">
        <v>6.08</v>
      </c>
      <c r="BD162" t="s">
        <v>224</v>
      </c>
      <c r="BE162" t="s">
        <v>224</v>
      </c>
      <c r="BF162" t="s">
        <v>224</v>
      </c>
      <c r="BG162" t="s">
        <v>224</v>
      </c>
      <c r="BH162">
        <v>0</v>
      </c>
      <c r="BI162">
        <v>1</v>
      </c>
      <c r="BJ162" t="s">
        <v>520</v>
      </c>
      <c r="BM162">
        <v>16001</v>
      </c>
      <c r="BN162">
        <v>0</v>
      </c>
      <c r="BO162" t="s">
        <v>224</v>
      </c>
      <c r="BP162">
        <v>0</v>
      </c>
      <c r="BQ162">
        <v>2</v>
      </c>
      <c r="BR162">
        <v>0</v>
      </c>
      <c r="BS162">
        <v>6.08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224</v>
      </c>
      <c r="BZ162">
        <v>128</v>
      </c>
      <c r="CA162">
        <v>83</v>
      </c>
      <c r="CF162">
        <v>0</v>
      </c>
      <c r="CG162">
        <v>0</v>
      </c>
      <c r="CM162">
        <v>0</v>
      </c>
      <c r="CN162" t="s">
        <v>123</v>
      </c>
      <c r="CO162">
        <v>0</v>
      </c>
      <c r="CP162">
        <f t="shared" si="179"/>
        <v>48.13</v>
      </c>
      <c r="CQ162">
        <f t="shared" si="180"/>
        <v>336.64959999999996</v>
      </c>
      <c r="CR162">
        <f t="shared" si="181"/>
        <v>20.064</v>
      </c>
      <c r="CS162">
        <f t="shared" si="182"/>
        <v>3.04</v>
      </c>
      <c r="CT162">
        <f t="shared" si="183"/>
        <v>4455.72192</v>
      </c>
      <c r="CU162">
        <f t="shared" si="184"/>
        <v>0</v>
      </c>
      <c r="CV162">
        <f t="shared" si="185"/>
        <v>73.875999999999991</v>
      </c>
      <c r="CW162">
        <f t="shared" si="186"/>
        <v>3.7499999999999999E-2</v>
      </c>
      <c r="CX162">
        <f t="shared" si="187"/>
        <v>0</v>
      </c>
      <c r="CY162">
        <f t="shared" si="188"/>
        <v>51.278500000000001</v>
      </c>
      <c r="CZ162">
        <f t="shared" si="189"/>
        <v>31.658900000000003</v>
      </c>
      <c r="DC162" t="s">
        <v>224</v>
      </c>
      <c r="DD162" t="s">
        <v>224</v>
      </c>
      <c r="DE162" t="s">
        <v>239</v>
      </c>
      <c r="DF162" t="s">
        <v>239</v>
      </c>
      <c r="DG162" t="s">
        <v>240</v>
      </c>
      <c r="DH162" t="s">
        <v>224</v>
      </c>
      <c r="DI162" t="s">
        <v>240</v>
      </c>
      <c r="DJ162" t="s">
        <v>239</v>
      </c>
      <c r="DK162" t="s">
        <v>224</v>
      </c>
      <c r="DL162" t="s">
        <v>224</v>
      </c>
      <c r="DM162" t="s">
        <v>224</v>
      </c>
      <c r="DN162">
        <v>0</v>
      </c>
      <c r="DO162">
        <v>0</v>
      </c>
      <c r="DP162">
        <v>1</v>
      </c>
      <c r="DQ162">
        <v>1</v>
      </c>
      <c r="DU162">
        <v>1003</v>
      </c>
      <c r="DV162" t="s">
        <v>256</v>
      </c>
      <c r="DW162" t="s">
        <v>256</v>
      </c>
      <c r="DX162">
        <v>100</v>
      </c>
      <c r="EE162">
        <v>15139127</v>
      </c>
      <c r="EF162">
        <v>2</v>
      </c>
      <c r="EG162" t="s">
        <v>233</v>
      </c>
      <c r="EH162">
        <v>0</v>
      </c>
      <c r="EI162" t="s">
        <v>224</v>
      </c>
      <c r="EJ162">
        <v>1</v>
      </c>
      <c r="EK162">
        <v>16001</v>
      </c>
      <c r="EL162" t="s">
        <v>511</v>
      </c>
      <c r="EM162" t="s">
        <v>512</v>
      </c>
      <c r="EO162" t="s">
        <v>243</v>
      </c>
      <c r="EQ162">
        <v>0</v>
      </c>
      <c r="ER162">
        <v>695.27</v>
      </c>
      <c r="ES162">
        <v>55.37</v>
      </c>
      <c r="ET162">
        <v>2.64</v>
      </c>
      <c r="EU162">
        <v>0.4</v>
      </c>
      <c r="EV162">
        <v>637.26</v>
      </c>
      <c r="EW162">
        <v>64.239999999999995</v>
      </c>
      <c r="EX162">
        <v>0.03</v>
      </c>
      <c r="EY162">
        <v>0</v>
      </c>
      <c r="FQ162">
        <v>0</v>
      </c>
      <c r="FR162">
        <f t="shared" si="190"/>
        <v>0</v>
      </c>
      <c r="FS162">
        <v>0</v>
      </c>
      <c r="FT162" t="s">
        <v>244</v>
      </c>
      <c r="FU162" t="s">
        <v>245</v>
      </c>
      <c r="FX162">
        <v>115.2</v>
      </c>
      <c r="FY162">
        <v>70.55</v>
      </c>
      <c r="GA162" t="s">
        <v>224</v>
      </c>
      <c r="GD162">
        <v>0</v>
      </c>
      <c r="GF162">
        <v>77844681</v>
      </c>
      <c r="GG162">
        <v>1</v>
      </c>
      <c r="GH162">
        <v>1</v>
      </c>
      <c r="GI162">
        <v>4</v>
      </c>
      <c r="GJ162">
        <v>0</v>
      </c>
      <c r="GK162">
        <f>ROUND(R162*(S12)/100,2)</f>
        <v>0</v>
      </c>
      <c r="GL162">
        <f t="shared" si="191"/>
        <v>0</v>
      </c>
      <c r="GM162">
        <f t="shared" si="192"/>
        <v>131.07</v>
      </c>
      <c r="GN162">
        <f t="shared" si="193"/>
        <v>131.07</v>
      </c>
      <c r="GO162">
        <f t="shared" si="194"/>
        <v>0</v>
      </c>
      <c r="GP162">
        <f t="shared" si="195"/>
        <v>0</v>
      </c>
      <c r="GR162">
        <v>0</v>
      </c>
      <c r="GS162">
        <v>3</v>
      </c>
      <c r="GT162">
        <v>0</v>
      </c>
      <c r="GU162" t="s">
        <v>224</v>
      </c>
      <c r="GV162">
        <f t="shared" si="196"/>
        <v>0</v>
      </c>
      <c r="GW162">
        <v>1</v>
      </c>
      <c r="GX162">
        <f t="shared" si="197"/>
        <v>0</v>
      </c>
      <c r="HA162">
        <v>0</v>
      </c>
      <c r="HB162">
        <v>0</v>
      </c>
      <c r="IK162">
        <v>0</v>
      </c>
    </row>
    <row r="163" spans="1:255" x14ac:dyDescent="0.2">
      <c r="A163" s="2">
        <v>18</v>
      </c>
      <c r="B163" s="2">
        <v>1</v>
      </c>
      <c r="C163" s="2">
        <v>441</v>
      </c>
      <c r="D163" s="2"/>
      <c r="E163" s="2" t="s">
        <v>521</v>
      </c>
      <c r="F163" s="2" t="s">
        <v>522</v>
      </c>
      <c r="G163" s="2" t="s">
        <v>523</v>
      </c>
      <c r="H163" s="2" t="s">
        <v>351</v>
      </c>
      <c r="I163" s="2">
        <f>I161*J163</f>
        <v>0.998</v>
      </c>
      <c r="J163" s="2">
        <v>99.8</v>
      </c>
      <c r="K163" s="2"/>
      <c r="L163" s="2"/>
      <c r="M163" s="2"/>
      <c r="N163" s="2"/>
      <c r="O163" s="2">
        <f t="shared" si="161"/>
        <v>39.28</v>
      </c>
      <c r="P163" s="2">
        <f t="shared" si="162"/>
        <v>39.28</v>
      </c>
      <c r="Q163" s="2">
        <f t="shared" si="163"/>
        <v>0</v>
      </c>
      <c r="R163" s="2">
        <f t="shared" si="164"/>
        <v>0</v>
      </c>
      <c r="S163" s="2">
        <f t="shared" si="165"/>
        <v>0</v>
      </c>
      <c r="T163" s="2">
        <f t="shared" si="166"/>
        <v>0</v>
      </c>
      <c r="U163" s="2">
        <f t="shared" si="167"/>
        <v>0</v>
      </c>
      <c r="V163" s="2">
        <f t="shared" si="168"/>
        <v>0</v>
      </c>
      <c r="W163" s="2">
        <f t="shared" si="169"/>
        <v>0</v>
      </c>
      <c r="X163" s="2">
        <f t="shared" si="170"/>
        <v>0</v>
      </c>
      <c r="Y163" s="2">
        <f t="shared" si="171"/>
        <v>0</v>
      </c>
      <c r="Z163" s="2"/>
      <c r="AA163" s="2">
        <v>16499835</v>
      </c>
      <c r="AB163" s="2">
        <f t="shared" si="172"/>
        <v>39.36</v>
      </c>
      <c r="AC163" s="2">
        <f t="shared" si="173"/>
        <v>39.36</v>
      </c>
      <c r="AD163" s="2">
        <f>ROUND((((ET163)-(EU163))+AE163),6)</f>
        <v>0</v>
      </c>
      <c r="AE163" s="2">
        <f>ROUND((EU163),6)</f>
        <v>0</v>
      </c>
      <c r="AF163" s="2">
        <f>ROUND((EV163),6)</f>
        <v>0</v>
      </c>
      <c r="AG163" s="2">
        <f t="shared" si="176"/>
        <v>0</v>
      </c>
      <c r="AH163" s="2">
        <f>(EW163)</f>
        <v>0</v>
      </c>
      <c r="AI163" s="2">
        <f>(EX163)</f>
        <v>0</v>
      </c>
      <c r="AJ163" s="2">
        <f t="shared" si="178"/>
        <v>0</v>
      </c>
      <c r="AK163" s="2">
        <v>39.36</v>
      </c>
      <c r="AL163" s="2">
        <v>39.36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115</v>
      </c>
      <c r="AU163" s="2">
        <v>71</v>
      </c>
      <c r="AV163" s="2">
        <v>1</v>
      </c>
      <c r="AW163" s="2">
        <v>1</v>
      </c>
      <c r="AX163" s="2"/>
      <c r="AY163" s="2"/>
      <c r="AZ163" s="2">
        <v>1</v>
      </c>
      <c r="BA163" s="2">
        <v>1</v>
      </c>
      <c r="BB163" s="2">
        <v>1</v>
      </c>
      <c r="BC163" s="2">
        <v>1</v>
      </c>
      <c r="BD163" s="2" t="s">
        <v>224</v>
      </c>
      <c r="BE163" s="2" t="s">
        <v>224</v>
      </c>
      <c r="BF163" s="2" t="s">
        <v>224</v>
      </c>
      <c r="BG163" s="2" t="s">
        <v>224</v>
      </c>
      <c r="BH163" s="2">
        <v>3</v>
      </c>
      <c r="BI163" s="2">
        <v>1</v>
      </c>
      <c r="BJ163" s="2" t="s">
        <v>524</v>
      </c>
      <c r="BK163" s="2"/>
      <c r="BL163" s="2"/>
      <c r="BM163" s="2">
        <v>16001</v>
      </c>
      <c r="BN163" s="2">
        <v>0</v>
      </c>
      <c r="BO163" s="2" t="s">
        <v>224</v>
      </c>
      <c r="BP163" s="2">
        <v>0</v>
      </c>
      <c r="BQ163" s="2">
        <v>2</v>
      </c>
      <c r="BR163" s="2">
        <v>0</v>
      </c>
      <c r="BS163" s="2">
        <v>1</v>
      </c>
      <c r="BT163" s="2">
        <v>1</v>
      </c>
      <c r="BU163" s="2">
        <v>1</v>
      </c>
      <c r="BV163" s="2">
        <v>1</v>
      </c>
      <c r="BW163" s="2">
        <v>1</v>
      </c>
      <c r="BX163" s="2">
        <v>1</v>
      </c>
      <c r="BY163" s="2" t="s">
        <v>224</v>
      </c>
      <c r="BZ163" s="2">
        <v>128</v>
      </c>
      <c r="CA163" s="2">
        <v>83</v>
      </c>
      <c r="CB163" s="2"/>
      <c r="CC163" s="2"/>
      <c r="CD163" s="2"/>
      <c r="CE163" s="2"/>
      <c r="CF163" s="2">
        <v>0</v>
      </c>
      <c r="CG163" s="2">
        <v>0</v>
      </c>
      <c r="CH163" s="2"/>
      <c r="CI163" s="2"/>
      <c r="CJ163" s="2"/>
      <c r="CK163" s="2"/>
      <c r="CL163" s="2"/>
      <c r="CM163" s="2">
        <v>0</v>
      </c>
      <c r="CN163" s="2" t="s">
        <v>224</v>
      </c>
      <c r="CO163" s="2">
        <v>0</v>
      </c>
      <c r="CP163" s="2">
        <f t="shared" si="179"/>
        <v>39.28</v>
      </c>
      <c r="CQ163" s="2">
        <f t="shared" si="180"/>
        <v>39.36</v>
      </c>
      <c r="CR163" s="2">
        <f t="shared" si="181"/>
        <v>0</v>
      </c>
      <c r="CS163" s="2">
        <f t="shared" si="182"/>
        <v>0</v>
      </c>
      <c r="CT163" s="2">
        <f t="shared" si="183"/>
        <v>0</v>
      </c>
      <c r="CU163" s="2">
        <f t="shared" si="184"/>
        <v>0</v>
      </c>
      <c r="CV163" s="2">
        <f t="shared" si="185"/>
        <v>0</v>
      </c>
      <c r="CW163" s="2">
        <f t="shared" si="186"/>
        <v>0</v>
      </c>
      <c r="CX163" s="2">
        <f t="shared" si="187"/>
        <v>0</v>
      </c>
      <c r="CY163" s="2">
        <f t="shared" si="188"/>
        <v>0</v>
      </c>
      <c r="CZ163" s="2">
        <f t="shared" si="189"/>
        <v>0</v>
      </c>
      <c r="DA163" s="2"/>
      <c r="DB163" s="2"/>
      <c r="DC163" s="2" t="s">
        <v>224</v>
      </c>
      <c r="DD163" s="2" t="s">
        <v>224</v>
      </c>
      <c r="DE163" s="2" t="s">
        <v>224</v>
      </c>
      <c r="DF163" s="2" t="s">
        <v>224</v>
      </c>
      <c r="DG163" s="2" t="s">
        <v>224</v>
      </c>
      <c r="DH163" s="2" t="s">
        <v>224</v>
      </c>
      <c r="DI163" s="2" t="s">
        <v>224</v>
      </c>
      <c r="DJ163" s="2" t="s">
        <v>224</v>
      </c>
      <c r="DK163" s="2" t="s">
        <v>224</v>
      </c>
      <c r="DL163" s="2" t="s">
        <v>224</v>
      </c>
      <c r="DM163" s="2" t="s">
        <v>224</v>
      </c>
      <c r="DN163" s="2">
        <v>0</v>
      </c>
      <c r="DO163" s="2">
        <v>0</v>
      </c>
      <c r="DP163" s="2">
        <v>1</v>
      </c>
      <c r="DQ163" s="2">
        <v>1</v>
      </c>
      <c r="DR163" s="2"/>
      <c r="DS163" s="2"/>
      <c r="DT163" s="2"/>
      <c r="DU163" s="2">
        <v>1003</v>
      </c>
      <c r="DV163" s="2" t="s">
        <v>351</v>
      </c>
      <c r="DW163" s="2" t="s">
        <v>351</v>
      </c>
      <c r="DX163" s="2">
        <v>1</v>
      </c>
      <c r="DY163" s="2"/>
      <c r="DZ163" s="2"/>
      <c r="EA163" s="2"/>
      <c r="EB163" s="2"/>
      <c r="EC163" s="2"/>
      <c r="ED163" s="2"/>
      <c r="EE163" s="2">
        <v>15139127</v>
      </c>
      <c r="EF163" s="2">
        <v>2</v>
      </c>
      <c r="EG163" s="2" t="s">
        <v>233</v>
      </c>
      <c r="EH163" s="2">
        <v>0</v>
      </c>
      <c r="EI163" s="2" t="s">
        <v>224</v>
      </c>
      <c r="EJ163" s="2">
        <v>1</v>
      </c>
      <c r="EK163" s="2">
        <v>16001</v>
      </c>
      <c r="EL163" s="2" t="s">
        <v>511</v>
      </c>
      <c r="EM163" s="2" t="s">
        <v>512</v>
      </c>
      <c r="EN163" s="2"/>
      <c r="EO163" s="2" t="s">
        <v>224</v>
      </c>
      <c r="EP163" s="2"/>
      <c r="EQ163" s="2">
        <v>0</v>
      </c>
      <c r="ER163" s="2">
        <v>39.36</v>
      </c>
      <c r="ES163" s="2">
        <v>39.36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>
        <v>0</v>
      </c>
      <c r="FR163" s="2">
        <f t="shared" si="190"/>
        <v>0</v>
      </c>
      <c r="FS163" s="2">
        <v>0</v>
      </c>
      <c r="FT163" s="2" t="s">
        <v>244</v>
      </c>
      <c r="FU163" s="2" t="s">
        <v>245</v>
      </c>
      <c r="FV163" s="2"/>
      <c r="FW163" s="2"/>
      <c r="FX163" s="2">
        <v>115.2</v>
      </c>
      <c r="FY163" s="2">
        <v>70.55</v>
      </c>
      <c r="FZ163" s="2"/>
      <c r="GA163" s="2" t="s">
        <v>224</v>
      </c>
      <c r="GB163" s="2"/>
      <c r="GC163" s="2"/>
      <c r="GD163" s="2">
        <v>0</v>
      </c>
      <c r="GE163" s="2"/>
      <c r="GF163" s="2">
        <v>1805353578</v>
      </c>
      <c r="GG163" s="2">
        <v>2</v>
      </c>
      <c r="GH163" s="2">
        <v>1</v>
      </c>
      <c r="GI163" s="2">
        <v>-2</v>
      </c>
      <c r="GJ163" s="2">
        <v>0</v>
      </c>
      <c r="GK163" s="2">
        <f>ROUND(R163*(R12)/100,2)</f>
        <v>0</v>
      </c>
      <c r="GL163" s="2">
        <f t="shared" si="191"/>
        <v>0</v>
      </c>
      <c r="GM163" s="2">
        <f t="shared" si="192"/>
        <v>39.28</v>
      </c>
      <c r="GN163" s="2">
        <f t="shared" si="193"/>
        <v>39.28</v>
      </c>
      <c r="GO163" s="2">
        <f t="shared" si="194"/>
        <v>0</v>
      </c>
      <c r="GP163" s="2">
        <f t="shared" si="195"/>
        <v>0</v>
      </c>
      <c r="GQ163" s="2"/>
      <c r="GR163" s="2">
        <v>0</v>
      </c>
      <c r="GS163" s="2">
        <v>3</v>
      </c>
      <c r="GT163" s="2">
        <v>0</v>
      </c>
      <c r="GU163" s="2" t="s">
        <v>224</v>
      </c>
      <c r="GV163" s="2">
        <f t="shared" si="196"/>
        <v>0</v>
      </c>
      <c r="GW163" s="2">
        <v>1</v>
      </c>
      <c r="GX163" s="2">
        <f t="shared" si="197"/>
        <v>0</v>
      </c>
      <c r="GY163" s="2"/>
      <c r="GZ163" s="2"/>
      <c r="HA163" s="2">
        <v>0</v>
      </c>
      <c r="HB163" s="2">
        <v>0</v>
      </c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>
        <v>0</v>
      </c>
      <c r="IL163" s="2"/>
      <c r="IM163" s="2"/>
      <c r="IN163" s="2"/>
      <c r="IO163" s="2"/>
      <c r="IP163" s="2"/>
      <c r="IQ163" s="2"/>
      <c r="IR163" s="2"/>
      <c r="IS163" s="2"/>
      <c r="IT163" s="2"/>
      <c r="IU163" s="2"/>
    </row>
    <row r="164" spans="1:255" x14ac:dyDescent="0.2">
      <c r="A164">
        <v>18</v>
      </c>
      <c r="B164">
        <v>1</v>
      </c>
      <c r="C164">
        <v>450</v>
      </c>
      <c r="E164" t="s">
        <v>521</v>
      </c>
      <c r="F164" t="s">
        <v>522</v>
      </c>
      <c r="G164" t="s">
        <v>523</v>
      </c>
      <c r="H164" t="s">
        <v>351</v>
      </c>
      <c r="I164">
        <f>I162*J164</f>
        <v>0.998</v>
      </c>
      <c r="J164">
        <v>99.8</v>
      </c>
      <c r="O164">
        <f t="shared" si="161"/>
        <v>238.83</v>
      </c>
      <c r="P164">
        <f t="shared" si="162"/>
        <v>238.83</v>
      </c>
      <c r="Q164">
        <f t="shared" si="163"/>
        <v>0</v>
      </c>
      <c r="R164">
        <f t="shared" si="164"/>
        <v>0</v>
      </c>
      <c r="S164">
        <f t="shared" si="165"/>
        <v>0</v>
      </c>
      <c r="T164">
        <f t="shared" si="166"/>
        <v>0</v>
      </c>
      <c r="U164">
        <f t="shared" si="167"/>
        <v>0</v>
      </c>
      <c r="V164">
        <f t="shared" si="168"/>
        <v>0</v>
      </c>
      <c r="W164">
        <f t="shared" si="169"/>
        <v>0</v>
      </c>
      <c r="X164">
        <f t="shared" si="170"/>
        <v>0</v>
      </c>
      <c r="Y164">
        <f t="shared" si="171"/>
        <v>0</v>
      </c>
      <c r="AA164">
        <v>16499878</v>
      </c>
      <c r="AB164">
        <f t="shared" si="172"/>
        <v>39.36</v>
      </c>
      <c r="AC164">
        <f t="shared" si="173"/>
        <v>39.36</v>
      </c>
      <c r="AD164">
        <f>ROUND((((ET164)-(EU164))+AE164),6)</f>
        <v>0</v>
      </c>
      <c r="AE164">
        <f>ROUND((EU164),6)</f>
        <v>0</v>
      </c>
      <c r="AF164">
        <f>ROUND((EV164),6)</f>
        <v>0</v>
      </c>
      <c r="AG164">
        <f t="shared" si="176"/>
        <v>0</v>
      </c>
      <c r="AH164">
        <f>(EW164)</f>
        <v>0</v>
      </c>
      <c r="AI164">
        <f>(EX164)</f>
        <v>0</v>
      </c>
      <c r="AJ164">
        <f t="shared" si="178"/>
        <v>0</v>
      </c>
      <c r="AK164">
        <v>39.36</v>
      </c>
      <c r="AL164">
        <v>39.36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115</v>
      </c>
      <c r="AU164">
        <v>71</v>
      </c>
      <c r="AV164">
        <v>1</v>
      </c>
      <c r="AW164">
        <v>1</v>
      </c>
      <c r="AZ164">
        <v>6.08</v>
      </c>
      <c r="BA164">
        <v>1</v>
      </c>
      <c r="BB164">
        <v>1</v>
      </c>
      <c r="BC164">
        <v>6.08</v>
      </c>
      <c r="BD164" t="s">
        <v>224</v>
      </c>
      <c r="BE164" t="s">
        <v>224</v>
      </c>
      <c r="BF164" t="s">
        <v>224</v>
      </c>
      <c r="BG164" t="s">
        <v>224</v>
      </c>
      <c r="BH164">
        <v>3</v>
      </c>
      <c r="BI164">
        <v>1</v>
      </c>
      <c r="BJ164" t="s">
        <v>524</v>
      </c>
      <c r="BM164">
        <v>16001</v>
      </c>
      <c r="BN164">
        <v>0</v>
      </c>
      <c r="BO164" t="s">
        <v>224</v>
      </c>
      <c r="BP164">
        <v>0</v>
      </c>
      <c r="BQ164">
        <v>2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224</v>
      </c>
      <c r="BZ164">
        <v>128</v>
      </c>
      <c r="CA164">
        <v>83</v>
      </c>
      <c r="CF164">
        <v>0</v>
      </c>
      <c r="CG164">
        <v>0</v>
      </c>
      <c r="CM164">
        <v>0</v>
      </c>
      <c r="CN164" t="s">
        <v>224</v>
      </c>
      <c r="CO164">
        <v>0</v>
      </c>
      <c r="CP164">
        <f t="shared" si="179"/>
        <v>238.83</v>
      </c>
      <c r="CQ164">
        <f t="shared" si="180"/>
        <v>239.30879999999999</v>
      </c>
      <c r="CR164">
        <f t="shared" si="181"/>
        <v>0</v>
      </c>
      <c r="CS164">
        <f t="shared" si="182"/>
        <v>0</v>
      </c>
      <c r="CT164">
        <f t="shared" si="183"/>
        <v>0</v>
      </c>
      <c r="CU164">
        <f t="shared" si="184"/>
        <v>0</v>
      </c>
      <c r="CV164">
        <f t="shared" si="185"/>
        <v>0</v>
      </c>
      <c r="CW164">
        <f t="shared" si="186"/>
        <v>0</v>
      </c>
      <c r="CX164">
        <f t="shared" si="187"/>
        <v>0</v>
      </c>
      <c r="CY164">
        <f t="shared" si="188"/>
        <v>0</v>
      </c>
      <c r="CZ164">
        <f t="shared" si="189"/>
        <v>0</v>
      </c>
      <c r="DC164" t="s">
        <v>224</v>
      </c>
      <c r="DD164" t="s">
        <v>224</v>
      </c>
      <c r="DE164" t="s">
        <v>224</v>
      </c>
      <c r="DF164" t="s">
        <v>224</v>
      </c>
      <c r="DG164" t="s">
        <v>224</v>
      </c>
      <c r="DH164" t="s">
        <v>224</v>
      </c>
      <c r="DI164" t="s">
        <v>224</v>
      </c>
      <c r="DJ164" t="s">
        <v>224</v>
      </c>
      <c r="DK164" t="s">
        <v>224</v>
      </c>
      <c r="DL164" t="s">
        <v>224</v>
      </c>
      <c r="DM164" t="s">
        <v>224</v>
      </c>
      <c r="DN164">
        <v>0</v>
      </c>
      <c r="DO164">
        <v>0</v>
      </c>
      <c r="DP164">
        <v>1</v>
      </c>
      <c r="DQ164">
        <v>1</v>
      </c>
      <c r="DU164">
        <v>1003</v>
      </c>
      <c r="DV164" t="s">
        <v>351</v>
      </c>
      <c r="DW164" t="s">
        <v>351</v>
      </c>
      <c r="DX164">
        <v>1</v>
      </c>
      <c r="EE164">
        <v>15139127</v>
      </c>
      <c r="EF164">
        <v>2</v>
      </c>
      <c r="EG164" t="s">
        <v>233</v>
      </c>
      <c r="EH164">
        <v>0</v>
      </c>
      <c r="EI164" t="s">
        <v>224</v>
      </c>
      <c r="EJ164">
        <v>1</v>
      </c>
      <c r="EK164">
        <v>16001</v>
      </c>
      <c r="EL164" t="s">
        <v>511</v>
      </c>
      <c r="EM164" t="s">
        <v>512</v>
      </c>
      <c r="EO164" t="s">
        <v>224</v>
      </c>
      <c r="EQ164">
        <v>0</v>
      </c>
      <c r="ER164">
        <v>39.36</v>
      </c>
      <c r="ES164">
        <v>39.36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190"/>
        <v>0</v>
      </c>
      <c r="FS164">
        <v>0</v>
      </c>
      <c r="FT164" t="s">
        <v>244</v>
      </c>
      <c r="FU164" t="s">
        <v>245</v>
      </c>
      <c r="FX164">
        <v>115.2</v>
      </c>
      <c r="FY164">
        <v>70.55</v>
      </c>
      <c r="GA164" t="s">
        <v>224</v>
      </c>
      <c r="GD164">
        <v>0</v>
      </c>
      <c r="GF164">
        <v>1805353578</v>
      </c>
      <c r="GG164">
        <v>1</v>
      </c>
      <c r="GH164">
        <v>1</v>
      </c>
      <c r="GI164">
        <v>4</v>
      </c>
      <c r="GJ164">
        <v>0</v>
      </c>
      <c r="GK164">
        <f>ROUND(R164*(S12)/100,2)</f>
        <v>0</v>
      </c>
      <c r="GL164">
        <f t="shared" si="191"/>
        <v>0</v>
      </c>
      <c r="GM164">
        <f t="shared" si="192"/>
        <v>238.83</v>
      </c>
      <c r="GN164">
        <f t="shared" si="193"/>
        <v>238.83</v>
      </c>
      <c r="GO164">
        <f t="shared" si="194"/>
        <v>0</v>
      </c>
      <c r="GP164">
        <f t="shared" si="195"/>
        <v>0</v>
      </c>
      <c r="GR164">
        <v>0</v>
      </c>
      <c r="GS164">
        <v>3</v>
      </c>
      <c r="GT164">
        <v>0</v>
      </c>
      <c r="GU164" t="s">
        <v>224</v>
      </c>
      <c r="GV164">
        <f t="shared" si="196"/>
        <v>0</v>
      </c>
      <c r="GW164">
        <v>1</v>
      </c>
      <c r="GX164">
        <f t="shared" si="197"/>
        <v>0</v>
      </c>
      <c r="HA164">
        <v>0</v>
      </c>
      <c r="HB164">
        <v>0</v>
      </c>
      <c r="IK164">
        <v>0</v>
      </c>
    </row>
    <row r="165" spans="1:255" x14ac:dyDescent="0.2">
      <c r="A165" s="2">
        <v>17</v>
      </c>
      <c r="B165" s="2">
        <v>1</v>
      </c>
      <c r="C165" s="2">
        <f>ROW(SmtRes!A460)</f>
        <v>460</v>
      </c>
      <c r="D165" s="2">
        <f>ROW(EtalonRes!A501)</f>
        <v>501</v>
      </c>
      <c r="E165" s="2" t="s">
        <v>525</v>
      </c>
      <c r="F165" s="2" t="s">
        <v>526</v>
      </c>
      <c r="G165" s="2" t="s">
        <v>527</v>
      </c>
      <c r="H165" s="2" t="s">
        <v>528</v>
      </c>
      <c r="I165" s="2">
        <f>ROUND(1/10,9)</f>
        <v>0.1</v>
      </c>
      <c r="J165" s="2">
        <v>0</v>
      </c>
      <c r="K165" s="2"/>
      <c r="L165" s="2"/>
      <c r="M165" s="2"/>
      <c r="N165" s="2"/>
      <c r="O165" s="2">
        <f t="shared" si="161"/>
        <v>16.96</v>
      </c>
      <c r="P165" s="2">
        <f t="shared" si="162"/>
        <v>5.59</v>
      </c>
      <c r="Q165" s="2">
        <f t="shared" si="163"/>
        <v>1.42</v>
      </c>
      <c r="R165" s="2">
        <f t="shared" si="164"/>
        <v>0.32</v>
      </c>
      <c r="S165" s="2">
        <f t="shared" si="165"/>
        <v>9.9499999999999993</v>
      </c>
      <c r="T165" s="2">
        <f t="shared" si="166"/>
        <v>0</v>
      </c>
      <c r="U165" s="2">
        <f t="shared" si="167"/>
        <v>1.0338499999999999</v>
      </c>
      <c r="V165" s="2">
        <f t="shared" si="168"/>
        <v>2.6250000000000002E-2</v>
      </c>
      <c r="W165" s="2">
        <f t="shared" si="169"/>
        <v>0</v>
      </c>
      <c r="X165" s="2">
        <f t="shared" si="170"/>
        <v>11.81</v>
      </c>
      <c r="Y165" s="2">
        <f t="shared" si="171"/>
        <v>7.29</v>
      </c>
      <c r="Z165" s="2"/>
      <c r="AA165" s="2">
        <v>16499835</v>
      </c>
      <c r="AB165" s="2">
        <f t="shared" si="172"/>
        <v>169.58949999999999</v>
      </c>
      <c r="AC165" s="2">
        <f t="shared" si="173"/>
        <v>55.9</v>
      </c>
      <c r="AD165" s="2">
        <f>ROUND(((((ET165*1.25))-((EU165*1.25)))+AE165),6)</f>
        <v>14.237500000000001</v>
      </c>
      <c r="AE165" s="2">
        <f>ROUND(((EU165*1.25)),6)</f>
        <v>3.2124999999999999</v>
      </c>
      <c r="AF165" s="2">
        <f>ROUND(((EV165*1.15)),6)</f>
        <v>99.451999999999998</v>
      </c>
      <c r="AG165" s="2">
        <f t="shared" si="176"/>
        <v>0</v>
      </c>
      <c r="AH165" s="2">
        <f>((EW165*1.15))</f>
        <v>10.3385</v>
      </c>
      <c r="AI165" s="2">
        <f>((EX165*1.25))</f>
        <v>0.26250000000000001</v>
      </c>
      <c r="AJ165" s="2">
        <f t="shared" si="178"/>
        <v>0</v>
      </c>
      <c r="AK165" s="2">
        <v>153.77000000000001</v>
      </c>
      <c r="AL165" s="2">
        <v>55.9</v>
      </c>
      <c r="AM165" s="2">
        <v>11.39</v>
      </c>
      <c r="AN165" s="2">
        <v>2.57</v>
      </c>
      <c r="AO165" s="2">
        <v>86.48</v>
      </c>
      <c r="AP165" s="2">
        <v>0</v>
      </c>
      <c r="AQ165" s="2">
        <v>8.99</v>
      </c>
      <c r="AR165" s="2">
        <v>0.21</v>
      </c>
      <c r="AS165" s="2">
        <v>0</v>
      </c>
      <c r="AT165" s="2">
        <v>115</v>
      </c>
      <c r="AU165" s="2">
        <v>71</v>
      </c>
      <c r="AV165" s="2">
        <v>1</v>
      </c>
      <c r="AW165" s="2">
        <v>1</v>
      </c>
      <c r="AX165" s="2"/>
      <c r="AY165" s="2"/>
      <c r="AZ165" s="2">
        <v>1</v>
      </c>
      <c r="BA165" s="2">
        <v>1</v>
      </c>
      <c r="BB165" s="2">
        <v>1</v>
      </c>
      <c r="BC165" s="2">
        <v>1</v>
      </c>
      <c r="BD165" s="2" t="s">
        <v>224</v>
      </c>
      <c r="BE165" s="2" t="s">
        <v>224</v>
      </c>
      <c r="BF165" s="2" t="s">
        <v>224</v>
      </c>
      <c r="BG165" s="2" t="s">
        <v>224</v>
      </c>
      <c r="BH165" s="2">
        <v>0</v>
      </c>
      <c r="BI165" s="2">
        <v>1</v>
      </c>
      <c r="BJ165" s="2" t="s">
        <v>529</v>
      </c>
      <c r="BK165" s="2"/>
      <c r="BL165" s="2"/>
      <c r="BM165" s="2">
        <v>17001</v>
      </c>
      <c r="BN165" s="2">
        <v>0</v>
      </c>
      <c r="BO165" s="2" t="s">
        <v>224</v>
      </c>
      <c r="BP165" s="2">
        <v>0</v>
      </c>
      <c r="BQ165" s="2">
        <v>2</v>
      </c>
      <c r="BR165" s="2">
        <v>0</v>
      </c>
      <c r="BS165" s="2">
        <v>1</v>
      </c>
      <c r="BT165" s="2">
        <v>1</v>
      </c>
      <c r="BU165" s="2">
        <v>1</v>
      </c>
      <c r="BV165" s="2">
        <v>1</v>
      </c>
      <c r="BW165" s="2">
        <v>1</v>
      </c>
      <c r="BX165" s="2">
        <v>1</v>
      </c>
      <c r="BY165" s="2" t="s">
        <v>224</v>
      </c>
      <c r="BZ165" s="2">
        <v>128</v>
      </c>
      <c r="CA165" s="2">
        <v>83</v>
      </c>
      <c r="CB165" s="2"/>
      <c r="CC165" s="2"/>
      <c r="CD165" s="2"/>
      <c r="CE165" s="2"/>
      <c r="CF165" s="2">
        <v>0</v>
      </c>
      <c r="CG165" s="2">
        <v>0</v>
      </c>
      <c r="CH165" s="2"/>
      <c r="CI165" s="2"/>
      <c r="CJ165" s="2"/>
      <c r="CK165" s="2"/>
      <c r="CL165" s="2"/>
      <c r="CM165" s="2">
        <v>0</v>
      </c>
      <c r="CN165" s="2" t="s">
        <v>123</v>
      </c>
      <c r="CO165" s="2">
        <v>0</v>
      </c>
      <c r="CP165" s="2">
        <f t="shared" si="179"/>
        <v>16.96</v>
      </c>
      <c r="CQ165" s="2">
        <f t="shared" si="180"/>
        <v>55.9</v>
      </c>
      <c r="CR165" s="2">
        <f t="shared" si="181"/>
        <v>14.237500000000001</v>
      </c>
      <c r="CS165" s="2">
        <f t="shared" si="182"/>
        <v>3.2124999999999999</v>
      </c>
      <c r="CT165" s="2">
        <f t="shared" si="183"/>
        <v>99.451999999999998</v>
      </c>
      <c r="CU165" s="2">
        <f t="shared" si="184"/>
        <v>0</v>
      </c>
      <c r="CV165" s="2">
        <f t="shared" si="185"/>
        <v>10.3385</v>
      </c>
      <c r="CW165" s="2">
        <f t="shared" si="186"/>
        <v>0.26250000000000001</v>
      </c>
      <c r="CX165" s="2">
        <f t="shared" si="187"/>
        <v>0</v>
      </c>
      <c r="CY165" s="2">
        <f t="shared" si="188"/>
        <v>11.810499999999999</v>
      </c>
      <c r="CZ165" s="2">
        <f t="shared" si="189"/>
        <v>7.2916999999999996</v>
      </c>
      <c r="DA165" s="2"/>
      <c r="DB165" s="2"/>
      <c r="DC165" s="2" t="s">
        <v>224</v>
      </c>
      <c r="DD165" s="2" t="s">
        <v>224</v>
      </c>
      <c r="DE165" s="2" t="s">
        <v>239</v>
      </c>
      <c r="DF165" s="2" t="s">
        <v>239</v>
      </c>
      <c r="DG165" s="2" t="s">
        <v>240</v>
      </c>
      <c r="DH165" s="2" t="s">
        <v>224</v>
      </c>
      <c r="DI165" s="2" t="s">
        <v>240</v>
      </c>
      <c r="DJ165" s="2" t="s">
        <v>239</v>
      </c>
      <c r="DK165" s="2" t="s">
        <v>224</v>
      </c>
      <c r="DL165" s="2" t="s">
        <v>224</v>
      </c>
      <c r="DM165" s="2" t="s">
        <v>224</v>
      </c>
      <c r="DN165" s="2">
        <v>0</v>
      </c>
      <c r="DO165" s="2">
        <v>0</v>
      </c>
      <c r="DP165" s="2">
        <v>1</v>
      </c>
      <c r="DQ165" s="2">
        <v>1</v>
      </c>
      <c r="DR165" s="2"/>
      <c r="DS165" s="2"/>
      <c r="DT165" s="2"/>
      <c r="DU165" s="2">
        <v>1013</v>
      </c>
      <c r="DV165" s="2" t="s">
        <v>528</v>
      </c>
      <c r="DW165" s="2" t="s">
        <v>528</v>
      </c>
      <c r="DX165" s="2">
        <v>1</v>
      </c>
      <c r="DY165" s="2"/>
      <c r="DZ165" s="2"/>
      <c r="EA165" s="2"/>
      <c r="EB165" s="2"/>
      <c r="EC165" s="2"/>
      <c r="ED165" s="2"/>
      <c r="EE165" s="2">
        <v>15139128</v>
      </c>
      <c r="EF165" s="2">
        <v>2</v>
      </c>
      <c r="EG165" s="2" t="s">
        <v>233</v>
      </c>
      <c r="EH165" s="2">
        <v>0</v>
      </c>
      <c r="EI165" s="2" t="s">
        <v>224</v>
      </c>
      <c r="EJ165" s="2">
        <v>1</v>
      </c>
      <c r="EK165" s="2">
        <v>17001</v>
      </c>
      <c r="EL165" s="2" t="s">
        <v>530</v>
      </c>
      <c r="EM165" s="2" t="s">
        <v>531</v>
      </c>
      <c r="EN165" s="2"/>
      <c r="EO165" s="2" t="s">
        <v>243</v>
      </c>
      <c r="EP165" s="2"/>
      <c r="EQ165" s="2">
        <v>0</v>
      </c>
      <c r="ER165" s="2">
        <v>153.77000000000001</v>
      </c>
      <c r="ES165" s="2">
        <v>55.9</v>
      </c>
      <c r="ET165" s="2">
        <v>11.39</v>
      </c>
      <c r="EU165" s="2">
        <v>2.57</v>
      </c>
      <c r="EV165" s="2">
        <v>86.48</v>
      </c>
      <c r="EW165" s="2">
        <v>8.99</v>
      </c>
      <c r="EX165" s="2">
        <v>0.21</v>
      </c>
      <c r="EY165" s="2">
        <v>0</v>
      </c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>
        <v>0</v>
      </c>
      <c r="FR165" s="2">
        <f t="shared" si="190"/>
        <v>0</v>
      </c>
      <c r="FS165" s="2">
        <v>0</v>
      </c>
      <c r="FT165" s="2" t="s">
        <v>244</v>
      </c>
      <c r="FU165" s="2" t="s">
        <v>245</v>
      </c>
      <c r="FV165" s="2"/>
      <c r="FW165" s="2"/>
      <c r="FX165" s="2">
        <v>115.2</v>
      </c>
      <c r="FY165" s="2">
        <v>70.55</v>
      </c>
      <c r="FZ165" s="2"/>
      <c r="GA165" s="2" t="s">
        <v>224</v>
      </c>
      <c r="GB165" s="2"/>
      <c r="GC165" s="2"/>
      <c r="GD165" s="2">
        <v>0</v>
      </c>
      <c r="GE165" s="2"/>
      <c r="GF165" s="2">
        <v>-480512061</v>
      </c>
      <c r="GG165" s="2">
        <v>2</v>
      </c>
      <c r="GH165" s="2">
        <v>1</v>
      </c>
      <c r="GI165" s="2">
        <v>-2</v>
      </c>
      <c r="GJ165" s="2">
        <v>0</v>
      </c>
      <c r="GK165" s="2">
        <f>ROUND(R165*(R12)/100,2)</f>
        <v>0</v>
      </c>
      <c r="GL165" s="2">
        <f t="shared" si="191"/>
        <v>0</v>
      </c>
      <c r="GM165" s="2">
        <f t="shared" si="192"/>
        <v>36.06</v>
      </c>
      <c r="GN165" s="2">
        <f t="shared" si="193"/>
        <v>36.06</v>
      </c>
      <c r="GO165" s="2">
        <f t="shared" si="194"/>
        <v>0</v>
      </c>
      <c r="GP165" s="2">
        <f t="shared" si="195"/>
        <v>0</v>
      </c>
      <c r="GQ165" s="2"/>
      <c r="GR165" s="2">
        <v>0</v>
      </c>
      <c r="GS165" s="2">
        <v>3</v>
      </c>
      <c r="GT165" s="2">
        <v>0</v>
      </c>
      <c r="GU165" s="2" t="s">
        <v>224</v>
      </c>
      <c r="GV165" s="2">
        <f t="shared" si="196"/>
        <v>0</v>
      </c>
      <c r="GW165" s="2">
        <v>1</v>
      </c>
      <c r="GX165" s="2">
        <f t="shared" si="197"/>
        <v>0</v>
      </c>
      <c r="GY165" s="2"/>
      <c r="GZ165" s="2"/>
      <c r="HA165" s="2">
        <v>0</v>
      </c>
      <c r="HB165" s="2">
        <v>0</v>
      </c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>
        <v>0</v>
      </c>
      <c r="IL165" s="2"/>
      <c r="IM165" s="2"/>
      <c r="IN165" s="2"/>
      <c r="IO165" s="2"/>
      <c r="IP165" s="2"/>
      <c r="IQ165" s="2"/>
      <c r="IR165" s="2"/>
      <c r="IS165" s="2"/>
      <c r="IT165" s="2"/>
      <c r="IU165" s="2"/>
    </row>
    <row r="166" spans="1:255" x14ac:dyDescent="0.2">
      <c r="A166">
        <v>17</v>
      </c>
      <c r="B166">
        <v>1</v>
      </c>
      <c r="C166">
        <f>ROW(SmtRes!A470)</f>
        <v>470</v>
      </c>
      <c r="D166">
        <f>ROW(EtalonRes!A514)</f>
        <v>514</v>
      </c>
      <c r="E166" t="s">
        <v>525</v>
      </c>
      <c r="F166" t="s">
        <v>526</v>
      </c>
      <c r="G166" t="s">
        <v>527</v>
      </c>
      <c r="H166" t="s">
        <v>528</v>
      </c>
      <c r="I166">
        <f>ROUND(1/10,9)</f>
        <v>0.1</v>
      </c>
      <c r="J166">
        <v>0</v>
      </c>
      <c r="O166">
        <f t="shared" si="161"/>
        <v>103.12</v>
      </c>
      <c r="P166">
        <f t="shared" si="162"/>
        <v>33.99</v>
      </c>
      <c r="Q166">
        <f t="shared" si="163"/>
        <v>8.66</v>
      </c>
      <c r="R166">
        <f t="shared" si="164"/>
        <v>1.95</v>
      </c>
      <c r="S166">
        <f t="shared" si="165"/>
        <v>60.47</v>
      </c>
      <c r="T166">
        <f t="shared" si="166"/>
        <v>0</v>
      </c>
      <c r="U166">
        <f t="shared" si="167"/>
        <v>1.0338499999999999</v>
      </c>
      <c r="V166">
        <f t="shared" si="168"/>
        <v>2.6250000000000002E-2</v>
      </c>
      <c r="W166">
        <f t="shared" si="169"/>
        <v>0</v>
      </c>
      <c r="X166">
        <f t="shared" si="170"/>
        <v>71.78</v>
      </c>
      <c r="Y166">
        <f t="shared" si="171"/>
        <v>44.32</v>
      </c>
      <c r="AA166">
        <v>16499878</v>
      </c>
      <c r="AB166">
        <f t="shared" si="172"/>
        <v>169.58949999999999</v>
      </c>
      <c r="AC166">
        <f t="shared" si="173"/>
        <v>55.9</v>
      </c>
      <c r="AD166">
        <f>ROUND(((((ET166*1.25))-((EU166*1.25)))+AE166),6)</f>
        <v>14.237500000000001</v>
      </c>
      <c r="AE166">
        <f>ROUND(((EU166*1.25)),6)</f>
        <v>3.2124999999999999</v>
      </c>
      <c r="AF166">
        <f>ROUND(((EV166*1.15)),6)</f>
        <v>99.451999999999998</v>
      </c>
      <c r="AG166">
        <f t="shared" si="176"/>
        <v>0</v>
      </c>
      <c r="AH166">
        <f>((EW166*1.15))</f>
        <v>10.3385</v>
      </c>
      <c r="AI166">
        <f>((EX166*1.25))</f>
        <v>0.26250000000000001</v>
      </c>
      <c r="AJ166">
        <f t="shared" si="178"/>
        <v>0</v>
      </c>
      <c r="AK166">
        <v>153.77000000000001</v>
      </c>
      <c r="AL166">
        <v>55.9</v>
      </c>
      <c r="AM166">
        <v>11.39</v>
      </c>
      <c r="AN166">
        <v>2.57</v>
      </c>
      <c r="AO166">
        <v>86.48</v>
      </c>
      <c r="AP166">
        <v>0</v>
      </c>
      <c r="AQ166">
        <v>8.99</v>
      </c>
      <c r="AR166">
        <v>0.21</v>
      </c>
      <c r="AS166">
        <v>0</v>
      </c>
      <c r="AT166">
        <v>115</v>
      </c>
      <c r="AU166">
        <v>71</v>
      </c>
      <c r="AV166">
        <v>1</v>
      </c>
      <c r="AW166">
        <v>1</v>
      </c>
      <c r="AZ166">
        <v>6.08</v>
      </c>
      <c r="BA166">
        <v>6.08</v>
      </c>
      <c r="BB166">
        <v>6.08</v>
      </c>
      <c r="BC166">
        <v>6.08</v>
      </c>
      <c r="BD166" t="s">
        <v>224</v>
      </c>
      <c r="BE166" t="s">
        <v>224</v>
      </c>
      <c r="BF166" t="s">
        <v>224</v>
      </c>
      <c r="BG166" t="s">
        <v>224</v>
      </c>
      <c r="BH166">
        <v>0</v>
      </c>
      <c r="BI166">
        <v>1</v>
      </c>
      <c r="BJ166" t="s">
        <v>529</v>
      </c>
      <c r="BM166">
        <v>17001</v>
      </c>
      <c r="BN166">
        <v>0</v>
      </c>
      <c r="BO166" t="s">
        <v>224</v>
      </c>
      <c r="BP166">
        <v>0</v>
      </c>
      <c r="BQ166">
        <v>2</v>
      </c>
      <c r="BR166">
        <v>0</v>
      </c>
      <c r="BS166">
        <v>6.08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224</v>
      </c>
      <c r="BZ166">
        <v>128</v>
      </c>
      <c r="CA166">
        <v>83</v>
      </c>
      <c r="CF166">
        <v>0</v>
      </c>
      <c r="CG166">
        <v>0</v>
      </c>
      <c r="CM166">
        <v>0</v>
      </c>
      <c r="CN166" t="s">
        <v>123</v>
      </c>
      <c r="CO166">
        <v>0</v>
      </c>
      <c r="CP166">
        <f t="shared" si="179"/>
        <v>103.12</v>
      </c>
      <c r="CQ166">
        <f t="shared" si="180"/>
        <v>339.87200000000001</v>
      </c>
      <c r="CR166">
        <f t="shared" si="181"/>
        <v>86.564000000000007</v>
      </c>
      <c r="CS166">
        <f t="shared" si="182"/>
        <v>19.532</v>
      </c>
      <c r="CT166">
        <f t="shared" si="183"/>
        <v>604.66815999999994</v>
      </c>
      <c r="CU166">
        <f t="shared" si="184"/>
        <v>0</v>
      </c>
      <c r="CV166">
        <f t="shared" si="185"/>
        <v>10.3385</v>
      </c>
      <c r="CW166">
        <f t="shared" si="186"/>
        <v>0.26250000000000001</v>
      </c>
      <c r="CX166">
        <f t="shared" si="187"/>
        <v>0</v>
      </c>
      <c r="CY166">
        <f t="shared" si="188"/>
        <v>71.783000000000001</v>
      </c>
      <c r="CZ166">
        <f t="shared" si="189"/>
        <v>44.318199999999997</v>
      </c>
      <c r="DC166" t="s">
        <v>224</v>
      </c>
      <c r="DD166" t="s">
        <v>224</v>
      </c>
      <c r="DE166" t="s">
        <v>239</v>
      </c>
      <c r="DF166" t="s">
        <v>239</v>
      </c>
      <c r="DG166" t="s">
        <v>240</v>
      </c>
      <c r="DH166" t="s">
        <v>224</v>
      </c>
      <c r="DI166" t="s">
        <v>240</v>
      </c>
      <c r="DJ166" t="s">
        <v>239</v>
      </c>
      <c r="DK166" t="s">
        <v>224</v>
      </c>
      <c r="DL166" t="s">
        <v>224</v>
      </c>
      <c r="DM166" t="s">
        <v>224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528</v>
      </c>
      <c r="DW166" t="s">
        <v>528</v>
      </c>
      <c r="DX166">
        <v>1</v>
      </c>
      <c r="EE166">
        <v>15139128</v>
      </c>
      <c r="EF166">
        <v>2</v>
      </c>
      <c r="EG166" t="s">
        <v>233</v>
      </c>
      <c r="EH166">
        <v>0</v>
      </c>
      <c r="EI166" t="s">
        <v>224</v>
      </c>
      <c r="EJ166">
        <v>1</v>
      </c>
      <c r="EK166">
        <v>17001</v>
      </c>
      <c r="EL166" t="s">
        <v>530</v>
      </c>
      <c r="EM166" t="s">
        <v>531</v>
      </c>
      <c r="EO166" t="s">
        <v>243</v>
      </c>
      <c r="EQ166">
        <v>0</v>
      </c>
      <c r="ER166">
        <v>153.77000000000001</v>
      </c>
      <c r="ES166">
        <v>55.9</v>
      </c>
      <c r="ET166">
        <v>11.39</v>
      </c>
      <c r="EU166">
        <v>2.57</v>
      </c>
      <c r="EV166">
        <v>86.48</v>
      </c>
      <c r="EW166">
        <v>8.99</v>
      </c>
      <c r="EX166">
        <v>0.21</v>
      </c>
      <c r="EY166">
        <v>0</v>
      </c>
      <c r="FQ166">
        <v>0</v>
      </c>
      <c r="FR166">
        <f t="shared" si="190"/>
        <v>0</v>
      </c>
      <c r="FS166">
        <v>0</v>
      </c>
      <c r="FT166" t="s">
        <v>244</v>
      </c>
      <c r="FU166" t="s">
        <v>245</v>
      </c>
      <c r="FX166">
        <v>115.2</v>
      </c>
      <c r="FY166">
        <v>70.55</v>
      </c>
      <c r="GA166" t="s">
        <v>224</v>
      </c>
      <c r="GD166">
        <v>0</v>
      </c>
      <c r="GF166">
        <v>-480512061</v>
      </c>
      <c r="GG166">
        <v>1</v>
      </c>
      <c r="GH166">
        <v>1</v>
      </c>
      <c r="GI166">
        <v>4</v>
      </c>
      <c r="GJ166">
        <v>0</v>
      </c>
      <c r="GK166">
        <f>ROUND(R166*(S12)/100,2)</f>
        <v>0</v>
      </c>
      <c r="GL166">
        <f t="shared" si="191"/>
        <v>0</v>
      </c>
      <c r="GM166">
        <f t="shared" si="192"/>
        <v>219.22</v>
      </c>
      <c r="GN166">
        <f t="shared" si="193"/>
        <v>219.22</v>
      </c>
      <c r="GO166">
        <f t="shared" si="194"/>
        <v>0</v>
      </c>
      <c r="GP166">
        <f t="shared" si="195"/>
        <v>0</v>
      </c>
      <c r="GR166">
        <v>0</v>
      </c>
      <c r="GS166">
        <v>3</v>
      </c>
      <c r="GT166">
        <v>0</v>
      </c>
      <c r="GU166" t="s">
        <v>224</v>
      </c>
      <c r="GV166">
        <f t="shared" si="196"/>
        <v>0</v>
      </c>
      <c r="GW166">
        <v>1</v>
      </c>
      <c r="GX166">
        <f t="shared" si="197"/>
        <v>0</v>
      </c>
      <c r="HA166">
        <v>0</v>
      </c>
      <c r="HB166">
        <v>0</v>
      </c>
      <c r="IK166">
        <v>0</v>
      </c>
    </row>
    <row r="167" spans="1:255" x14ac:dyDescent="0.2">
      <c r="A167" s="2">
        <v>18</v>
      </c>
      <c r="B167" s="2">
        <v>1</v>
      </c>
      <c r="C167" s="2">
        <v>460</v>
      </c>
      <c r="D167" s="2"/>
      <c r="E167" s="2" t="s">
        <v>532</v>
      </c>
      <c r="F167" s="2" t="s">
        <v>533</v>
      </c>
      <c r="G167" s="2" t="s">
        <v>534</v>
      </c>
      <c r="H167" s="2" t="s">
        <v>535</v>
      </c>
      <c r="I167" s="2">
        <f>I165*J167</f>
        <v>1</v>
      </c>
      <c r="J167" s="2">
        <v>10</v>
      </c>
      <c r="K167" s="2"/>
      <c r="L167" s="2"/>
      <c r="M167" s="2"/>
      <c r="N167" s="2"/>
      <c r="O167" s="2">
        <f t="shared" si="161"/>
        <v>101.7</v>
      </c>
      <c r="P167" s="2">
        <f t="shared" si="162"/>
        <v>101.7</v>
      </c>
      <c r="Q167" s="2">
        <f t="shared" si="163"/>
        <v>0</v>
      </c>
      <c r="R167" s="2">
        <f t="shared" si="164"/>
        <v>0</v>
      </c>
      <c r="S167" s="2">
        <f t="shared" si="165"/>
        <v>0</v>
      </c>
      <c r="T167" s="2">
        <f t="shared" si="166"/>
        <v>0</v>
      </c>
      <c r="U167" s="2">
        <f t="shared" si="167"/>
        <v>0</v>
      </c>
      <c r="V167" s="2">
        <f t="shared" si="168"/>
        <v>0</v>
      </c>
      <c r="W167" s="2">
        <f t="shared" si="169"/>
        <v>0</v>
      </c>
      <c r="X167" s="2">
        <f t="shared" si="170"/>
        <v>0</v>
      </c>
      <c r="Y167" s="2">
        <f t="shared" si="171"/>
        <v>0</v>
      </c>
      <c r="Z167" s="2"/>
      <c r="AA167" s="2">
        <v>16499835</v>
      </c>
      <c r="AB167" s="2">
        <f t="shared" si="172"/>
        <v>101.7</v>
      </c>
      <c r="AC167" s="2">
        <f t="shared" si="173"/>
        <v>101.7</v>
      </c>
      <c r="AD167" s="2">
        <f>ROUND((((ET167)-(EU167))+AE167),6)</f>
        <v>0</v>
      </c>
      <c r="AE167" s="2">
        <f>ROUND((EU167),6)</f>
        <v>0</v>
      </c>
      <c r="AF167" s="2">
        <f>ROUND((EV167),6)</f>
        <v>0</v>
      </c>
      <c r="AG167" s="2">
        <f t="shared" si="176"/>
        <v>0</v>
      </c>
      <c r="AH167" s="2">
        <f>(EW167)</f>
        <v>0</v>
      </c>
      <c r="AI167" s="2">
        <f>(EX167)</f>
        <v>0</v>
      </c>
      <c r="AJ167" s="2">
        <f t="shared" si="178"/>
        <v>0</v>
      </c>
      <c r="AK167" s="2">
        <v>101.7</v>
      </c>
      <c r="AL167" s="2">
        <v>101.7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115</v>
      </c>
      <c r="AU167" s="2">
        <v>71</v>
      </c>
      <c r="AV167" s="2">
        <v>1</v>
      </c>
      <c r="AW167" s="2">
        <v>1</v>
      </c>
      <c r="AX167" s="2"/>
      <c r="AY167" s="2"/>
      <c r="AZ167" s="2">
        <v>1</v>
      </c>
      <c r="BA167" s="2">
        <v>1</v>
      </c>
      <c r="BB167" s="2">
        <v>1</v>
      </c>
      <c r="BC167" s="2">
        <v>1</v>
      </c>
      <c r="BD167" s="2" t="s">
        <v>224</v>
      </c>
      <c r="BE167" s="2" t="s">
        <v>224</v>
      </c>
      <c r="BF167" s="2" t="s">
        <v>224</v>
      </c>
      <c r="BG167" s="2" t="s">
        <v>224</v>
      </c>
      <c r="BH167" s="2">
        <v>3</v>
      </c>
      <c r="BI167" s="2">
        <v>1</v>
      </c>
      <c r="BJ167" s="2" t="s">
        <v>536</v>
      </c>
      <c r="BK167" s="2"/>
      <c r="BL167" s="2"/>
      <c r="BM167" s="2">
        <v>17001</v>
      </c>
      <c r="BN167" s="2">
        <v>0</v>
      </c>
      <c r="BO167" s="2" t="s">
        <v>224</v>
      </c>
      <c r="BP167" s="2">
        <v>0</v>
      </c>
      <c r="BQ167" s="2">
        <v>2</v>
      </c>
      <c r="BR167" s="2">
        <v>0</v>
      </c>
      <c r="BS167" s="2">
        <v>1</v>
      </c>
      <c r="BT167" s="2">
        <v>1</v>
      </c>
      <c r="BU167" s="2">
        <v>1</v>
      </c>
      <c r="BV167" s="2">
        <v>1</v>
      </c>
      <c r="BW167" s="2">
        <v>1</v>
      </c>
      <c r="BX167" s="2">
        <v>1</v>
      </c>
      <c r="BY167" s="2" t="s">
        <v>224</v>
      </c>
      <c r="BZ167" s="2">
        <v>128</v>
      </c>
      <c r="CA167" s="2">
        <v>83</v>
      </c>
      <c r="CB167" s="2"/>
      <c r="CC167" s="2"/>
      <c r="CD167" s="2"/>
      <c r="CE167" s="2"/>
      <c r="CF167" s="2">
        <v>0</v>
      </c>
      <c r="CG167" s="2">
        <v>0</v>
      </c>
      <c r="CH167" s="2"/>
      <c r="CI167" s="2"/>
      <c r="CJ167" s="2"/>
      <c r="CK167" s="2"/>
      <c r="CL167" s="2"/>
      <c r="CM167" s="2">
        <v>0</v>
      </c>
      <c r="CN167" s="2" t="s">
        <v>224</v>
      </c>
      <c r="CO167" s="2">
        <v>0</v>
      </c>
      <c r="CP167" s="2">
        <f t="shared" si="179"/>
        <v>101.7</v>
      </c>
      <c r="CQ167" s="2">
        <f t="shared" si="180"/>
        <v>101.7</v>
      </c>
      <c r="CR167" s="2">
        <f t="shared" si="181"/>
        <v>0</v>
      </c>
      <c r="CS167" s="2">
        <f t="shared" si="182"/>
        <v>0</v>
      </c>
      <c r="CT167" s="2">
        <f t="shared" si="183"/>
        <v>0</v>
      </c>
      <c r="CU167" s="2">
        <f t="shared" si="184"/>
        <v>0</v>
      </c>
      <c r="CV167" s="2">
        <f t="shared" si="185"/>
        <v>0</v>
      </c>
      <c r="CW167" s="2">
        <f t="shared" si="186"/>
        <v>0</v>
      </c>
      <c r="CX167" s="2">
        <f t="shared" si="187"/>
        <v>0</v>
      </c>
      <c r="CY167" s="2">
        <f t="shared" si="188"/>
        <v>0</v>
      </c>
      <c r="CZ167" s="2">
        <f t="shared" si="189"/>
        <v>0</v>
      </c>
      <c r="DA167" s="2"/>
      <c r="DB167" s="2"/>
      <c r="DC167" s="2" t="s">
        <v>224</v>
      </c>
      <c r="DD167" s="2" t="s">
        <v>224</v>
      </c>
      <c r="DE167" s="2" t="s">
        <v>224</v>
      </c>
      <c r="DF167" s="2" t="s">
        <v>224</v>
      </c>
      <c r="DG167" s="2" t="s">
        <v>224</v>
      </c>
      <c r="DH167" s="2" t="s">
        <v>224</v>
      </c>
      <c r="DI167" s="2" t="s">
        <v>224</v>
      </c>
      <c r="DJ167" s="2" t="s">
        <v>224</v>
      </c>
      <c r="DK167" s="2" t="s">
        <v>224</v>
      </c>
      <c r="DL167" s="2" t="s">
        <v>224</v>
      </c>
      <c r="DM167" s="2" t="s">
        <v>224</v>
      </c>
      <c r="DN167" s="2">
        <v>0</v>
      </c>
      <c r="DO167" s="2">
        <v>0</v>
      </c>
      <c r="DP167" s="2">
        <v>1</v>
      </c>
      <c r="DQ167" s="2">
        <v>1</v>
      </c>
      <c r="DR167" s="2"/>
      <c r="DS167" s="2"/>
      <c r="DT167" s="2"/>
      <c r="DU167" s="2">
        <v>1013</v>
      </c>
      <c r="DV167" s="2" t="s">
        <v>535</v>
      </c>
      <c r="DW167" s="2" t="s">
        <v>535</v>
      </c>
      <c r="DX167" s="2">
        <v>1</v>
      </c>
      <c r="DY167" s="2"/>
      <c r="DZ167" s="2"/>
      <c r="EA167" s="2"/>
      <c r="EB167" s="2"/>
      <c r="EC167" s="2"/>
      <c r="ED167" s="2"/>
      <c r="EE167" s="2">
        <v>15139128</v>
      </c>
      <c r="EF167" s="2">
        <v>2</v>
      </c>
      <c r="EG167" s="2" t="s">
        <v>233</v>
      </c>
      <c r="EH167" s="2">
        <v>0</v>
      </c>
      <c r="EI167" s="2" t="s">
        <v>224</v>
      </c>
      <c r="EJ167" s="2">
        <v>1</v>
      </c>
      <c r="EK167" s="2">
        <v>17001</v>
      </c>
      <c r="EL167" s="2" t="s">
        <v>530</v>
      </c>
      <c r="EM167" s="2" t="s">
        <v>531</v>
      </c>
      <c r="EN167" s="2"/>
      <c r="EO167" s="2" t="s">
        <v>224</v>
      </c>
      <c r="EP167" s="2"/>
      <c r="EQ167" s="2">
        <v>0</v>
      </c>
      <c r="ER167" s="2">
        <v>101.7</v>
      </c>
      <c r="ES167" s="2">
        <v>101.7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>
        <v>0</v>
      </c>
      <c r="FR167" s="2">
        <f t="shared" si="190"/>
        <v>0</v>
      </c>
      <c r="FS167" s="2">
        <v>0</v>
      </c>
      <c r="FT167" s="2" t="s">
        <v>244</v>
      </c>
      <c r="FU167" s="2" t="s">
        <v>245</v>
      </c>
      <c r="FV167" s="2"/>
      <c r="FW167" s="2"/>
      <c r="FX167" s="2">
        <v>115.2</v>
      </c>
      <c r="FY167" s="2">
        <v>70.55</v>
      </c>
      <c r="FZ167" s="2"/>
      <c r="GA167" s="2" t="s">
        <v>224</v>
      </c>
      <c r="GB167" s="2"/>
      <c r="GC167" s="2"/>
      <c r="GD167" s="2">
        <v>0</v>
      </c>
      <c r="GE167" s="2"/>
      <c r="GF167" s="2">
        <v>596368426</v>
      </c>
      <c r="GG167" s="2">
        <v>2</v>
      </c>
      <c r="GH167" s="2">
        <v>1</v>
      </c>
      <c r="GI167" s="2">
        <v>-2</v>
      </c>
      <c r="GJ167" s="2">
        <v>0</v>
      </c>
      <c r="GK167" s="2">
        <f>ROUND(R167*(R12)/100,2)</f>
        <v>0</v>
      </c>
      <c r="GL167" s="2">
        <f t="shared" si="191"/>
        <v>0</v>
      </c>
      <c r="GM167" s="2">
        <f t="shared" si="192"/>
        <v>101.7</v>
      </c>
      <c r="GN167" s="2">
        <f t="shared" si="193"/>
        <v>101.7</v>
      </c>
      <c r="GO167" s="2">
        <f t="shared" si="194"/>
        <v>0</v>
      </c>
      <c r="GP167" s="2">
        <f t="shared" si="195"/>
        <v>0</v>
      </c>
      <c r="GQ167" s="2"/>
      <c r="GR167" s="2">
        <v>0</v>
      </c>
      <c r="GS167" s="2">
        <v>3</v>
      </c>
      <c r="GT167" s="2">
        <v>0</v>
      </c>
      <c r="GU167" s="2" t="s">
        <v>224</v>
      </c>
      <c r="GV167" s="2">
        <f t="shared" si="196"/>
        <v>0</v>
      </c>
      <c r="GW167" s="2">
        <v>1</v>
      </c>
      <c r="GX167" s="2">
        <f t="shared" si="197"/>
        <v>0</v>
      </c>
      <c r="GY167" s="2"/>
      <c r="GZ167" s="2"/>
      <c r="HA167" s="2">
        <v>0</v>
      </c>
      <c r="HB167" s="2">
        <v>0</v>
      </c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>
        <v>0</v>
      </c>
      <c r="IL167" s="2"/>
      <c r="IM167" s="2"/>
      <c r="IN167" s="2"/>
      <c r="IO167" s="2"/>
      <c r="IP167" s="2"/>
      <c r="IQ167" s="2"/>
      <c r="IR167" s="2"/>
      <c r="IS167" s="2"/>
      <c r="IT167" s="2"/>
      <c r="IU167" s="2"/>
    </row>
    <row r="168" spans="1:255" x14ac:dyDescent="0.2">
      <c r="A168">
        <v>18</v>
      </c>
      <c r="B168">
        <v>1</v>
      </c>
      <c r="C168">
        <v>470</v>
      </c>
      <c r="E168" t="s">
        <v>532</v>
      </c>
      <c r="F168" t="s">
        <v>533</v>
      </c>
      <c r="G168" t="s">
        <v>534</v>
      </c>
      <c r="H168" t="s">
        <v>535</v>
      </c>
      <c r="I168">
        <f>I166*J168</f>
        <v>1</v>
      </c>
      <c r="J168">
        <v>10</v>
      </c>
      <c r="O168">
        <f t="shared" si="161"/>
        <v>618.34</v>
      </c>
      <c r="P168">
        <f t="shared" si="162"/>
        <v>618.34</v>
      </c>
      <c r="Q168">
        <f t="shared" si="163"/>
        <v>0</v>
      </c>
      <c r="R168">
        <f t="shared" si="164"/>
        <v>0</v>
      </c>
      <c r="S168">
        <f t="shared" si="165"/>
        <v>0</v>
      </c>
      <c r="T168">
        <f t="shared" si="166"/>
        <v>0</v>
      </c>
      <c r="U168">
        <f t="shared" si="167"/>
        <v>0</v>
      </c>
      <c r="V168">
        <f t="shared" si="168"/>
        <v>0</v>
      </c>
      <c r="W168">
        <f t="shared" si="169"/>
        <v>0</v>
      </c>
      <c r="X168">
        <f t="shared" si="170"/>
        <v>0</v>
      </c>
      <c r="Y168">
        <f t="shared" si="171"/>
        <v>0</v>
      </c>
      <c r="AA168">
        <v>16499878</v>
      </c>
      <c r="AB168">
        <f t="shared" si="172"/>
        <v>101.7</v>
      </c>
      <c r="AC168">
        <f t="shared" si="173"/>
        <v>101.7</v>
      </c>
      <c r="AD168">
        <f>ROUND((((ET168)-(EU168))+AE168),6)</f>
        <v>0</v>
      </c>
      <c r="AE168">
        <f>ROUND((EU168),6)</f>
        <v>0</v>
      </c>
      <c r="AF168">
        <f>ROUND((EV168),6)</f>
        <v>0</v>
      </c>
      <c r="AG168">
        <f t="shared" si="176"/>
        <v>0</v>
      </c>
      <c r="AH168">
        <f>(EW168)</f>
        <v>0</v>
      </c>
      <c r="AI168">
        <f>(EX168)</f>
        <v>0</v>
      </c>
      <c r="AJ168">
        <f t="shared" si="178"/>
        <v>0</v>
      </c>
      <c r="AK168">
        <v>101.7</v>
      </c>
      <c r="AL168">
        <v>101.7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115</v>
      </c>
      <c r="AU168">
        <v>71</v>
      </c>
      <c r="AV168">
        <v>1</v>
      </c>
      <c r="AW168">
        <v>1</v>
      </c>
      <c r="AZ168">
        <v>6.08</v>
      </c>
      <c r="BA168">
        <v>1</v>
      </c>
      <c r="BB168">
        <v>1</v>
      </c>
      <c r="BC168">
        <v>6.08</v>
      </c>
      <c r="BD168" t="s">
        <v>224</v>
      </c>
      <c r="BE168" t="s">
        <v>224</v>
      </c>
      <c r="BF168" t="s">
        <v>224</v>
      </c>
      <c r="BG168" t="s">
        <v>224</v>
      </c>
      <c r="BH168">
        <v>3</v>
      </c>
      <c r="BI168">
        <v>1</v>
      </c>
      <c r="BJ168" t="s">
        <v>536</v>
      </c>
      <c r="BM168">
        <v>17001</v>
      </c>
      <c r="BN168">
        <v>0</v>
      </c>
      <c r="BO168" t="s">
        <v>224</v>
      </c>
      <c r="BP168">
        <v>0</v>
      </c>
      <c r="BQ168">
        <v>2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224</v>
      </c>
      <c r="BZ168">
        <v>128</v>
      </c>
      <c r="CA168">
        <v>83</v>
      </c>
      <c r="CF168">
        <v>0</v>
      </c>
      <c r="CG168">
        <v>0</v>
      </c>
      <c r="CM168">
        <v>0</v>
      </c>
      <c r="CN168" t="s">
        <v>224</v>
      </c>
      <c r="CO168">
        <v>0</v>
      </c>
      <c r="CP168">
        <f t="shared" si="179"/>
        <v>618.34</v>
      </c>
      <c r="CQ168">
        <f t="shared" si="180"/>
        <v>618.33600000000001</v>
      </c>
      <c r="CR168">
        <f t="shared" si="181"/>
        <v>0</v>
      </c>
      <c r="CS168">
        <f t="shared" si="182"/>
        <v>0</v>
      </c>
      <c r="CT168">
        <f t="shared" si="183"/>
        <v>0</v>
      </c>
      <c r="CU168">
        <f t="shared" si="184"/>
        <v>0</v>
      </c>
      <c r="CV168">
        <f t="shared" si="185"/>
        <v>0</v>
      </c>
      <c r="CW168">
        <f t="shared" si="186"/>
        <v>0</v>
      </c>
      <c r="CX168">
        <f t="shared" si="187"/>
        <v>0</v>
      </c>
      <c r="CY168">
        <f t="shared" si="188"/>
        <v>0</v>
      </c>
      <c r="CZ168">
        <f t="shared" si="189"/>
        <v>0</v>
      </c>
      <c r="DC168" t="s">
        <v>224</v>
      </c>
      <c r="DD168" t="s">
        <v>224</v>
      </c>
      <c r="DE168" t="s">
        <v>224</v>
      </c>
      <c r="DF168" t="s">
        <v>224</v>
      </c>
      <c r="DG168" t="s">
        <v>224</v>
      </c>
      <c r="DH168" t="s">
        <v>224</v>
      </c>
      <c r="DI168" t="s">
        <v>224</v>
      </c>
      <c r="DJ168" t="s">
        <v>224</v>
      </c>
      <c r="DK168" t="s">
        <v>224</v>
      </c>
      <c r="DL168" t="s">
        <v>224</v>
      </c>
      <c r="DM168" t="s">
        <v>224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535</v>
      </c>
      <c r="DW168" t="s">
        <v>535</v>
      </c>
      <c r="DX168">
        <v>1</v>
      </c>
      <c r="EE168">
        <v>15139128</v>
      </c>
      <c r="EF168">
        <v>2</v>
      </c>
      <c r="EG168" t="s">
        <v>233</v>
      </c>
      <c r="EH168">
        <v>0</v>
      </c>
      <c r="EI168" t="s">
        <v>224</v>
      </c>
      <c r="EJ168">
        <v>1</v>
      </c>
      <c r="EK168">
        <v>17001</v>
      </c>
      <c r="EL168" t="s">
        <v>530</v>
      </c>
      <c r="EM168" t="s">
        <v>531</v>
      </c>
      <c r="EO168" t="s">
        <v>224</v>
      </c>
      <c r="EQ168">
        <v>0</v>
      </c>
      <c r="ER168">
        <v>101.7</v>
      </c>
      <c r="ES168">
        <v>101.7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90"/>
        <v>0</v>
      </c>
      <c r="FS168">
        <v>0</v>
      </c>
      <c r="FT168" t="s">
        <v>244</v>
      </c>
      <c r="FU168" t="s">
        <v>245</v>
      </c>
      <c r="FX168">
        <v>115.2</v>
      </c>
      <c r="FY168">
        <v>70.55</v>
      </c>
      <c r="GA168" t="s">
        <v>224</v>
      </c>
      <c r="GD168">
        <v>0</v>
      </c>
      <c r="GF168">
        <v>596368426</v>
      </c>
      <c r="GG168">
        <v>1</v>
      </c>
      <c r="GH168">
        <v>1</v>
      </c>
      <c r="GI168">
        <v>4</v>
      </c>
      <c r="GJ168">
        <v>0</v>
      </c>
      <c r="GK168">
        <f>ROUND(R168*(S12)/100,2)</f>
        <v>0</v>
      </c>
      <c r="GL168">
        <f t="shared" si="191"/>
        <v>0</v>
      </c>
      <c r="GM168">
        <f t="shared" si="192"/>
        <v>618.34</v>
      </c>
      <c r="GN168">
        <f t="shared" si="193"/>
        <v>618.34</v>
      </c>
      <c r="GO168">
        <f t="shared" si="194"/>
        <v>0</v>
      </c>
      <c r="GP168">
        <f t="shared" si="195"/>
        <v>0</v>
      </c>
      <c r="GR168">
        <v>0</v>
      </c>
      <c r="GS168">
        <v>3</v>
      </c>
      <c r="GT168">
        <v>0</v>
      </c>
      <c r="GU168" t="s">
        <v>224</v>
      </c>
      <c r="GV168">
        <f t="shared" si="196"/>
        <v>0</v>
      </c>
      <c r="GW168">
        <v>1</v>
      </c>
      <c r="GX168">
        <f t="shared" si="197"/>
        <v>0</v>
      </c>
      <c r="HA168">
        <v>0</v>
      </c>
      <c r="HB168">
        <v>0</v>
      </c>
      <c r="IK168">
        <v>0</v>
      </c>
    </row>
    <row r="169" spans="1:255" x14ac:dyDescent="0.2">
      <c r="A169" s="2">
        <v>17</v>
      </c>
      <c r="B169" s="2">
        <v>1</v>
      </c>
      <c r="C169" s="2">
        <f>ROW(SmtRes!A475)</f>
        <v>475</v>
      </c>
      <c r="D169" s="2">
        <f>ROW(EtalonRes!A521)</f>
        <v>521</v>
      </c>
      <c r="E169" s="2" t="s">
        <v>537</v>
      </c>
      <c r="F169" s="2" t="s">
        <v>538</v>
      </c>
      <c r="G169" s="2" t="s">
        <v>539</v>
      </c>
      <c r="H169" s="2" t="s">
        <v>540</v>
      </c>
      <c r="I169" s="2">
        <f>ROUND(1/10,9)</f>
        <v>0.1</v>
      </c>
      <c r="J169" s="2">
        <v>0</v>
      </c>
      <c r="K169" s="2"/>
      <c r="L169" s="2"/>
      <c r="M169" s="2"/>
      <c r="N169" s="2"/>
      <c r="O169" s="2">
        <f t="shared" si="161"/>
        <v>8.84</v>
      </c>
      <c r="P169" s="2">
        <f t="shared" si="162"/>
        <v>1.1000000000000001</v>
      </c>
      <c r="Q169" s="2">
        <f t="shared" si="163"/>
        <v>0</v>
      </c>
      <c r="R169" s="2">
        <f t="shared" si="164"/>
        <v>0</v>
      </c>
      <c r="S169" s="2">
        <f t="shared" si="165"/>
        <v>7.74</v>
      </c>
      <c r="T169" s="2">
        <f t="shared" si="166"/>
        <v>0</v>
      </c>
      <c r="U169" s="2">
        <f t="shared" si="167"/>
        <v>0.80499999999999994</v>
      </c>
      <c r="V169" s="2">
        <f t="shared" si="168"/>
        <v>0</v>
      </c>
      <c r="W169" s="2">
        <f t="shared" si="169"/>
        <v>0</v>
      </c>
      <c r="X169" s="2">
        <f t="shared" si="170"/>
        <v>8.9</v>
      </c>
      <c r="Y169" s="2">
        <f t="shared" si="171"/>
        <v>5.5</v>
      </c>
      <c r="Z169" s="2"/>
      <c r="AA169" s="2">
        <v>16499835</v>
      </c>
      <c r="AB169" s="2">
        <f t="shared" si="172"/>
        <v>88.421000000000006</v>
      </c>
      <c r="AC169" s="2">
        <f t="shared" si="173"/>
        <v>10.98</v>
      </c>
      <c r="AD169" s="2">
        <f>ROUND(((((ET169*1.25))-((EU169*1.25)))+AE169),6)</f>
        <v>0</v>
      </c>
      <c r="AE169" s="2">
        <f>ROUND(((EU169*1.25)),6)</f>
        <v>0</v>
      </c>
      <c r="AF169" s="2">
        <f>ROUND(((EV169*1.15)),6)</f>
        <v>77.441000000000003</v>
      </c>
      <c r="AG169" s="2">
        <f t="shared" si="176"/>
        <v>0</v>
      </c>
      <c r="AH169" s="2">
        <f>((EW169*1.15))</f>
        <v>8.0499999999999989</v>
      </c>
      <c r="AI169" s="2">
        <f>((EX169*1.25))</f>
        <v>0</v>
      </c>
      <c r="AJ169" s="2">
        <f t="shared" si="178"/>
        <v>0</v>
      </c>
      <c r="AK169" s="2">
        <v>78.319999999999993</v>
      </c>
      <c r="AL169" s="2">
        <v>10.98</v>
      </c>
      <c r="AM169" s="2">
        <v>0</v>
      </c>
      <c r="AN169" s="2">
        <v>0</v>
      </c>
      <c r="AO169" s="2">
        <v>67.34</v>
      </c>
      <c r="AP169" s="2">
        <v>0</v>
      </c>
      <c r="AQ169" s="2">
        <v>7</v>
      </c>
      <c r="AR169" s="2">
        <v>0</v>
      </c>
      <c r="AS169" s="2">
        <v>0</v>
      </c>
      <c r="AT169" s="2">
        <v>115</v>
      </c>
      <c r="AU169" s="2">
        <v>71</v>
      </c>
      <c r="AV169" s="2">
        <v>1</v>
      </c>
      <c r="AW169" s="2">
        <v>1</v>
      </c>
      <c r="AX169" s="2"/>
      <c r="AY169" s="2"/>
      <c r="AZ169" s="2">
        <v>1</v>
      </c>
      <c r="BA169" s="2">
        <v>1</v>
      </c>
      <c r="BB169" s="2">
        <v>1</v>
      </c>
      <c r="BC169" s="2">
        <v>1</v>
      </c>
      <c r="BD169" s="2" t="s">
        <v>224</v>
      </c>
      <c r="BE169" s="2" t="s">
        <v>224</v>
      </c>
      <c r="BF169" s="2" t="s">
        <v>224</v>
      </c>
      <c r="BG169" s="2" t="s">
        <v>224</v>
      </c>
      <c r="BH169" s="2">
        <v>0</v>
      </c>
      <c r="BI169" s="2">
        <v>1</v>
      </c>
      <c r="BJ169" s="2" t="s">
        <v>541</v>
      </c>
      <c r="BK169" s="2"/>
      <c r="BL169" s="2"/>
      <c r="BM169" s="2">
        <v>17001</v>
      </c>
      <c r="BN169" s="2">
        <v>0</v>
      </c>
      <c r="BO169" s="2" t="s">
        <v>224</v>
      </c>
      <c r="BP169" s="2">
        <v>0</v>
      </c>
      <c r="BQ169" s="2">
        <v>2</v>
      </c>
      <c r="BR169" s="2">
        <v>0</v>
      </c>
      <c r="BS169" s="2">
        <v>1</v>
      </c>
      <c r="BT169" s="2">
        <v>1</v>
      </c>
      <c r="BU169" s="2">
        <v>1</v>
      </c>
      <c r="BV169" s="2">
        <v>1</v>
      </c>
      <c r="BW169" s="2">
        <v>1</v>
      </c>
      <c r="BX169" s="2">
        <v>1</v>
      </c>
      <c r="BY169" s="2" t="s">
        <v>224</v>
      </c>
      <c r="BZ169" s="2">
        <v>128</v>
      </c>
      <c r="CA169" s="2">
        <v>83</v>
      </c>
      <c r="CB169" s="2"/>
      <c r="CC169" s="2"/>
      <c r="CD169" s="2"/>
      <c r="CE169" s="2"/>
      <c r="CF169" s="2">
        <v>0</v>
      </c>
      <c r="CG169" s="2">
        <v>0</v>
      </c>
      <c r="CH169" s="2"/>
      <c r="CI169" s="2"/>
      <c r="CJ169" s="2"/>
      <c r="CK169" s="2"/>
      <c r="CL169" s="2"/>
      <c r="CM169" s="2">
        <v>0</v>
      </c>
      <c r="CN169" s="2" t="s">
        <v>123</v>
      </c>
      <c r="CO169" s="2">
        <v>0</v>
      </c>
      <c r="CP169" s="2">
        <f t="shared" si="179"/>
        <v>8.84</v>
      </c>
      <c r="CQ169" s="2">
        <f t="shared" si="180"/>
        <v>10.98</v>
      </c>
      <c r="CR169" s="2">
        <f t="shared" si="181"/>
        <v>0</v>
      </c>
      <c r="CS169" s="2">
        <f t="shared" si="182"/>
        <v>0</v>
      </c>
      <c r="CT169" s="2">
        <f t="shared" si="183"/>
        <v>77.441000000000003</v>
      </c>
      <c r="CU169" s="2">
        <f t="shared" si="184"/>
        <v>0</v>
      </c>
      <c r="CV169" s="2">
        <f t="shared" si="185"/>
        <v>8.0499999999999989</v>
      </c>
      <c r="CW169" s="2">
        <f t="shared" si="186"/>
        <v>0</v>
      </c>
      <c r="CX169" s="2">
        <f t="shared" si="187"/>
        <v>0</v>
      </c>
      <c r="CY169" s="2">
        <f t="shared" si="188"/>
        <v>8.9009999999999998</v>
      </c>
      <c r="CZ169" s="2">
        <f t="shared" si="189"/>
        <v>5.4954000000000001</v>
      </c>
      <c r="DA169" s="2"/>
      <c r="DB169" s="2"/>
      <c r="DC169" s="2" t="s">
        <v>224</v>
      </c>
      <c r="DD169" s="2" t="s">
        <v>224</v>
      </c>
      <c r="DE169" s="2" t="s">
        <v>239</v>
      </c>
      <c r="DF169" s="2" t="s">
        <v>239</v>
      </c>
      <c r="DG169" s="2" t="s">
        <v>240</v>
      </c>
      <c r="DH169" s="2" t="s">
        <v>224</v>
      </c>
      <c r="DI169" s="2" t="s">
        <v>240</v>
      </c>
      <c r="DJ169" s="2" t="s">
        <v>239</v>
      </c>
      <c r="DK169" s="2" t="s">
        <v>224</v>
      </c>
      <c r="DL169" s="2" t="s">
        <v>224</v>
      </c>
      <c r="DM169" s="2" t="s">
        <v>224</v>
      </c>
      <c r="DN169" s="2">
        <v>0</v>
      </c>
      <c r="DO169" s="2">
        <v>0</v>
      </c>
      <c r="DP169" s="2">
        <v>1</v>
      </c>
      <c r="DQ169" s="2">
        <v>1</v>
      </c>
      <c r="DR169" s="2"/>
      <c r="DS169" s="2"/>
      <c r="DT169" s="2"/>
      <c r="DU169" s="2">
        <v>1013</v>
      </c>
      <c r="DV169" s="2" t="s">
        <v>540</v>
      </c>
      <c r="DW169" s="2" t="s">
        <v>540</v>
      </c>
      <c r="DX169" s="2">
        <v>1</v>
      </c>
      <c r="DY169" s="2"/>
      <c r="DZ169" s="2"/>
      <c r="EA169" s="2"/>
      <c r="EB169" s="2"/>
      <c r="EC169" s="2"/>
      <c r="ED169" s="2"/>
      <c r="EE169" s="2">
        <v>15139128</v>
      </c>
      <c r="EF169" s="2">
        <v>2</v>
      </c>
      <c r="EG169" s="2" t="s">
        <v>233</v>
      </c>
      <c r="EH169" s="2">
        <v>0</v>
      </c>
      <c r="EI169" s="2" t="s">
        <v>224</v>
      </c>
      <c r="EJ169" s="2">
        <v>1</v>
      </c>
      <c r="EK169" s="2">
        <v>17001</v>
      </c>
      <c r="EL169" s="2" t="s">
        <v>530</v>
      </c>
      <c r="EM169" s="2" t="s">
        <v>531</v>
      </c>
      <c r="EN169" s="2"/>
      <c r="EO169" s="2" t="s">
        <v>243</v>
      </c>
      <c r="EP169" s="2"/>
      <c r="EQ169" s="2">
        <v>0</v>
      </c>
      <c r="ER169" s="2">
        <v>78.319999999999993</v>
      </c>
      <c r="ES169" s="2">
        <v>10.98</v>
      </c>
      <c r="ET169" s="2">
        <v>0</v>
      </c>
      <c r="EU169" s="2">
        <v>0</v>
      </c>
      <c r="EV169" s="2">
        <v>67.34</v>
      </c>
      <c r="EW169" s="2">
        <v>7</v>
      </c>
      <c r="EX169" s="2">
        <v>0</v>
      </c>
      <c r="EY169" s="2">
        <v>0</v>
      </c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>
        <v>0</v>
      </c>
      <c r="FR169" s="2">
        <f t="shared" si="190"/>
        <v>0</v>
      </c>
      <c r="FS169" s="2">
        <v>0</v>
      </c>
      <c r="FT169" s="2" t="s">
        <v>244</v>
      </c>
      <c r="FU169" s="2" t="s">
        <v>245</v>
      </c>
      <c r="FV169" s="2"/>
      <c r="FW169" s="2"/>
      <c r="FX169" s="2">
        <v>115.2</v>
      </c>
      <c r="FY169" s="2">
        <v>70.55</v>
      </c>
      <c r="FZ169" s="2"/>
      <c r="GA169" s="2" t="s">
        <v>224</v>
      </c>
      <c r="GB169" s="2"/>
      <c r="GC169" s="2"/>
      <c r="GD169" s="2">
        <v>0</v>
      </c>
      <c r="GE169" s="2"/>
      <c r="GF169" s="2">
        <v>725969486</v>
      </c>
      <c r="GG169" s="2">
        <v>2</v>
      </c>
      <c r="GH169" s="2">
        <v>1</v>
      </c>
      <c r="GI169" s="2">
        <v>-2</v>
      </c>
      <c r="GJ169" s="2">
        <v>0</v>
      </c>
      <c r="GK169" s="2">
        <f>ROUND(R169*(R12)/100,2)</f>
        <v>0</v>
      </c>
      <c r="GL169" s="2">
        <f t="shared" si="191"/>
        <v>0</v>
      </c>
      <c r="GM169" s="2">
        <f t="shared" si="192"/>
        <v>23.24</v>
      </c>
      <c r="GN169" s="2">
        <f t="shared" si="193"/>
        <v>23.24</v>
      </c>
      <c r="GO169" s="2">
        <f t="shared" si="194"/>
        <v>0</v>
      </c>
      <c r="GP169" s="2">
        <f t="shared" si="195"/>
        <v>0</v>
      </c>
      <c r="GQ169" s="2"/>
      <c r="GR169" s="2">
        <v>0</v>
      </c>
      <c r="GS169" s="2">
        <v>3</v>
      </c>
      <c r="GT169" s="2">
        <v>0</v>
      </c>
      <c r="GU169" s="2" t="s">
        <v>224</v>
      </c>
      <c r="GV169" s="2">
        <f t="shared" si="196"/>
        <v>0</v>
      </c>
      <c r="GW169" s="2">
        <v>1</v>
      </c>
      <c r="GX169" s="2">
        <f t="shared" si="197"/>
        <v>0</v>
      </c>
      <c r="GY169" s="2"/>
      <c r="GZ169" s="2"/>
      <c r="HA169" s="2">
        <v>0</v>
      </c>
      <c r="HB169" s="2">
        <v>0</v>
      </c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>
        <v>0</v>
      </c>
      <c r="IL169" s="2"/>
      <c r="IM169" s="2"/>
      <c r="IN169" s="2"/>
      <c r="IO169" s="2"/>
      <c r="IP169" s="2"/>
      <c r="IQ169" s="2"/>
      <c r="IR169" s="2"/>
      <c r="IS169" s="2"/>
      <c r="IT169" s="2"/>
      <c r="IU169" s="2"/>
    </row>
    <row r="170" spans="1:255" x14ac:dyDescent="0.2">
      <c r="A170">
        <v>17</v>
      </c>
      <c r="B170">
        <v>1</v>
      </c>
      <c r="C170">
        <f>ROW(SmtRes!A480)</f>
        <v>480</v>
      </c>
      <c r="D170">
        <f>ROW(EtalonRes!A528)</f>
        <v>528</v>
      </c>
      <c r="E170" t="s">
        <v>537</v>
      </c>
      <c r="F170" t="s">
        <v>538</v>
      </c>
      <c r="G170" t="s">
        <v>539</v>
      </c>
      <c r="H170" t="s">
        <v>540</v>
      </c>
      <c r="I170">
        <f>ROUND(1/10,9)</f>
        <v>0.1</v>
      </c>
      <c r="J170">
        <v>0</v>
      </c>
      <c r="O170">
        <f t="shared" si="161"/>
        <v>53.76</v>
      </c>
      <c r="P170">
        <f t="shared" si="162"/>
        <v>6.68</v>
      </c>
      <c r="Q170">
        <f t="shared" si="163"/>
        <v>0</v>
      </c>
      <c r="R170">
        <f t="shared" si="164"/>
        <v>0</v>
      </c>
      <c r="S170">
        <f t="shared" si="165"/>
        <v>47.08</v>
      </c>
      <c r="T170">
        <f t="shared" si="166"/>
        <v>0</v>
      </c>
      <c r="U170">
        <f t="shared" si="167"/>
        <v>0.80499999999999994</v>
      </c>
      <c r="V170">
        <f t="shared" si="168"/>
        <v>0</v>
      </c>
      <c r="W170">
        <f t="shared" si="169"/>
        <v>0</v>
      </c>
      <c r="X170">
        <f t="shared" si="170"/>
        <v>54.14</v>
      </c>
      <c r="Y170">
        <f t="shared" si="171"/>
        <v>33.43</v>
      </c>
      <c r="AA170">
        <v>16499878</v>
      </c>
      <c r="AB170">
        <f t="shared" si="172"/>
        <v>88.421000000000006</v>
      </c>
      <c r="AC170">
        <f t="shared" si="173"/>
        <v>10.98</v>
      </c>
      <c r="AD170">
        <f>ROUND(((((ET170*1.25))-((EU170*1.25)))+AE170),6)</f>
        <v>0</v>
      </c>
      <c r="AE170">
        <f>ROUND(((EU170*1.25)),6)</f>
        <v>0</v>
      </c>
      <c r="AF170">
        <f>ROUND(((EV170*1.15)),6)</f>
        <v>77.441000000000003</v>
      </c>
      <c r="AG170">
        <f t="shared" si="176"/>
        <v>0</v>
      </c>
      <c r="AH170">
        <f>((EW170*1.15))</f>
        <v>8.0499999999999989</v>
      </c>
      <c r="AI170">
        <f>((EX170*1.25))</f>
        <v>0</v>
      </c>
      <c r="AJ170">
        <f t="shared" si="178"/>
        <v>0</v>
      </c>
      <c r="AK170">
        <v>78.319999999999993</v>
      </c>
      <c r="AL170">
        <v>10.98</v>
      </c>
      <c r="AM170">
        <v>0</v>
      </c>
      <c r="AN170">
        <v>0</v>
      </c>
      <c r="AO170">
        <v>67.34</v>
      </c>
      <c r="AP170">
        <v>0</v>
      </c>
      <c r="AQ170">
        <v>7</v>
      </c>
      <c r="AR170">
        <v>0</v>
      </c>
      <c r="AS170">
        <v>0</v>
      </c>
      <c r="AT170">
        <v>115</v>
      </c>
      <c r="AU170">
        <v>71</v>
      </c>
      <c r="AV170">
        <v>1</v>
      </c>
      <c r="AW170">
        <v>1</v>
      </c>
      <c r="AZ170">
        <v>6.08</v>
      </c>
      <c r="BA170">
        <v>6.08</v>
      </c>
      <c r="BB170">
        <v>6.08</v>
      </c>
      <c r="BC170">
        <v>6.08</v>
      </c>
      <c r="BD170" t="s">
        <v>224</v>
      </c>
      <c r="BE170" t="s">
        <v>224</v>
      </c>
      <c r="BF170" t="s">
        <v>224</v>
      </c>
      <c r="BG170" t="s">
        <v>224</v>
      </c>
      <c r="BH170">
        <v>0</v>
      </c>
      <c r="BI170">
        <v>1</v>
      </c>
      <c r="BJ170" t="s">
        <v>541</v>
      </c>
      <c r="BM170">
        <v>17001</v>
      </c>
      <c r="BN170">
        <v>0</v>
      </c>
      <c r="BO170" t="s">
        <v>224</v>
      </c>
      <c r="BP170">
        <v>0</v>
      </c>
      <c r="BQ170">
        <v>2</v>
      </c>
      <c r="BR170">
        <v>0</v>
      </c>
      <c r="BS170">
        <v>6.08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224</v>
      </c>
      <c r="BZ170">
        <v>128</v>
      </c>
      <c r="CA170">
        <v>83</v>
      </c>
      <c r="CF170">
        <v>0</v>
      </c>
      <c r="CG170">
        <v>0</v>
      </c>
      <c r="CM170">
        <v>0</v>
      </c>
      <c r="CN170" t="s">
        <v>123</v>
      </c>
      <c r="CO170">
        <v>0</v>
      </c>
      <c r="CP170">
        <f t="shared" si="179"/>
        <v>53.76</v>
      </c>
      <c r="CQ170">
        <f t="shared" si="180"/>
        <v>66.758400000000009</v>
      </c>
      <c r="CR170">
        <f t="shared" si="181"/>
        <v>0</v>
      </c>
      <c r="CS170">
        <f t="shared" si="182"/>
        <v>0</v>
      </c>
      <c r="CT170">
        <f t="shared" si="183"/>
        <v>470.84128000000004</v>
      </c>
      <c r="CU170">
        <f t="shared" si="184"/>
        <v>0</v>
      </c>
      <c r="CV170">
        <f t="shared" si="185"/>
        <v>8.0499999999999989</v>
      </c>
      <c r="CW170">
        <f t="shared" si="186"/>
        <v>0</v>
      </c>
      <c r="CX170">
        <f t="shared" si="187"/>
        <v>0</v>
      </c>
      <c r="CY170">
        <f t="shared" si="188"/>
        <v>54.141999999999996</v>
      </c>
      <c r="CZ170">
        <f t="shared" si="189"/>
        <v>33.4268</v>
      </c>
      <c r="DC170" t="s">
        <v>224</v>
      </c>
      <c r="DD170" t="s">
        <v>224</v>
      </c>
      <c r="DE170" t="s">
        <v>239</v>
      </c>
      <c r="DF170" t="s">
        <v>239</v>
      </c>
      <c r="DG170" t="s">
        <v>240</v>
      </c>
      <c r="DH170" t="s">
        <v>224</v>
      </c>
      <c r="DI170" t="s">
        <v>240</v>
      </c>
      <c r="DJ170" t="s">
        <v>239</v>
      </c>
      <c r="DK170" t="s">
        <v>224</v>
      </c>
      <c r="DL170" t="s">
        <v>224</v>
      </c>
      <c r="DM170" t="s">
        <v>224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540</v>
      </c>
      <c r="DW170" t="s">
        <v>540</v>
      </c>
      <c r="DX170">
        <v>1</v>
      </c>
      <c r="EE170">
        <v>15139128</v>
      </c>
      <c r="EF170">
        <v>2</v>
      </c>
      <c r="EG170" t="s">
        <v>233</v>
      </c>
      <c r="EH170">
        <v>0</v>
      </c>
      <c r="EI170" t="s">
        <v>224</v>
      </c>
      <c r="EJ170">
        <v>1</v>
      </c>
      <c r="EK170">
        <v>17001</v>
      </c>
      <c r="EL170" t="s">
        <v>530</v>
      </c>
      <c r="EM170" t="s">
        <v>531</v>
      </c>
      <c r="EO170" t="s">
        <v>243</v>
      </c>
      <c r="EQ170">
        <v>0</v>
      </c>
      <c r="ER170">
        <v>78.319999999999993</v>
      </c>
      <c r="ES170">
        <v>10.98</v>
      </c>
      <c r="ET170">
        <v>0</v>
      </c>
      <c r="EU170">
        <v>0</v>
      </c>
      <c r="EV170">
        <v>67.34</v>
      </c>
      <c r="EW170">
        <v>7</v>
      </c>
      <c r="EX170">
        <v>0</v>
      </c>
      <c r="EY170">
        <v>0</v>
      </c>
      <c r="FQ170">
        <v>0</v>
      </c>
      <c r="FR170">
        <f t="shared" si="190"/>
        <v>0</v>
      </c>
      <c r="FS170">
        <v>0</v>
      </c>
      <c r="FT170" t="s">
        <v>244</v>
      </c>
      <c r="FU170" t="s">
        <v>245</v>
      </c>
      <c r="FX170">
        <v>115.2</v>
      </c>
      <c r="FY170">
        <v>70.55</v>
      </c>
      <c r="GA170" t="s">
        <v>224</v>
      </c>
      <c r="GD170">
        <v>0</v>
      </c>
      <c r="GF170">
        <v>725969486</v>
      </c>
      <c r="GG170">
        <v>1</v>
      </c>
      <c r="GH170">
        <v>1</v>
      </c>
      <c r="GI170">
        <v>4</v>
      </c>
      <c r="GJ170">
        <v>0</v>
      </c>
      <c r="GK170">
        <f>ROUND(R170*(S12)/100,2)</f>
        <v>0</v>
      </c>
      <c r="GL170">
        <f t="shared" si="191"/>
        <v>0</v>
      </c>
      <c r="GM170">
        <f t="shared" si="192"/>
        <v>141.33000000000001</v>
      </c>
      <c r="GN170">
        <f t="shared" si="193"/>
        <v>141.33000000000001</v>
      </c>
      <c r="GO170">
        <f t="shared" si="194"/>
        <v>0</v>
      </c>
      <c r="GP170">
        <f t="shared" si="195"/>
        <v>0</v>
      </c>
      <c r="GR170">
        <v>0</v>
      </c>
      <c r="GS170">
        <v>3</v>
      </c>
      <c r="GT170">
        <v>0</v>
      </c>
      <c r="GU170" t="s">
        <v>224</v>
      </c>
      <c r="GV170">
        <f t="shared" si="196"/>
        <v>0</v>
      </c>
      <c r="GW170">
        <v>1</v>
      </c>
      <c r="GX170">
        <f t="shared" si="197"/>
        <v>0</v>
      </c>
      <c r="HA170">
        <v>0</v>
      </c>
      <c r="HB170">
        <v>0</v>
      </c>
      <c r="IK170">
        <v>0</v>
      </c>
    </row>
    <row r="171" spans="1:255" x14ac:dyDescent="0.2">
      <c r="A171" s="2">
        <v>18</v>
      </c>
      <c r="B171" s="2">
        <v>1</v>
      </c>
      <c r="C171" s="2">
        <v>475</v>
      </c>
      <c r="D171" s="2"/>
      <c r="E171" s="2" t="s">
        <v>542</v>
      </c>
      <c r="F171" s="2" t="s">
        <v>543</v>
      </c>
      <c r="G171" s="2" t="s">
        <v>544</v>
      </c>
      <c r="H171" s="2" t="s">
        <v>535</v>
      </c>
      <c r="I171" s="2">
        <f>I169*J171</f>
        <v>1</v>
      </c>
      <c r="J171" s="2">
        <v>10</v>
      </c>
      <c r="K171" s="2"/>
      <c r="L171" s="2"/>
      <c r="M171" s="2"/>
      <c r="N171" s="2"/>
      <c r="O171" s="2">
        <f t="shared" si="161"/>
        <v>310.25</v>
      </c>
      <c r="P171" s="2">
        <f t="shared" si="162"/>
        <v>310.25</v>
      </c>
      <c r="Q171" s="2">
        <f t="shared" si="163"/>
        <v>0</v>
      </c>
      <c r="R171" s="2">
        <f t="shared" si="164"/>
        <v>0</v>
      </c>
      <c r="S171" s="2">
        <f t="shared" si="165"/>
        <v>0</v>
      </c>
      <c r="T171" s="2">
        <f t="shared" si="166"/>
        <v>0</v>
      </c>
      <c r="U171" s="2">
        <f t="shared" si="167"/>
        <v>0</v>
      </c>
      <c r="V171" s="2">
        <f t="shared" si="168"/>
        <v>0</v>
      </c>
      <c r="W171" s="2">
        <f t="shared" si="169"/>
        <v>0</v>
      </c>
      <c r="X171" s="2">
        <f t="shared" si="170"/>
        <v>0</v>
      </c>
      <c r="Y171" s="2">
        <f t="shared" si="171"/>
        <v>0</v>
      </c>
      <c r="Z171" s="2"/>
      <c r="AA171" s="2">
        <v>16499835</v>
      </c>
      <c r="AB171" s="2">
        <f t="shared" si="172"/>
        <v>310.25</v>
      </c>
      <c r="AC171" s="2">
        <f t="shared" si="173"/>
        <v>310.25</v>
      </c>
      <c r="AD171" s="2">
        <f>ROUND((((ET171)-(EU171))+AE171),6)</f>
        <v>0</v>
      </c>
      <c r="AE171" s="2">
        <f>ROUND((EU171),6)</f>
        <v>0</v>
      </c>
      <c r="AF171" s="2">
        <f>ROUND((EV171),6)</f>
        <v>0</v>
      </c>
      <c r="AG171" s="2">
        <f t="shared" si="176"/>
        <v>0</v>
      </c>
      <c r="AH171" s="2">
        <f>(EW171)</f>
        <v>0</v>
      </c>
      <c r="AI171" s="2">
        <f>(EX171)</f>
        <v>0</v>
      </c>
      <c r="AJ171" s="2">
        <f t="shared" si="178"/>
        <v>0</v>
      </c>
      <c r="AK171" s="2">
        <v>310.25</v>
      </c>
      <c r="AL171" s="2">
        <v>310.25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115</v>
      </c>
      <c r="AU171" s="2">
        <v>71</v>
      </c>
      <c r="AV171" s="2">
        <v>1</v>
      </c>
      <c r="AW171" s="2">
        <v>1</v>
      </c>
      <c r="AX171" s="2"/>
      <c r="AY171" s="2"/>
      <c r="AZ171" s="2">
        <v>1</v>
      </c>
      <c r="BA171" s="2">
        <v>1</v>
      </c>
      <c r="BB171" s="2">
        <v>1</v>
      </c>
      <c r="BC171" s="2">
        <v>1</v>
      </c>
      <c r="BD171" s="2" t="s">
        <v>224</v>
      </c>
      <c r="BE171" s="2" t="s">
        <v>224</v>
      </c>
      <c r="BF171" s="2" t="s">
        <v>224</v>
      </c>
      <c r="BG171" s="2" t="s">
        <v>224</v>
      </c>
      <c r="BH171" s="2">
        <v>3</v>
      </c>
      <c r="BI171" s="2">
        <v>1</v>
      </c>
      <c r="BJ171" s="2" t="s">
        <v>545</v>
      </c>
      <c r="BK171" s="2"/>
      <c r="BL171" s="2"/>
      <c r="BM171" s="2">
        <v>17001</v>
      </c>
      <c r="BN171" s="2">
        <v>0</v>
      </c>
      <c r="BO171" s="2" t="s">
        <v>224</v>
      </c>
      <c r="BP171" s="2">
        <v>0</v>
      </c>
      <c r="BQ171" s="2">
        <v>2</v>
      </c>
      <c r="BR171" s="2">
        <v>0</v>
      </c>
      <c r="BS171" s="2">
        <v>1</v>
      </c>
      <c r="BT171" s="2">
        <v>1</v>
      </c>
      <c r="BU171" s="2">
        <v>1</v>
      </c>
      <c r="BV171" s="2">
        <v>1</v>
      </c>
      <c r="BW171" s="2">
        <v>1</v>
      </c>
      <c r="BX171" s="2">
        <v>1</v>
      </c>
      <c r="BY171" s="2" t="s">
        <v>224</v>
      </c>
      <c r="BZ171" s="2">
        <v>128</v>
      </c>
      <c r="CA171" s="2">
        <v>83</v>
      </c>
      <c r="CB171" s="2"/>
      <c r="CC171" s="2"/>
      <c r="CD171" s="2"/>
      <c r="CE171" s="2"/>
      <c r="CF171" s="2">
        <v>0</v>
      </c>
      <c r="CG171" s="2">
        <v>0</v>
      </c>
      <c r="CH171" s="2"/>
      <c r="CI171" s="2"/>
      <c r="CJ171" s="2"/>
      <c r="CK171" s="2"/>
      <c r="CL171" s="2"/>
      <c r="CM171" s="2">
        <v>0</v>
      </c>
      <c r="CN171" s="2" t="s">
        <v>224</v>
      </c>
      <c r="CO171" s="2">
        <v>0</v>
      </c>
      <c r="CP171" s="2">
        <f t="shared" si="179"/>
        <v>310.25</v>
      </c>
      <c r="CQ171" s="2">
        <f t="shared" si="180"/>
        <v>310.25</v>
      </c>
      <c r="CR171" s="2">
        <f t="shared" si="181"/>
        <v>0</v>
      </c>
      <c r="CS171" s="2">
        <f t="shared" si="182"/>
        <v>0</v>
      </c>
      <c r="CT171" s="2">
        <f t="shared" si="183"/>
        <v>0</v>
      </c>
      <c r="CU171" s="2">
        <f t="shared" si="184"/>
        <v>0</v>
      </c>
      <c r="CV171" s="2">
        <f t="shared" si="185"/>
        <v>0</v>
      </c>
      <c r="CW171" s="2">
        <f t="shared" si="186"/>
        <v>0</v>
      </c>
      <c r="CX171" s="2">
        <f t="shared" si="187"/>
        <v>0</v>
      </c>
      <c r="CY171" s="2">
        <f t="shared" si="188"/>
        <v>0</v>
      </c>
      <c r="CZ171" s="2">
        <f t="shared" si="189"/>
        <v>0</v>
      </c>
      <c r="DA171" s="2"/>
      <c r="DB171" s="2"/>
      <c r="DC171" s="2" t="s">
        <v>224</v>
      </c>
      <c r="DD171" s="2" t="s">
        <v>224</v>
      </c>
      <c r="DE171" s="2" t="s">
        <v>224</v>
      </c>
      <c r="DF171" s="2" t="s">
        <v>224</v>
      </c>
      <c r="DG171" s="2" t="s">
        <v>224</v>
      </c>
      <c r="DH171" s="2" t="s">
        <v>224</v>
      </c>
      <c r="DI171" s="2" t="s">
        <v>224</v>
      </c>
      <c r="DJ171" s="2" t="s">
        <v>224</v>
      </c>
      <c r="DK171" s="2" t="s">
        <v>224</v>
      </c>
      <c r="DL171" s="2" t="s">
        <v>224</v>
      </c>
      <c r="DM171" s="2" t="s">
        <v>224</v>
      </c>
      <c r="DN171" s="2">
        <v>0</v>
      </c>
      <c r="DO171" s="2">
        <v>0</v>
      </c>
      <c r="DP171" s="2">
        <v>1</v>
      </c>
      <c r="DQ171" s="2">
        <v>1</v>
      </c>
      <c r="DR171" s="2"/>
      <c r="DS171" s="2"/>
      <c r="DT171" s="2"/>
      <c r="DU171" s="2">
        <v>1013</v>
      </c>
      <c r="DV171" s="2" t="s">
        <v>535</v>
      </c>
      <c r="DW171" s="2" t="s">
        <v>535</v>
      </c>
      <c r="DX171" s="2">
        <v>1</v>
      </c>
      <c r="DY171" s="2"/>
      <c r="DZ171" s="2"/>
      <c r="EA171" s="2"/>
      <c r="EB171" s="2"/>
      <c r="EC171" s="2"/>
      <c r="ED171" s="2"/>
      <c r="EE171" s="2">
        <v>15139128</v>
      </c>
      <c r="EF171" s="2">
        <v>2</v>
      </c>
      <c r="EG171" s="2" t="s">
        <v>233</v>
      </c>
      <c r="EH171" s="2">
        <v>0</v>
      </c>
      <c r="EI171" s="2" t="s">
        <v>224</v>
      </c>
      <c r="EJ171" s="2">
        <v>1</v>
      </c>
      <c r="EK171" s="2">
        <v>17001</v>
      </c>
      <c r="EL171" s="2" t="s">
        <v>530</v>
      </c>
      <c r="EM171" s="2" t="s">
        <v>531</v>
      </c>
      <c r="EN171" s="2"/>
      <c r="EO171" s="2" t="s">
        <v>224</v>
      </c>
      <c r="EP171" s="2"/>
      <c r="EQ171" s="2">
        <v>0</v>
      </c>
      <c r="ER171" s="2">
        <v>310.25</v>
      </c>
      <c r="ES171" s="2">
        <v>310.25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>
        <v>0</v>
      </c>
      <c r="FR171" s="2">
        <f t="shared" si="190"/>
        <v>0</v>
      </c>
      <c r="FS171" s="2">
        <v>0</v>
      </c>
      <c r="FT171" s="2" t="s">
        <v>244</v>
      </c>
      <c r="FU171" s="2" t="s">
        <v>245</v>
      </c>
      <c r="FV171" s="2"/>
      <c r="FW171" s="2"/>
      <c r="FX171" s="2">
        <v>115.2</v>
      </c>
      <c r="FY171" s="2">
        <v>70.55</v>
      </c>
      <c r="FZ171" s="2"/>
      <c r="GA171" s="2" t="s">
        <v>224</v>
      </c>
      <c r="GB171" s="2"/>
      <c r="GC171" s="2"/>
      <c r="GD171" s="2">
        <v>0</v>
      </c>
      <c r="GE171" s="2"/>
      <c r="GF171" s="2">
        <v>236537662</v>
      </c>
      <c r="GG171" s="2">
        <v>2</v>
      </c>
      <c r="GH171" s="2">
        <v>1</v>
      </c>
      <c r="GI171" s="2">
        <v>-2</v>
      </c>
      <c r="GJ171" s="2">
        <v>0</v>
      </c>
      <c r="GK171" s="2">
        <f>ROUND(R171*(R12)/100,2)</f>
        <v>0</v>
      </c>
      <c r="GL171" s="2">
        <f t="shared" si="191"/>
        <v>0</v>
      </c>
      <c r="GM171" s="2">
        <f t="shared" si="192"/>
        <v>310.25</v>
      </c>
      <c r="GN171" s="2">
        <f t="shared" si="193"/>
        <v>310.25</v>
      </c>
      <c r="GO171" s="2">
        <f t="shared" si="194"/>
        <v>0</v>
      </c>
      <c r="GP171" s="2">
        <f t="shared" si="195"/>
        <v>0</v>
      </c>
      <c r="GQ171" s="2"/>
      <c r="GR171" s="2">
        <v>0</v>
      </c>
      <c r="GS171" s="2">
        <v>3</v>
      </c>
      <c r="GT171" s="2">
        <v>0</v>
      </c>
      <c r="GU171" s="2" t="s">
        <v>224</v>
      </c>
      <c r="GV171" s="2">
        <f t="shared" si="196"/>
        <v>0</v>
      </c>
      <c r="GW171" s="2">
        <v>1</v>
      </c>
      <c r="GX171" s="2">
        <f t="shared" si="197"/>
        <v>0</v>
      </c>
      <c r="GY171" s="2"/>
      <c r="GZ171" s="2"/>
      <c r="HA171" s="2">
        <v>0</v>
      </c>
      <c r="HB171" s="2">
        <v>0</v>
      </c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>
        <v>0</v>
      </c>
      <c r="IL171" s="2"/>
      <c r="IM171" s="2"/>
      <c r="IN171" s="2"/>
      <c r="IO171" s="2"/>
      <c r="IP171" s="2"/>
      <c r="IQ171" s="2"/>
      <c r="IR171" s="2"/>
      <c r="IS171" s="2"/>
      <c r="IT171" s="2"/>
      <c r="IU171" s="2"/>
    </row>
    <row r="172" spans="1:255" x14ac:dyDescent="0.2">
      <c r="A172">
        <v>18</v>
      </c>
      <c r="B172">
        <v>1</v>
      </c>
      <c r="C172">
        <v>480</v>
      </c>
      <c r="E172" t="s">
        <v>542</v>
      </c>
      <c r="F172" t="s">
        <v>543</v>
      </c>
      <c r="G172" t="s">
        <v>544</v>
      </c>
      <c r="H172" t="s">
        <v>535</v>
      </c>
      <c r="I172">
        <f>I170*J172</f>
        <v>1</v>
      </c>
      <c r="J172">
        <v>10</v>
      </c>
      <c r="O172">
        <f t="shared" si="161"/>
        <v>1886.32</v>
      </c>
      <c r="P172">
        <f t="shared" si="162"/>
        <v>1886.32</v>
      </c>
      <c r="Q172">
        <f t="shared" si="163"/>
        <v>0</v>
      </c>
      <c r="R172">
        <f t="shared" si="164"/>
        <v>0</v>
      </c>
      <c r="S172">
        <f t="shared" si="165"/>
        <v>0</v>
      </c>
      <c r="T172">
        <f t="shared" si="166"/>
        <v>0</v>
      </c>
      <c r="U172">
        <f t="shared" si="167"/>
        <v>0</v>
      </c>
      <c r="V172">
        <f t="shared" si="168"/>
        <v>0</v>
      </c>
      <c r="W172">
        <f t="shared" si="169"/>
        <v>0</v>
      </c>
      <c r="X172">
        <f t="shared" si="170"/>
        <v>0</v>
      </c>
      <c r="Y172">
        <f t="shared" si="171"/>
        <v>0</v>
      </c>
      <c r="AA172">
        <v>16499878</v>
      </c>
      <c r="AB172">
        <f t="shared" si="172"/>
        <v>310.25</v>
      </c>
      <c r="AC172">
        <f t="shared" si="173"/>
        <v>310.25</v>
      </c>
      <c r="AD172">
        <f>ROUND((((ET172)-(EU172))+AE172),6)</f>
        <v>0</v>
      </c>
      <c r="AE172">
        <f>ROUND((EU172),6)</f>
        <v>0</v>
      </c>
      <c r="AF172">
        <f>ROUND((EV172),6)</f>
        <v>0</v>
      </c>
      <c r="AG172">
        <f t="shared" si="176"/>
        <v>0</v>
      </c>
      <c r="AH172">
        <f>(EW172)</f>
        <v>0</v>
      </c>
      <c r="AI172">
        <f>(EX172)</f>
        <v>0</v>
      </c>
      <c r="AJ172">
        <f t="shared" si="178"/>
        <v>0</v>
      </c>
      <c r="AK172">
        <v>310.25</v>
      </c>
      <c r="AL172">
        <v>310.25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115</v>
      </c>
      <c r="AU172">
        <v>71</v>
      </c>
      <c r="AV172">
        <v>1</v>
      </c>
      <c r="AW172">
        <v>1</v>
      </c>
      <c r="AZ172">
        <v>6.08</v>
      </c>
      <c r="BA172">
        <v>1</v>
      </c>
      <c r="BB172">
        <v>1</v>
      </c>
      <c r="BC172">
        <v>6.08</v>
      </c>
      <c r="BD172" t="s">
        <v>224</v>
      </c>
      <c r="BE172" t="s">
        <v>224</v>
      </c>
      <c r="BF172" t="s">
        <v>224</v>
      </c>
      <c r="BG172" t="s">
        <v>224</v>
      </c>
      <c r="BH172">
        <v>3</v>
      </c>
      <c r="BI172">
        <v>1</v>
      </c>
      <c r="BJ172" t="s">
        <v>545</v>
      </c>
      <c r="BM172">
        <v>17001</v>
      </c>
      <c r="BN172">
        <v>0</v>
      </c>
      <c r="BO172" t="s">
        <v>224</v>
      </c>
      <c r="BP172">
        <v>0</v>
      </c>
      <c r="BQ172">
        <v>2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224</v>
      </c>
      <c r="BZ172">
        <v>128</v>
      </c>
      <c r="CA172">
        <v>83</v>
      </c>
      <c r="CF172">
        <v>0</v>
      </c>
      <c r="CG172">
        <v>0</v>
      </c>
      <c r="CM172">
        <v>0</v>
      </c>
      <c r="CN172" t="s">
        <v>224</v>
      </c>
      <c r="CO172">
        <v>0</v>
      </c>
      <c r="CP172">
        <f t="shared" si="179"/>
        <v>1886.32</v>
      </c>
      <c r="CQ172">
        <f t="shared" si="180"/>
        <v>1886.32</v>
      </c>
      <c r="CR172">
        <f t="shared" si="181"/>
        <v>0</v>
      </c>
      <c r="CS172">
        <f t="shared" si="182"/>
        <v>0</v>
      </c>
      <c r="CT172">
        <f t="shared" si="183"/>
        <v>0</v>
      </c>
      <c r="CU172">
        <f t="shared" si="184"/>
        <v>0</v>
      </c>
      <c r="CV172">
        <f t="shared" si="185"/>
        <v>0</v>
      </c>
      <c r="CW172">
        <f t="shared" si="186"/>
        <v>0</v>
      </c>
      <c r="CX172">
        <f t="shared" si="187"/>
        <v>0</v>
      </c>
      <c r="CY172">
        <f t="shared" si="188"/>
        <v>0</v>
      </c>
      <c r="CZ172">
        <f t="shared" si="189"/>
        <v>0</v>
      </c>
      <c r="DC172" t="s">
        <v>224</v>
      </c>
      <c r="DD172" t="s">
        <v>224</v>
      </c>
      <c r="DE172" t="s">
        <v>224</v>
      </c>
      <c r="DF172" t="s">
        <v>224</v>
      </c>
      <c r="DG172" t="s">
        <v>224</v>
      </c>
      <c r="DH172" t="s">
        <v>224</v>
      </c>
      <c r="DI172" t="s">
        <v>224</v>
      </c>
      <c r="DJ172" t="s">
        <v>224</v>
      </c>
      <c r="DK172" t="s">
        <v>224</v>
      </c>
      <c r="DL172" t="s">
        <v>224</v>
      </c>
      <c r="DM172" t="s">
        <v>224</v>
      </c>
      <c r="DN172">
        <v>0</v>
      </c>
      <c r="DO172">
        <v>0</v>
      </c>
      <c r="DP172">
        <v>1</v>
      </c>
      <c r="DQ172">
        <v>1</v>
      </c>
      <c r="DU172">
        <v>1013</v>
      </c>
      <c r="DV172" t="s">
        <v>535</v>
      </c>
      <c r="DW172" t="s">
        <v>535</v>
      </c>
      <c r="DX172">
        <v>1</v>
      </c>
      <c r="EE172">
        <v>15139128</v>
      </c>
      <c r="EF172">
        <v>2</v>
      </c>
      <c r="EG172" t="s">
        <v>233</v>
      </c>
      <c r="EH172">
        <v>0</v>
      </c>
      <c r="EI172" t="s">
        <v>224</v>
      </c>
      <c r="EJ172">
        <v>1</v>
      </c>
      <c r="EK172">
        <v>17001</v>
      </c>
      <c r="EL172" t="s">
        <v>530</v>
      </c>
      <c r="EM172" t="s">
        <v>531</v>
      </c>
      <c r="EO172" t="s">
        <v>224</v>
      </c>
      <c r="EQ172">
        <v>0</v>
      </c>
      <c r="ER172">
        <v>310.25</v>
      </c>
      <c r="ES172">
        <v>310.25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90"/>
        <v>0</v>
      </c>
      <c r="FS172">
        <v>0</v>
      </c>
      <c r="FT172" t="s">
        <v>244</v>
      </c>
      <c r="FU172" t="s">
        <v>245</v>
      </c>
      <c r="FX172">
        <v>115.2</v>
      </c>
      <c r="FY172">
        <v>70.55</v>
      </c>
      <c r="GA172" t="s">
        <v>224</v>
      </c>
      <c r="GD172">
        <v>0</v>
      </c>
      <c r="GF172">
        <v>236537662</v>
      </c>
      <c r="GG172">
        <v>1</v>
      </c>
      <c r="GH172">
        <v>1</v>
      </c>
      <c r="GI172">
        <v>4</v>
      </c>
      <c r="GJ172">
        <v>0</v>
      </c>
      <c r="GK172">
        <f>ROUND(R172*(S12)/100,2)</f>
        <v>0</v>
      </c>
      <c r="GL172">
        <f t="shared" si="191"/>
        <v>0</v>
      </c>
      <c r="GM172">
        <f t="shared" si="192"/>
        <v>1886.32</v>
      </c>
      <c r="GN172">
        <f t="shared" si="193"/>
        <v>1886.32</v>
      </c>
      <c r="GO172">
        <f t="shared" si="194"/>
        <v>0</v>
      </c>
      <c r="GP172">
        <f t="shared" si="195"/>
        <v>0</v>
      </c>
      <c r="GR172">
        <v>0</v>
      </c>
      <c r="GS172">
        <v>3</v>
      </c>
      <c r="GT172">
        <v>0</v>
      </c>
      <c r="GU172" t="s">
        <v>224</v>
      </c>
      <c r="GV172">
        <f t="shared" si="196"/>
        <v>0</v>
      </c>
      <c r="GW172">
        <v>1</v>
      </c>
      <c r="GX172">
        <f t="shared" si="197"/>
        <v>0</v>
      </c>
      <c r="HA172">
        <v>0</v>
      </c>
      <c r="HB172">
        <v>0</v>
      </c>
      <c r="IK172">
        <v>0</v>
      </c>
    </row>
    <row r="173" spans="1:255" x14ac:dyDescent="0.2">
      <c r="A173" s="2">
        <v>17</v>
      </c>
      <c r="B173" s="2">
        <v>1</v>
      </c>
      <c r="C173" s="2"/>
      <c r="D173" s="2"/>
      <c r="E173" s="2" t="s">
        <v>546</v>
      </c>
      <c r="F173" s="2" t="s">
        <v>547</v>
      </c>
      <c r="G173" s="2" t="s">
        <v>548</v>
      </c>
      <c r="H173" s="2" t="s">
        <v>549</v>
      </c>
      <c r="I173" s="2">
        <v>1.5</v>
      </c>
      <c r="J173" s="2">
        <v>0</v>
      </c>
      <c r="K173" s="2"/>
      <c r="L173" s="2"/>
      <c r="M173" s="2"/>
      <c r="N173" s="2"/>
      <c r="O173" s="2">
        <f>0</f>
        <v>0</v>
      </c>
      <c r="P173" s="2">
        <f>0</f>
        <v>0</v>
      </c>
      <c r="Q173" s="2">
        <f>0</f>
        <v>0</v>
      </c>
      <c r="R173" s="2">
        <f>0</f>
        <v>0</v>
      </c>
      <c r="S173" s="2">
        <f>0</f>
        <v>0</v>
      </c>
      <c r="T173" s="2">
        <f>0</f>
        <v>0</v>
      </c>
      <c r="U173" s="2">
        <f>0</f>
        <v>0</v>
      </c>
      <c r="V173" s="2">
        <f>0</f>
        <v>0</v>
      </c>
      <c r="W173" s="2">
        <f>0</f>
        <v>0</v>
      </c>
      <c r="X173" s="2">
        <f>0</f>
        <v>0</v>
      </c>
      <c r="Y173" s="2">
        <f>0</f>
        <v>0</v>
      </c>
      <c r="Z173" s="2"/>
      <c r="AA173" s="2">
        <v>16499835</v>
      </c>
      <c r="AB173" s="2">
        <f>ROUND((AK173),6)</f>
        <v>42.98</v>
      </c>
      <c r="AC173" s="2">
        <f>0</f>
        <v>0</v>
      </c>
      <c r="AD173" s="2">
        <f>0</f>
        <v>0</v>
      </c>
      <c r="AE173" s="2">
        <f>0</f>
        <v>0</v>
      </c>
      <c r="AF173" s="2">
        <f>0</f>
        <v>0</v>
      </c>
      <c r="AG173" s="2">
        <f>0</f>
        <v>0</v>
      </c>
      <c r="AH173" s="2">
        <f>0</f>
        <v>0</v>
      </c>
      <c r="AI173" s="2">
        <f>0</f>
        <v>0</v>
      </c>
      <c r="AJ173" s="2">
        <f>0</f>
        <v>0</v>
      </c>
      <c r="AK173" s="2">
        <v>42.98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1</v>
      </c>
      <c r="AW173" s="2">
        <v>1</v>
      </c>
      <c r="AX173" s="2"/>
      <c r="AY173" s="2"/>
      <c r="AZ173" s="2">
        <v>1</v>
      </c>
      <c r="BA173" s="2">
        <v>1</v>
      </c>
      <c r="BB173" s="2">
        <v>1</v>
      </c>
      <c r="BC173" s="2">
        <v>1</v>
      </c>
      <c r="BD173" s="2" t="s">
        <v>224</v>
      </c>
      <c r="BE173" s="2" t="s">
        <v>224</v>
      </c>
      <c r="BF173" s="2" t="s">
        <v>224</v>
      </c>
      <c r="BG173" s="2" t="s">
        <v>224</v>
      </c>
      <c r="BH173" s="2">
        <v>0</v>
      </c>
      <c r="BI173" s="2">
        <v>1</v>
      </c>
      <c r="BJ173" s="2" t="s">
        <v>550</v>
      </c>
      <c r="BK173" s="2"/>
      <c r="BL173" s="2"/>
      <c r="BM173" s="2">
        <v>700004</v>
      </c>
      <c r="BN173" s="2">
        <v>0</v>
      </c>
      <c r="BO173" s="2" t="s">
        <v>224</v>
      </c>
      <c r="BP173" s="2">
        <v>0</v>
      </c>
      <c r="BQ173" s="2">
        <v>19</v>
      </c>
      <c r="BR173" s="2">
        <v>0</v>
      </c>
      <c r="BS173" s="2">
        <v>1</v>
      </c>
      <c r="BT173" s="2">
        <v>1</v>
      </c>
      <c r="BU173" s="2">
        <v>1</v>
      </c>
      <c r="BV173" s="2">
        <v>1</v>
      </c>
      <c r="BW173" s="2">
        <v>1</v>
      </c>
      <c r="BX173" s="2">
        <v>1</v>
      </c>
      <c r="BY173" s="2" t="s">
        <v>224</v>
      </c>
      <c r="BZ173" s="2">
        <v>0</v>
      </c>
      <c r="CA173" s="2">
        <v>0</v>
      </c>
      <c r="CB173" s="2"/>
      <c r="CC173" s="2"/>
      <c r="CD173" s="2"/>
      <c r="CE173" s="2"/>
      <c r="CF173" s="2">
        <v>0</v>
      </c>
      <c r="CG173" s="2">
        <v>0</v>
      </c>
      <c r="CH173" s="2"/>
      <c r="CI173" s="2"/>
      <c r="CJ173" s="2"/>
      <c r="CK173" s="2"/>
      <c r="CL173" s="2"/>
      <c r="CM173" s="2">
        <v>0</v>
      </c>
      <c r="CN173" s="2" t="s">
        <v>224</v>
      </c>
      <c r="CO173" s="2">
        <v>0</v>
      </c>
      <c r="CP173" s="2">
        <f>AB173*AZ173</f>
        <v>42.98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/>
      <c r="DB173" s="2"/>
      <c r="DC173" s="2" t="s">
        <v>224</v>
      </c>
      <c r="DD173" s="2" t="s">
        <v>224</v>
      </c>
      <c r="DE173" s="2" t="s">
        <v>224</v>
      </c>
      <c r="DF173" s="2" t="s">
        <v>224</v>
      </c>
      <c r="DG173" s="2" t="s">
        <v>224</v>
      </c>
      <c r="DH173" s="2" t="s">
        <v>224</v>
      </c>
      <c r="DI173" s="2" t="s">
        <v>224</v>
      </c>
      <c r="DJ173" s="2" t="s">
        <v>224</v>
      </c>
      <c r="DK173" s="2" t="s">
        <v>224</v>
      </c>
      <c r="DL173" s="2" t="s">
        <v>224</v>
      </c>
      <c r="DM173" s="2" t="s">
        <v>224</v>
      </c>
      <c r="DN173" s="2">
        <v>0</v>
      </c>
      <c r="DO173" s="2">
        <v>0</v>
      </c>
      <c r="DP173" s="2">
        <v>1</v>
      </c>
      <c r="DQ173" s="2">
        <v>1</v>
      </c>
      <c r="DR173" s="2"/>
      <c r="DS173" s="2"/>
      <c r="DT173" s="2"/>
      <c r="DU173" s="2">
        <v>1013</v>
      </c>
      <c r="DV173" s="2" t="s">
        <v>549</v>
      </c>
      <c r="DW173" s="2" t="s">
        <v>549</v>
      </c>
      <c r="DX173" s="2">
        <v>1</v>
      </c>
      <c r="DY173" s="2"/>
      <c r="DZ173" s="2"/>
      <c r="EA173" s="2"/>
      <c r="EB173" s="2"/>
      <c r="EC173" s="2"/>
      <c r="ED173" s="2"/>
      <c r="EE173" s="2">
        <v>15139288</v>
      </c>
      <c r="EF173" s="2">
        <v>19</v>
      </c>
      <c r="EG173" s="2" t="s">
        <v>551</v>
      </c>
      <c r="EH173" s="2">
        <v>0</v>
      </c>
      <c r="EI173" s="2" t="s">
        <v>224</v>
      </c>
      <c r="EJ173" s="2">
        <v>1</v>
      </c>
      <c r="EK173" s="2">
        <v>700004</v>
      </c>
      <c r="EL173" s="2" t="s">
        <v>552</v>
      </c>
      <c r="EM173" s="2" t="s">
        <v>553</v>
      </c>
      <c r="EN173" s="2"/>
      <c r="EO173" s="2" t="s">
        <v>224</v>
      </c>
      <c r="EP173" s="2"/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>
        <v>0</v>
      </c>
      <c r="FR173" s="2">
        <f t="shared" si="190"/>
        <v>0</v>
      </c>
      <c r="FS173" s="2">
        <v>0</v>
      </c>
      <c r="FT173" s="2"/>
      <c r="FU173" s="2"/>
      <c r="FV173" s="2"/>
      <c r="FW173" s="2"/>
      <c r="FX173" s="2">
        <v>0</v>
      </c>
      <c r="FY173" s="2">
        <v>0</v>
      </c>
      <c r="FZ173" s="2"/>
      <c r="GA173" s="2" t="s">
        <v>224</v>
      </c>
      <c r="GB173" s="2"/>
      <c r="GC173" s="2"/>
      <c r="GD173" s="2">
        <v>0</v>
      </c>
      <c r="GE173" s="2"/>
      <c r="GF173" s="2">
        <v>811861299</v>
      </c>
      <c r="GG173" s="2">
        <v>2</v>
      </c>
      <c r="GH173" s="2">
        <v>1</v>
      </c>
      <c r="GI173" s="2">
        <v>-2</v>
      </c>
      <c r="GJ173" s="2">
        <v>2</v>
      </c>
      <c r="GK173" s="2">
        <f>ROUND(R173*(R12)/100,2)</f>
        <v>0</v>
      </c>
      <c r="GL173" s="2">
        <f t="shared" si="191"/>
        <v>0</v>
      </c>
      <c r="GM173" s="2">
        <f>ROUND(CP173*I173,2)</f>
        <v>64.47</v>
      </c>
      <c r="GN173" s="2">
        <f>IF(OR(BI173=0,BI173=1),ROUND(CP173*I173,2),0)</f>
        <v>64.47</v>
      </c>
      <c r="GO173" s="2">
        <f>IF(BI173=2,ROUND(CP173*I173,2),0)</f>
        <v>0</v>
      </c>
      <c r="GP173" s="2">
        <f>IF(BI173=4,ROUND(CP173*I173,2)+GX173,0)</f>
        <v>0</v>
      </c>
      <c r="GQ173" s="2"/>
      <c r="GR173" s="2">
        <v>0</v>
      </c>
      <c r="GS173" s="2">
        <v>3</v>
      </c>
      <c r="GT173" s="2"/>
      <c r="GU173" s="2" t="s">
        <v>224</v>
      </c>
      <c r="GV173" s="2">
        <f>0</f>
        <v>0</v>
      </c>
      <c r="GW173" s="2">
        <v>1</v>
      </c>
      <c r="GX173" s="2">
        <f t="shared" si="197"/>
        <v>0</v>
      </c>
      <c r="GY173" s="2">
        <v>0</v>
      </c>
      <c r="GZ173" s="2">
        <v>0</v>
      </c>
      <c r="HA173" s="2">
        <v>0</v>
      </c>
      <c r="HB173" s="2">
        <v>0</v>
      </c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>
        <v>0</v>
      </c>
      <c r="IL173" s="2"/>
      <c r="IM173" s="2"/>
      <c r="IN173" s="2"/>
      <c r="IO173" s="2"/>
      <c r="IP173" s="2"/>
      <c r="IQ173" s="2"/>
      <c r="IR173" s="2"/>
      <c r="IS173" s="2"/>
      <c r="IT173" s="2"/>
      <c r="IU173" s="2"/>
    </row>
    <row r="174" spans="1:255" x14ac:dyDescent="0.2">
      <c r="A174">
        <v>17</v>
      </c>
      <c r="B174">
        <v>1</v>
      </c>
      <c r="E174" t="s">
        <v>546</v>
      </c>
      <c r="F174" t="s">
        <v>547</v>
      </c>
      <c r="G174" t="s">
        <v>548</v>
      </c>
      <c r="H174" t="s">
        <v>549</v>
      </c>
      <c r="I174">
        <v>1.5</v>
      </c>
      <c r="J174">
        <v>0</v>
      </c>
      <c r="O174">
        <f>0</f>
        <v>0</v>
      </c>
      <c r="P174">
        <f>0</f>
        <v>0</v>
      </c>
      <c r="Q174">
        <f>0</f>
        <v>0</v>
      </c>
      <c r="R174">
        <f>0</f>
        <v>0</v>
      </c>
      <c r="S174">
        <f>0</f>
        <v>0</v>
      </c>
      <c r="T174">
        <f>0</f>
        <v>0</v>
      </c>
      <c r="U174">
        <f>0</f>
        <v>0</v>
      </c>
      <c r="V174">
        <f>0</f>
        <v>0</v>
      </c>
      <c r="W174">
        <f>0</f>
        <v>0</v>
      </c>
      <c r="X174">
        <f>0</f>
        <v>0</v>
      </c>
      <c r="Y174">
        <f>0</f>
        <v>0</v>
      </c>
      <c r="AA174">
        <v>16499878</v>
      </c>
      <c r="AB174">
        <f>ROUND((AK174),6)</f>
        <v>42.98</v>
      </c>
      <c r="AC174">
        <f>0</f>
        <v>0</v>
      </c>
      <c r="AD174">
        <f>0</f>
        <v>0</v>
      </c>
      <c r="AE174">
        <f>0</f>
        <v>0</v>
      </c>
      <c r="AF174">
        <f>0</f>
        <v>0</v>
      </c>
      <c r="AG174">
        <f>0</f>
        <v>0</v>
      </c>
      <c r="AH174">
        <f>0</f>
        <v>0</v>
      </c>
      <c r="AI174">
        <f>0</f>
        <v>0</v>
      </c>
      <c r="AJ174">
        <f>0</f>
        <v>0</v>
      </c>
      <c r="AK174">
        <v>42.98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1</v>
      </c>
      <c r="AW174">
        <v>1</v>
      </c>
      <c r="AZ174">
        <v>6.08</v>
      </c>
      <c r="BA174">
        <v>1</v>
      </c>
      <c r="BB174">
        <v>1</v>
      </c>
      <c r="BC174">
        <v>1</v>
      </c>
      <c r="BD174" t="s">
        <v>224</v>
      </c>
      <c r="BE174" t="s">
        <v>224</v>
      </c>
      <c r="BF174" t="s">
        <v>224</v>
      </c>
      <c r="BG174" t="s">
        <v>224</v>
      </c>
      <c r="BH174">
        <v>0</v>
      </c>
      <c r="BI174">
        <v>1</v>
      </c>
      <c r="BJ174" t="s">
        <v>550</v>
      </c>
      <c r="BM174">
        <v>700004</v>
      </c>
      <c r="BN174">
        <v>0</v>
      </c>
      <c r="BO174" t="s">
        <v>224</v>
      </c>
      <c r="BP174">
        <v>0</v>
      </c>
      <c r="BQ174">
        <v>19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224</v>
      </c>
      <c r="BZ174">
        <v>0</v>
      </c>
      <c r="CA174">
        <v>0</v>
      </c>
      <c r="CF174">
        <v>0</v>
      </c>
      <c r="CG174">
        <v>0</v>
      </c>
      <c r="CM174">
        <v>0</v>
      </c>
      <c r="CN174" t="s">
        <v>224</v>
      </c>
      <c r="CO174">
        <v>0</v>
      </c>
      <c r="CP174">
        <f>AB174*AZ174</f>
        <v>261.3184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C174" t="s">
        <v>224</v>
      </c>
      <c r="DD174" t="s">
        <v>224</v>
      </c>
      <c r="DE174" t="s">
        <v>224</v>
      </c>
      <c r="DF174" t="s">
        <v>224</v>
      </c>
      <c r="DG174" t="s">
        <v>224</v>
      </c>
      <c r="DH174" t="s">
        <v>224</v>
      </c>
      <c r="DI174" t="s">
        <v>224</v>
      </c>
      <c r="DJ174" t="s">
        <v>224</v>
      </c>
      <c r="DK174" t="s">
        <v>224</v>
      </c>
      <c r="DL174" t="s">
        <v>224</v>
      </c>
      <c r="DM174" t="s">
        <v>224</v>
      </c>
      <c r="DN174">
        <v>0</v>
      </c>
      <c r="DO174">
        <v>0</v>
      </c>
      <c r="DP174">
        <v>1</v>
      </c>
      <c r="DQ174">
        <v>1</v>
      </c>
      <c r="DU174">
        <v>1013</v>
      </c>
      <c r="DV174" t="s">
        <v>549</v>
      </c>
      <c r="DW174" t="s">
        <v>549</v>
      </c>
      <c r="DX174">
        <v>1</v>
      </c>
      <c r="EE174">
        <v>15139288</v>
      </c>
      <c r="EF174">
        <v>19</v>
      </c>
      <c r="EG174" t="s">
        <v>551</v>
      </c>
      <c r="EH174">
        <v>0</v>
      </c>
      <c r="EI174" t="s">
        <v>224</v>
      </c>
      <c r="EJ174">
        <v>1</v>
      </c>
      <c r="EK174">
        <v>700004</v>
      </c>
      <c r="EL174" t="s">
        <v>552</v>
      </c>
      <c r="EM174" t="s">
        <v>553</v>
      </c>
      <c r="EO174" t="s">
        <v>224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FQ174">
        <v>0</v>
      </c>
      <c r="FR174">
        <f t="shared" si="190"/>
        <v>0</v>
      </c>
      <c r="FS174">
        <v>0</v>
      </c>
      <c r="FX174">
        <v>0</v>
      </c>
      <c r="FY174">
        <v>0</v>
      </c>
      <c r="GA174" t="s">
        <v>224</v>
      </c>
      <c r="GD174">
        <v>0</v>
      </c>
      <c r="GF174">
        <v>811861299</v>
      </c>
      <c r="GG174">
        <v>1</v>
      </c>
      <c r="GH174">
        <v>1</v>
      </c>
      <c r="GI174">
        <v>4</v>
      </c>
      <c r="GJ174">
        <v>2</v>
      </c>
      <c r="GK174">
        <f>ROUND(R174*(S12)/100,2)</f>
        <v>0</v>
      </c>
      <c r="GL174">
        <f t="shared" si="191"/>
        <v>0</v>
      </c>
      <c r="GM174">
        <f>ROUND(CP174*I174,2)</f>
        <v>391.98</v>
      </c>
      <c r="GN174">
        <f>IF(OR(BI174=0,BI174=1),ROUND(CP174*I174,2),0)</f>
        <v>391.98</v>
      </c>
      <c r="GO174">
        <f>IF(BI174=2,ROUND(CP174*I174,2),0)</f>
        <v>0</v>
      </c>
      <c r="GP174">
        <f>IF(BI174=4,ROUND(CP174*I174,2)+GX174,0)</f>
        <v>0</v>
      </c>
      <c r="GR174">
        <v>0</v>
      </c>
      <c r="GS174">
        <v>3</v>
      </c>
      <c r="GU174" t="s">
        <v>224</v>
      </c>
      <c r="GV174">
        <f>0</f>
        <v>0</v>
      </c>
      <c r="GW174">
        <v>1</v>
      </c>
      <c r="GX174">
        <f t="shared" si="197"/>
        <v>0</v>
      </c>
      <c r="GY174">
        <v>0</v>
      </c>
      <c r="GZ174">
        <v>0</v>
      </c>
      <c r="HA174">
        <v>0</v>
      </c>
      <c r="HB174">
        <v>0</v>
      </c>
      <c r="IK174">
        <v>0</v>
      </c>
    </row>
    <row r="175" spans="1:255" x14ac:dyDescent="0.2">
      <c r="A175" s="2">
        <v>17</v>
      </c>
      <c r="B175" s="2">
        <v>1</v>
      </c>
      <c r="C175" s="2"/>
      <c r="D175" s="2"/>
      <c r="E175" s="2" t="s">
        <v>554</v>
      </c>
      <c r="F175" s="2" t="s">
        <v>555</v>
      </c>
      <c r="G175" s="2" t="s">
        <v>556</v>
      </c>
      <c r="H175" s="2" t="s">
        <v>549</v>
      </c>
      <c r="I175" s="2">
        <v>1.5</v>
      </c>
      <c r="J175" s="2">
        <v>0</v>
      </c>
      <c r="K175" s="2"/>
      <c r="L175" s="2"/>
      <c r="M175" s="2"/>
      <c r="N175" s="2"/>
      <c r="O175" s="2">
        <f>0</f>
        <v>0</v>
      </c>
      <c r="P175" s="2">
        <f>0</f>
        <v>0</v>
      </c>
      <c r="Q175" s="2">
        <f>0</f>
        <v>0</v>
      </c>
      <c r="R175" s="2">
        <f>0</f>
        <v>0</v>
      </c>
      <c r="S175" s="2">
        <f>0</f>
        <v>0</v>
      </c>
      <c r="T175" s="2">
        <f>0</f>
        <v>0</v>
      </c>
      <c r="U175" s="2">
        <f>0</f>
        <v>0</v>
      </c>
      <c r="V175" s="2">
        <f>0</f>
        <v>0</v>
      </c>
      <c r="W175" s="2">
        <f>0</f>
        <v>0</v>
      </c>
      <c r="X175" s="2">
        <f>0</f>
        <v>0</v>
      </c>
      <c r="Y175" s="2">
        <f>0</f>
        <v>0</v>
      </c>
      <c r="Z175" s="2"/>
      <c r="AA175" s="2">
        <v>16499835</v>
      </c>
      <c r="AB175" s="2">
        <f>ROUND((AK175),6)</f>
        <v>14.03</v>
      </c>
      <c r="AC175" s="2">
        <f>0</f>
        <v>0</v>
      </c>
      <c r="AD175" s="2">
        <f>0</f>
        <v>0</v>
      </c>
      <c r="AE175" s="2">
        <f>0</f>
        <v>0</v>
      </c>
      <c r="AF175" s="2">
        <f>0</f>
        <v>0</v>
      </c>
      <c r="AG175" s="2">
        <f>0</f>
        <v>0</v>
      </c>
      <c r="AH175" s="2">
        <f>0</f>
        <v>0</v>
      </c>
      <c r="AI175" s="2">
        <f>0</f>
        <v>0</v>
      </c>
      <c r="AJ175" s="2">
        <f>0</f>
        <v>0</v>
      </c>
      <c r="AK175" s="2">
        <v>14.03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1</v>
      </c>
      <c r="AW175" s="2">
        <v>1</v>
      </c>
      <c r="AX175" s="2"/>
      <c r="AY175" s="2"/>
      <c r="AZ175" s="2">
        <v>1</v>
      </c>
      <c r="BA175" s="2">
        <v>1</v>
      </c>
      <c r="BB175" s="2">
        <v>1</v>
      </c>
      <c r="BC175" s="2">
        <v>1</v>
      </c>
      <c r="BD175" s="2" t="s">
        <v>224</v>
      </c>
      <c r="BE175" s="2" t="s">
        <v>224</v>
      </c>
      <c r="BF175" s="2" t="s">
        <v>224</v>
      </c>
      <c r="BG175" s="2" t="s">
        <v>224</v>
      </c>
      <c r="BH175" s="2">
        <v>0</v>
      </c>
      <c r="BI175" s="2">
        <v>1</v>
      </c>
      <c r="BJ175" s="2" t="s">
        <v>557</v>
      </c>
      <c r="BK175" s="2"/>
      <c r="BL175" s="2"/>
      <c r="BM175" s="2">
        <v>700005</v>
      </c>
      <c r="BN175" s="2">
        <v>0</v>
      </c>
      <c r="BO175" s="2" t="s">
        <v>224</v>
      </c>
      <c r="BP175" s="2">
        <v>0</v>
      </c>
      <c r="BQ175" s="2">
        <v>10</v>
      </c>
      <c r="BR175" s="2">
        <v>0</v>
      </c>
      <c r="BS175" s="2">
        <v>1</v>
      </c>
      <c r="BT175" s="2">
        <v>1</v>
      </c>
      <c r="BU175" s="2">
        <v>1</v>
      </c>
      <c r="BV175" s="2">
        <v>1</v>
      </c>
      <c r="BW175" s="2">
        <v>1</v>
      </c>
      <c r="BX175" s="2">
        <v>1</v>
      </c>
      <c r="BY175" s="2" t="s">
        <v>224</v>
      </c>
      <c r="BZ175" s="2">
        <v>0</v>
      </c>
      <c r="CA175" s="2">
        <v>0</v>
      </c>
      <c r="CB175" s="2"/>
      <c r="CC175" s="2"/>
      <c r="CD175" s="2"/>
      <c r="CE175" s="2"/>
      <c r="CF175" s="2">
        <v>0</v>
      </c>
      <c r="CG175" s="2">
        <v>0</v>
      </c>
      <c r="CH175" s="2"/>
      <c r="CI175" s="2"/>
      <c r="CJ175" s="2"/>
      <c r="CK175" s="2"/>
      <c r="CL175" s="2"/>
      <c r="CM175" s="2">
        <v>0</v>
      </c>
      <c r="CN175" s="2" t="s">
        <v>224</v>
      </c>
      <c r="CO175" s="2">
        <v>0</v>
      </c>
      <c r="CP175" s="2">
        <f>AB175*AZ175</f>
        <v>14.03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/>
      <c r="DB175" s="2"/>
      <c r="DC175" s="2" t="s">
        <v>224</v>
      </c>
      <c r="DD175" s="2" t="s">
        <v>224</v>
      </c>
      <c r="DE175" s="2" t="s">
        <v>224</v>
      </c>
      <c r="DF175" s="2" t="s">
        <v>224</v>
      </c>
      <c r="DG175" s="2" t="s">
        <v>224</v>
      </c>
      <c r="DH175" s="2" t="s">
        <v>224</v>
      </c>
      <c r="DI175" s="2" t="s">
        <v>224</v>
      </c>
      <c r="DJ175" s="2" t="s">
        <v>224</v>
      </c>
      <c r="DK175" s="2" t="s">
        <v>224</v>
      </c>
      <c r="DL175" s="2" t="s">
        <v>224</v>
      </c>
      <c r="DM175" s="2" t="s">
        <v>224</v>
      </c>
      <c r="DN175" s="2">
        <v>0</v>
      </c>
      <c r="DO175" s="2">
        <v>0</v>
      </c>
      <c r="DP175" s="2">
        <v>1</v>
      </c>
      <c r="DQ175" s="2">
        <v>1</v>
      </c>
      <c r="DR175" s="2"/>
      <c r="DS175" s="2"/>
      <c r="DT175" s="2"/>
      <c r="DU175" s="2">
        <v>1013</v>
      </c>
      <c r="DV175" s="2" t="s">
        <v>549</v>
      </c>
      <c r="DW175" s="2" t="s">
        <v>549</v>
      </c>
      <c r="DX175" s="2">
        <v>1</v>
      </c>
      <c r="DY175" s="2"/>
      <c r="DZ175" s="2"/>
      <c r="EA175" s="2"/>
      <c r="EB175" s="2"/>
      <c r="EC175" s="2"/>
      <c r="ED175" s="2"/>
      <c r="EE175" s="2">
        <v>15139292</v>
      </c>
      <c r="EF175" s="2">
        <v>10</v>
      </c>
      <c r="EG175" s="2" t="s">
        <v>558</v>
      </c>
      <c r="EH175" s="2">
        <v>0</v>
      </c>
      <c r="EI175" s="2" t="s">
        <v>224</v>
      </c>
      <c r="EJ175" s="2">
        <v>1</v>
      </c>
      <c r="EK175" s="2">
        <v>700005</v>
      </c>
      <c r="EL175" s="2" t="s">
        <v>559</v>
      </c>
      <c r="EM175" s="2" t="s">
        <v>560</v>
      </c>
      <c r="EN175" s="2"/>
      <c r="EO175" s="2" t="s">
        <v>224</v>
      </c>
      <c r="EP175" s="2"/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>
        <v>0</v>
      </c>
      <c r="FR175" s="2">
        <f t="shared" si="190"/>
        <v>0</v>
      </c>
      <c r="FS175" s="2">
        <v>0</v>
      </c>
      <c r="FT175" s="2"/>
      <c r="FU175" s="2"/>
      <c r="FV175" s="2"/>
      <c r="FW175" s="2"/>
      <c r="FX175" s="2">
        <v>0</v>
      </c>
      <c r="FY175" s="2">
        <v>0</v>
      </c>
      <c r="FZ175" s="2"/>
      <c r="GA175" s="2" t="s">
        <v>224</v>
      </c>
      <c r="GB175" s="2"/>
      <c r="GC175" s="2"/>
      <c r="GD175" s="2">
        <v>0</v>
      </c>
      <c r="GE175" s="2"/>
      <c r="GF175" s="2">
        <v>2022151242</v>
      </c>
      <c r="GG175" s="2">
        <v>2</v>
      </c>
      <c r="GH175" s="2">
        <v>1</v>
      </c>
      <c r="GI175" s="2">
        <v>-2</v>
      </c>
      <c r="GJ175" s="2">
        <v>2</v>
      </c>
      <c r="GK175" s="2">
        <f>ROUND(R175*(R12)/100,2)</f>
        <v>0</v>
      </c>
      <c r="GL175" s="2">
        <f t="shared" si="191"/>
        <v>0</v>
      </c>
      <c r="GM175" s="2">
        <f>ROUND(CP175*I175,2)</f>
        <v>21.05</v>
      </c>
      <c r="GN175" s="2">
        <f>IF(OR(BI175=0,BI175=1),ROUND(CP175*I175,2),0)</f>
        <v>21.05</v>
      </c>
      <c r="GO175" s="2">
        <f>IF(BI175=2,ROUND(CP175*I175,2),0)</f>
        <v>0</v>
      </c>
      <c r="GP175" s="2">
        <f>IF(BI175=4,ROUND(CP175*I175,2)+GX175,0)</f>
        <v>0</v>
      </c>
      <c r="GQ175" s="2"/>
      <c r="GR175" s="2">
        <v>0</v>
      </c>
      <c r="GS175" s="2">
        <v>3</v>
      </c>
      <c r="GT175" s="2"/>
      <c r="GU175" s="2" t="s">
        <v>224</v>
      </c>
      <c r="GV175" s="2">
        <f>0</f>
        <v>0</v>
      </c>
      <c r="GW175" s="2">
        <v>1</v>
      </c>
      <c r="GX175" s="2">
        <f t="shared" si="197"/>
        <v>0</v>
      </c>
      <c r="GY175" s="2">
        <v>0</v>
      </c>
      <c r="GZ175" s="2">
        <v>0</v>
      </c>
      <c r="HA175" s="2">
        <v>0</v>
      </c>
      <c r="HB175" s="2">
        <v>0</v>
      </c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>
        <v>0</v>
      </c>
      <c r="IL175" s="2"/>
      <c r="IM175" s="2"/>
      <c r="IN175" s="2"/>
      <c r="IO175" s="2"/>
      <c r="IP175" s="2"/>
      <c r="IQ175" s="2"/>
      <c r="IR175" s="2"/>
      <c r="IS175" s="2"/>
      <c r="IT175" s="2"/>
      <c r="IU175" s="2"/>
    </row>
    <row r="176" spans="1:255" x14ac:dyDescent="0.2">
      <c r="A176">
        <v>17</v>
      </c>
      <c r="B176">
        <v>1</v>
      </c>
      <c r="E176" t="s">
        <v>554</v>
      </c>
      <c r="F176" t="s">
        <v>555</v>
      </c>
      <c r="G176" t="s">
        <v>556</v>
      </c>
      <c r="H176" t="s">
        <v>549</v>
      </c>
      <c r="I176">
        <v>1.5</v>
      </c>
      <c r="J176">
        <v>0</v>
      </c>
      <c r="O176">
        <f>0</f>
        <v>0</v>
      </c>
      <c r="P176">
        <f>0</f>
        <v>0</v>
      </c>
      <c r="Q176">
        <f>0</f>
        <v>0</v>
      </c>
      <c r="R176">
        <f>0</f>
        <v>0</v>
      </c>
      <c r="S176">
        <f>0</f>
        <v>0</v>
      </c>
      <c r="T176">
        <f>0</f>
        <v>0</v>
      </c>
      <c r="U176">
        <f>0</f>
        <v>0</v>
      </c>
      <c r="V176">
        <f>0</f>
        <v>0</v>
      </c>
      <c r="W176">
        <f>0</f>
        <v>0</v>
      </c>
      <c r="X176">
        <f>0</f>
        <v>0</v>
      </c>
      <c r="Y176">
        <f>0</f>
        <v>0</v>
      </c>
      <c r="AA176">
        <v>16499878</v>
      </c>
      <c r="AB176">
        <f>ROUND((AK176),6)</f>
        <v>14.03</v>
      </c>
      <c r="AC176">
        <f>0</f>
        <v>0</v>
      </c>
      <c r="AD176">
        <f>0</f>
        <v>0</v>
      </c>
      <c r="AE176">
        <f>0</f>
        <v>0</v>
      </c>
      <c r="AF176">
        <f>0</f>
        <v>0</v>
      </c>
      <c r="AG176">
        <f>0</f>
        <v>0</v>
      </c>
      <c r="AH176">
        <f>0</f>
        <v>0</v>
      </c>
      <c r="AI176">
        <f>0</f>
        <v>0</v>
      </c>
      <c r="AJ176">
        <f>0</f>
        <v>0</v>
      </c>
      <c r="AK176">
        <v>14.03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1</v>
      </c>
      <c r="AW176">
        <v>1</v>
      </c>
      <c r="AZ176">
        <v>6.08</v>
      </c>
      <c r="BA176">
        <v>1</v>
      </c>
      <c r="BB176">
        <v>1</v>
      </c>
      <c r="BC176">
        <v>1</v>
      </c>
      <c r="BD176" t="s">
        <v>224</v>
      </c>
      <c r="BE176" t="s">
        <v>224</v>
      </c>
      <c r="BF176" t="s">
        <v>224</v>
      </c>
      <c r="BG176" t="s">
        <v>224</v>
      </c>
      <c r="BH176">
        <v>0</v>
      </c>
      <c r="BI176">
        <v>1</v>
      </c>
      <c r="BJ176" t="s">
        <v>557</v>
      </c>
      <c r="BM176">
        <v>700005</v>
      </c>
      <c r="BN176">
        <v>0</v>
      </c>
      <c r="BO176" t="s">
        <v>224</v>
      </c>
      <c r="BP176">
        <v>0</v>
      </c>
      <c r="BQ176">
        <v>10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224</v>
      </c>
      <c r="BZ176">
        <v>0</v>
      </c>
      <c r="CA176">
        <v>0</v>
      </c>
      <c r="CF176">
        <v>0</v>
      </c>
      <c r="CG176">
        <v>0</v>
      </c>
      <c r="CM176">
        <v>0</v>
      </c>
      <c r="CN176" t="s">
        <v>224</v>
      </c>
      <c r="CO176">
        <v>0</v>
      </c>
      <c r="CP176">
        <f>AB176*AZ176</f>
        <v>85.302399999999992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C176" t="s">
        <v>224</v>
      </c>
      <c r="DD176" t="s">
        <v>224</v>
      </c>
      <c r="DE176" t="s">
        <v>224</v>
      </c>
      <c r="DF176" t="s">
        <v>224</v>
      </c>
      <c r="DG176" t="s">
        <v>224</v>
      </c>
      <c r="DH176" t="s">
        <v>224</v>
      </c>
      <c r="DI176" t="s">
        <v>224</v>
      </c>
      <c r="DJ176" t="s">
        <v>224</v>
      </c>
      <c r="DK176" t="s">
        <v>224</v>
      </c>
      <c r="DL176" t="s">
        <v>224</v>
      </c>
      <c r="DM176" t="s">
        <v>224</v>
      </c>
      <c r="DN176">
        <v>0</v>
      </c>
      <c r="DO176">
        <v>0</v>
      </c>
      <c r="DP176">
        <v>1</v>
      </c>
      <c r="DQ176">
        <v>1</v>
      </c>
      <c r="DU176">
        <v>1013</v>
      </c>
      <c r="DV176" t="s">
        <v>549</v>
      </c>
      <c r="DW176" t="s">
        <v>549</v>
      </c>
      <c r="DX176">
        <v>1</v>
      </c>
      <c r="EE176">
        <v>15139292</v>
      </c>
      <c r="EF176">
        <v>10</v>
      </c>
      <c r="EG176" t="s">
        <v>558</v>
      </c>
      <c r="EH176">
        <v>0</v>
      </c>
      <c r="EI176" t="s">
        <v>224</v>
      </c>
      <c r="EJ176">
        <v>1</v>
      </c>
      <c r="EK176">
        <v>700005</v>
      </c>
      <c r="EL176" t="s">
        <v>559</v>
      </c>
      <c r="EM176" t="s">
        <v>560</v>
      </c>
      <c r="EO176" t="s">
        <v>224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FQ176">
        <v>0</v>
      </c>
      <c r="FR176">
        <f t="shared" si="190"/>
        <v>0</v>
      </c>
      <c r="FS176">
        <v>0</v>
      </c>
      <c r="FX176">
        <v>0</v>
      </c>
      <c r="FY176">
        <v>0</v>
      </c>
      <c r="GA176" t="s">
        <v>224</v>
      </c>
      <c r="GD176">
        <v>0</v>
      </c>
      <c r="GF176">
        <v>2022151242</v>
      </c>
      <c r="GG176">
        <v>1</v>
      </c>
      <c r="GH176">
        <v>1</v>
      </c>
      <c r="GI176">
        <v>4</v>
      </c>
      <c r="GJ176">
        <v>2</v>
      </c>
      <c r="GK176">
        <f>ROUND(R176*(S12)/100,2)</f>
        <v>0</v>
      </c>
      <c r="GL176">
        <f t="shared" si="191"/>
        <v>0</v>
      </c>
      <c r="GM176">
        <f>ROUND(CP176*I176,2)</f>
        <v>127.95</v>
      </c>
      <c r="GN176">
        <f>IF(OR(BI176=0,BI176=1),ROUND(CP176*I176,2),0)</f>
        <v>127.95</v>
      </c>
      <c r="GO176">
        <f>IF(BI176=2,ROUND(CP176*I176,2),0)</f>
        <v>0</v>
      </c>
      <c r="GP176">
        <f>IF(BI176=4,ROUND(CP176*I176,2)+GX176,0)</f>
        <v>0</v>
      </c>
      <c r="GR176">
        <v>0</v>
      </c>
      <c r="GS176">
        <v>3</v>
      </c>
      <c r="GU176" t="s">
        <v>224</v>
      </c>
      <c r="GV176">
        <f>0</f>
        <v>0</v>
      </c>
      <c r="GW176">
        <v>1</v>
      </c>
      <c r="GX176">
        <f t="shared" si="197"/>
        <v>0</v>
      </c>
      <c r="GY176">
        <v>0</v>
      </c>
      <c r="GZ176">
        <v>0</v>
      </c>
      <c r="HA176">
        <v>0</v>
      </c>
      <c r="HB176">
        <v>0</v>
      </c>
      <c r="IK176">
        <v>0</v>
      </c>
    </row>
    <row r="178" spans="1:206" x14ac:dyDescent="0.2">
      <c r="A178" s="3">
        <v>51</v>
      </c>
      <c r="B178" s="3">
        <f>B145</f>
        <v>1</v>
      </c>
      <c r="C178" s="3">
        <f>A145</f>
        <v>4</v>
      </c>
      <c r="D178" s="3">
        <f>ROW(A145)</f>
        <v>145</v>
      </c>
      <c r="E178" s="3"/>
      <c r="F178" s="3" t="str">
        <f>IF(F145&lt;&gt;"",F145,"")</f>
        <v>Новый раздел</v>
      </c>
      <c r="G178" s="3" t="str">
        <f>IF(G145&lt;&gt;"",G145,"")</f>
        <v>Сантехнические работы</v>
      </c>
      <c r="H178" s="3">
        <v>0</v>
      </c>
      <c r="I178" s="3"/>
      <c r="J178" s="3"/>
      <c r="K178" s="3"/>
      <c r="L178" s="3"/>
      <c r="M178" s="3"/>
      <c r="N178" s="3"/>
      <c r="O178" s="3">
        <f t="shared" ref="O178:T178" si="198">ROUND(AB178,2)</f>
        <v>529.51</v>
      </c>
      <c r="P178" s="3">
        <f t="shared" si="198"/>
        <v>482.47</v>
      </c>
      <c r="Q178" s="3">
        <f t="shared" si="198"/>
        <v>2.16</v>
      </c>
      <c r="R178" s="3">
        <f t="shared" si="198"/>
        <v>0.49</v>
      </c>
      <c r="S178" s="3">
        <f t="shared" si="198"/>
        <v>44.88</v>
      </c>
      <c r="T178" s="3">
        <f t="shared" si="198"/>
        <v>0</v>
      </c>
      <c r="U178" s="3">
        <f>AH178</f>
        <v>4.8714649999999997</v>
      </c>
      <c r="V178" s="3">
        <f>AI178</f>
        <v>3.8775000000000004E-2</v>
      </c>
      <c r="W178" s="3">
        <f>ROUND(AJ178,2)</f>
        <v>0</v>
      </c>
      <c r="X178" s="3">
        <f>ROUND(AK178,2)</f>
        <v>45.49</v>
      </c>
      <c r="Y178" s="3">
        <f>ROUND(AL178,2)</f>
        <v>28.8</v>
      </c>
      <c r="Z178" s="3"/>
      <c r="AA178" s="3"/>
      <c r="AB178" s="3">
        <f>ROUND(SUMIF(AA149:AA176,"=16499835",O149:O176),2)</f>
        <v>529.51</v>
      </c>
      <c r="AC178" s="3">
        <f>ROUND(SUMIF(AA149:AA176,"=16499835",P149:P176),2)</f>
        <v>482.47</v>
      </c>
      <c r="AD178" s="3">
        <f>ROUND(SUMIF(AA149:AA176,"=16499835",Q149:Q176),2)</f>
        <v>2.16</v>
      </c>
      <c r="AE178" s="3">
        <f>ROUND(SUMIF(AA149:AA176,"=16499835",R149:R176),2)</f>
        <v>0.49</v>
      </c>
      <c r="AF178" s="3">
        <f>ROUND(SUMIF(AA149:AA176,"=16499835",S149:S176),2)</f>
        <v>44.88</v>
      </c>
      <c r="AG178" s="3">
        <f>ROUND(SUMIF(AA149:AA176,"=16499835",T149:T176),2)</f>
        <v>0</v>
      </c>
      <c r="AH178" s="3">
        <f>SUMIF(AA149:AA176,"=16499835",U149:U176)</f>
        <v>4.8714649999999997</v>
      </c>
      <c r="AI178" s="3">
        <f>SUMIF(AA149:AA176,"=16499835",V149:V176)</f>
        <v>3.8775000000000004E-2</v>
      </c>
      <c r="AJ178" s="3">
        <f>ROUND(SUMIF(AA149:AA176,"=16499835",W149:W176),2)</f>
        <v>0</v>
      </c>
      <c r="AK178" s="3">
        <f>ROUND(SUMIF(AA149:AA176,"=16499835",X149:X176),2)</f>
        <v>45.49</v>
      </c>
      <c r="AL178" s="3">
        <f>ROUND(SUMIF(AA149:AA176,"=16499835",Y149:Y176),2)</f>
        <v>28.8</v>
      </c>
      <c r="AM178" s="3"/>
      <c r="AN178" s="3"/>
      <c r="AO178" s="3">
        <f t="shared" ref="AO178:BC178" si="199">ROUND(BX178,2)</f>
        <v>0</v>
      </c>
      <c r="AP178" s="3">
        <f t="shared" si="199"/>
        <v>0</v>
      </c>
      <c r="AQ178" s="3">
        <f t="shared" si="199"/>
        <v>0</v>
      </c>
      <c r="AR178" s="3">
        <f t="shared" si="199"/>
        <v>689.32</v>
      </c>
      <c r="AS178" s="3">
        <f t="shared" si="199"/>
        <v>689.32</v>
      </c>
      <c r="AT178" s="3">
        <f t="shared" si="199"/>
        <v>0</v>
      </c>
      <c r="AU178" s="3">
        <f t="shared" si="199"/>
        <v>0</v>
      </c>
      <c r="AV178" s="3">
        <f t="shared" si="199"/>
        <v>482.47</v>
      </c>
      <c r="AW178" s="3">
        <f t="shared" si="199"/>
        <v>482.47</v>
      </c>
      <c r="AX178" s="3">
        <f t="shared" si="199"/>
        <v>0</v>
      </c>
      <c r="AY178" s="3">
        <f t="shared" si="199"/>
        <v>482.47</v>
      </c>
      <c r="AZ178" s="3">
        <f t="shared" si="199"/>
        <v>0</v>
      </c>
      <c r="BA178" s="3">
        <f t="shared" si="199"/>
        <v>0</v>
      </c>
      <c r="BB178" s="3">
        <f t="shared" si="199"/>
        <v>0</v>
      </c>
      <c r="BC178" s="3">
        <f t="shared" si="199"/>
        <v>0</v>
      </c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>
        <f>ROUND(SUMIF(AA149:AA176,"=16499835",FQ149:FQ176),2)</f>
        <v>0</v>
      </c>
      <c r="BY178" s="3">
        <f>ROUND(SUMIF(AA149:AA176,"=16499835",FR149:FR176),2)</f>
        <v>0</v>
      </c>
      <c r="BZ178" s="3">
        <f>ROUND(SUMIF(AA149:AA176,"=16499835",GL149:GL176),2)</f>
        <v>0</v>
      </c>
      <c r="CA178" s="3">
        <f>ROUND(SUMIF(AA149:AA176,"=16499835",GM149:GM176),2)</f>
        <v>689.32</v>
      </c>
      <c r="CB178" s="3">
        <f>ROUND(SUMIF(AA149:AA176,"=16499835",GN149:GN176),2)</f>
        <v>689.32</v>
      </c>
      <c r="CC178" s="3">
        <f>ROUND(SUMIF(AA149:AA176,"=16499835",GO149:GO176),2)</f>
        <v>0</v>
      </c>
      <c r="CD178" s="3">
        <f>ROUND(SUMIF(AA149:AA176,"=16499835",GP149:GP176),2)</f>
        <v>0</v>
      </c>
      <c r="CE178" s="3">
        <f>AC178-BX178</f>
        <v>482.47</v>
      </c>
      <c r="CF178" s="3">
        <f>AC178-BY178</f>
        <v>482.47</v>
      </c>
      <c r="CG178" s="3">
        <f>BX178-BZ178</f>
        <v>0</v>
      </c>
      <c r="CH178" s="3">
        <f>AC178-BX178-BY178+BZ178</f>
        <v>482.47</v>
      </c>
      <c r="CI178" s="3">
        <f>BY178-BZ178</f>
        <v>0</v>
      </c>
      <c r="CJ178" s="3">
        <f>ROUND(SUMIF(AA149:AA176,"=16499835",GX149:GX176),2)</f>
        <v>0</v>
      </c>
      <c r="CK178" s="3">
        <f>ROUND(SUMIF(AA149:AA176,"=16499835",GY149:GY176),2)</f>
        <v>0</v>
      </c>
      <c r="CL178" s="3">
        <f>ROUND(SUMIF(AA149:AA176,"=16499835",GZ149:GZ176),2)</f>
        <v>0</v>
      </c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4">
        <f t="shared" ref="DG178:DL178" si="200">ROUND(DT178,2)</f>
        <v>3219.46</v>
      </c>
      <c r="DH178" s="4">
        <f t="shared" si="200"/>
        <v>2933.44</v>
      </c>
      <c r="DI178" s="4">
        <f t="shared" si="200"/>
        <v>13.18</v>
      </c>
      <c r="DJ178" s="4">
        <f t="shared" si="200"/>
        <v>2.92</v>
      </c>
      <c r="DK178" s="4">
        <f t="shared" si="200"/>
        <v>272.83999999999997</v>
      </c>
      <c r="DL178" s="4">
        <f t="shared" si="200"/>
        <v>0</v>
      </c>
      <c r="DM178" s="4">
        <f>DZ178</f>
        <v>4.8714649999999997</v>
      </c>
      <c r="DN178" s="4">
        <f>EA178</f>
        <v>3.8775000000000004E-2</v>
      </c>
      <c r="DO178" s="4">
        <f>ROUND(EB178,2)</f>
        <v>0</v>
      </c>
      <c r="DP178" s="4">
        <f>ROUND(EC178,2)</f>
        <v>276.52</v>
      </c>
      <c r="DQ178" s="4">
        <f>ROUND(ED178,2)</f>
        <v>175</v>
      </c>
      <c r="DR178" s="4"/>
      <c r="DS178" s="4"/>
      <c r="DT178" s="4">
        <f>ROUND(SUMIF(AA149:AA176,"=16499878",O149:O176),2)</f>
        <v>3219.46</v>
      </c>
      <c r="DU178" s="4">
        <f>ROUND(SUMIF(AA149:AA176,"=16499878",P149:P176),2)</f>
        <v>2933.44</v>
      </c>
      <c r="DV178" s="4">
        <f>ROUND(SUMIF(AA149:AA176,"=16499878",Q149:Q176),2)</f>
        <v>13.18</v>
      </c>
      <c r="DW178" s="4">
        <f>ROUND(SUMIF(AA149:AA176,"=16499878",R149:R176),2)</f>
        <v>2.92</v>
      </c>
      <c r="DX178" s="4">
        <f>ROUND(SUMIF(AA149:AA176,"=16499878",S149:S176),2)</f>
        <v>272.83999999999997</v>
      </c>
      <c r="DY178" s="4">
        <f>ROUND(SUMIF(AA149:AA176,"=16499878",T149:T176),2)</f>
        <v>0</v>
      </c>
      <c r="DZ178" s="4">
        <f>SUMIF(AA149:AA176,"=16499878",U149:U176)</f>
        <v>4.8714649999999997</v>
      </c>
      <c r="EA178" s="4">
        <f>SUMIF(AA149:AA176,"=16499878",V149:V176)</f>
        <v>3.8775000000000004E-2</v>
      </c>
      <c r="EB178" s="4">
        <f>ROUND(SUMIF(AA149:AA176,"=16499878",W149:W176),2)</f>
        <v>0</v>
      </c>
      <c r="EC178" s="4">
        <f>ROUND(SUMIF(AA149:AA176,"=16499878",X149:X176),2)</f>
        <v>276.52</v>
      </c>
      <c r="ED178" s="4">
        <f>ROUND(SUMIF(AA149:AA176,"=16499878",Y149:Y176),2)</f>
        <v>175</v>
      </c>
      <c r="EE178" s="4"/>
      <c r="EF178" s="4"/>
      <c r="EG178" s="4">
        <f t="shared" ref="EG178:EU178" si="201">ROUND(FP178,2)</f>
        <v>0</v>
      </c>
      <c r="EH178" s="4">
        <f t="shared" si="201"/>
        <v>0</v>
      </c>
      <c r="EI178" s="4">
        <f t="shared" si="201"/>
        <v>0</v>
      </c>
      <c r="EJ178" s="4">
        <f t="shared" si="201"/>
        <v>4190.91</v>
      </c>
      <c r="EK178" s="4">
        <f t="shared" si="201"/>
        <v>4190.91</v>
      </c>
      <c r="EL178" s="4">
        <f t="shared" si="201"/>
        <v>0</v>
      </c>
      <c r="EM178" s="4">
        <f t="shared" si="201"/>
        <v>0</v>
      </c>
      <c r="EN178" s="4">
        <f t="shared" si="201"/>
        <v>2933.44</v>
      </c>
      <c r="EO178" s="4">
        <f t="shared" si="201"/>
        <v>2933.44</v>
      </c>
      <c r="EP178" s="4">
        <f t="shared" si="201"/>
        <v>0</v>
      </c>
      <c r="EQ178" s="4">
        <f t="shared" si="201"/>
        <v>2933.44</v>
      </c>
      <c r="ER178" s="4">
        <f t="shared" si="201"/>
        <v>0</v>
      </c>
      <c r="ES178" s="4">
        <f t="shared" si="201"/>
        <v>0</v>
      </c>
      <c r="ET178" s="4">
        <f t="shared" si="201"/>
        <v>0</v>
      </c>
      <c r="EU178" s="4">
        <f t="shared" si="201"/>
        <v>0</v>
      </c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>
        <f>ROUND(SUMIF(AA149:AA176,"=16499878",FQ149:FQ176),2)</f>
        <v>0</v>
      </c>
      <c r="FQ178" s="4">
        <f>ROUND(SUMIF(AA149:AA176,"=16499878",FR149:FR176),2)</f>
        <v>0</v>
      </c>
      <c r="FR178" s="4">
        <f>ROUND(SUMIF(AA149:AA176,"=16499878",GL149:GL176),2)</f>
        <v>0</v>
      </c>
      <c r="FS178" s="4">
        <f>ROUND(SUMIF(AA149:AA176,"=16499878",GM149:GM176),2)</f>
        <v>4190.91</v>
      </c>
      <c r="FT178" s="4">
        <f>ROUND(SUMIF(AA149:AA176,"=16499878",GN149:GN176),2)</f>
        <v>4190.91</v>
      </c>
      <c r="FU178" s="4">
        <f>ROUND(SUMIF(AA149:AA176,"=16499878",GO149:GO176),2)</f>
        <v>0</v>
      </c>
      <c r="FV178" s="4">
        <f>ROUND(SUMIF(AA149:AA176,"=16499878",GP149:GP176),2)</f>
        <v>0</v>
      </c>
      <c r="FW178" s="4">
        <f>DU178-FP178</f>
        <v>2933.44</v>
      </c>
      <c r="FX178" s="4">
        <f>DU178-FQ178</f>
        <v>2933.44</v>
      </c>
      <c r="FY178" s="4">
        <f>FP178-FR178</f>
        <v>0</v>
      </c>
      <c r="FZ178" s="4">
        <f>DU178-FP178-FQ178+FR178</f>
        <v>2933.44</v>
      </c>
      <c r="GA178" s="4">
        <f>FQ178-FR178</f>
        <v>0</v>
      </c>
      <c r="GB178" s="4">
        <f>ROUND(SUMIF(AA149:AA176,"=16499878",GX149:GX176),2)</f>
        <v>0</v>
      </c>
      <c r="GC178" s="4">
        <f>ROUND(SUMIF(AA149:AA176,"=16499878",GY149:GY176),2)</f>
        <v>0</v>
      </c>
      <c r="GD178" s="4">
        <f>ROUND(SUMIF(AA149:AA176,"=16499878",GZ149:GZ176),2)</f>
        <v>0</v>
      </c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>
        <v>0</v>
      </c>
    </row>
    <row r="180" spans="1:206" x14ac:dyDescent="0.2">
      <c r="A180" s="5">
        <v>50</v>
      </c>
      <c r="B180" s="5">
        <v>0</v>
      </c>
      <c r="C180" s="5">
        <v>0</v>
      </c>
      <c r="D180" s="5">
        <v>1</v>
      </c>
      <c r="E180" s="5">
        <v>201</v>
      </c>
      <c r="F180" s="5">
        <f>ROUND(Source!O178,O180)</f>
        <v>529.51</v>
      </c>
      <c r="G180" s="5" t="s">
        <v>430</v>
      </c>
      <c r="H180" s="5" t="s">
        <v>431</v>
      </c>
      <c r="I180" s="5"/>
      <c r="J180" s="5"/>
      <c r="K180" s="5">
        <v>201</v>
      </c>
      <c r="L180" s="5">
        <v>1</v>
      </c>
      <c r="M180" s="5">
        <v>3</v>
      </c>
      <c r="N180" s="5" t="s">
        <v>224</v>
      </c>
      <c r="O180" s="5">
        <v>2</v>
      </c>
      <c r="P180" s="5">
        <f>ROUND(Source!DG178,O180)</f>
        <v>3219.46</v>
      </c>
      <c r="Q180" s="5"/>
      <c r="R180" s="5"/>
      <c r="S180" s="5"/>
      <c r="T180" s="5"/>
      <c r="U180" s="5"/>
      <c r="V180" s="5"/>
      <c r="W180" s="5"/>
    </row>
    <row r="181" spans="1:206" x14ac:dyDescent="0.2">
      <c r="A181" s="5">
        <v>50</v>
      </c>
      <c r="B181" s="5">
        <v>0</v>
      </c>
      <c r="C181" s="5">
        <v>0</v>
      </c>
      <c r="D181" s="5">
        <v>1</v>
      </c>
      <c r="E181" s="5">
        <v>202</v>
      </c>
      <c r="F181" s="5">
        <f>ROUND(Source!P178,O181)</f>
        <v>482.47</v>
      </c>
      <c r="G181" s="5" t="s">
        <v>432</v>
      </c>
      <c r="H181" s="5" t="s">
        <v>433</v>
      </c>
      <c r="I181" s="5"/>
      <c r="J181" s="5"/>
      <c r="K181" s="5">
        <v>202</v>
      </c>
      <c r="L181" s="5">
        <v>2</v>
      </c>
      <c r="M181" s="5">
        <v>3</v>
      </c>
      <c r="N181" s="5" t="s">
        <v>224</v>
      </c>
      <c r="O181" s="5">
        <v>2</v>
      </c>
      <c r="P181" s="5">
        <f>ROUND(Source!DH178,O181)</f>
        <v>2933.44</v>
      </c>
      <c r="Q181" s="5"/>
      <c r="R181" s="5"/>
      <c r="S181" s="5"/>
      <c r="T181" s="5"/>
      <c r="U181" s="5"/>
      <c r="V181" s="5"/>
      <c r="W181" s="5"/>
    </row>
    <row r="182" spans="1:206" x14ac:dyDescent="0.2">
      <c r="A182" s="5">
        <v>50</v>
      </c>
      <c r="B182" s="5">
        <v>0</v>
      </c>
      <c r="C182" s="5">
        <v>0</v>
      </c>
      <c r="D182" s="5">
        <v>1</v>
      </c>
      <c r="E182" s="5">
        <v>222</v>
      </c>
      <c r="F182" s="5">
        <f>ROUND(Source!AO178,O182)</f>
        <v>0</v>
      </c>
      <c r="G182" s="5" t="s">
        <v>434</v>
      </c>
      <c r="H182" s="5" t="s">
        <v>435</v>
      </c>
      <c r="I182" s="5"/>
      <c r="J182" s="5"/>
      <c r="K182" s="5">
        <v>222</v>
      </c>
      <c r="L182" s="5">
        <v>3</v>
      </c>
      <c r="M182" s="5">
        <v>3</v>
      </c>
      <c r="N182" s="5" t="s">
        <v>224</v>
      </c>
      <c r="O182" s="5">
        <v>2</v>
      </c>
      <c r="P182" s="5">
        <f>ROUND(Source!EG178,O182)</f>
        <v>0</v>
      </c>
      <c r="Q182" s="5"/>
      <c r="R182" s="5"/>
      <c r="S182" s="5"/>
      <c r="T182" s="5"/>
      <c r="U182" s="5"/>
      <c r="V182" s="5"/>
      <c r="W182" s="5"/>
    </row>
    <row r="183" spans="1:206" x14ac:dyDescent="0.2">
      <c r="A183" s="5">
        <v>50</v>
      </c>
      <c r="B183" s="5">
        <v>0</v>
      </c>
      <c r="C183" s="5">
        <v>0</v>
      </c>
      <c r="D183" s="5">
        <v>1</v>
      </c>
      <c r="E183" s="5">
        <v>225</v>
      </c>
      <c r="F183" s="5">
        <f>ROUND(Source!AV178,O183)</f>
        <v>482.47</v>
      </c>
      <c r="G183" s="5" t="s">
        <v>436</v>
      </c>
      <c r="H183" s="5" t="s">
        <v>437</v>
      </c>
      <c r="I183" s="5"/>
      <c r="J183" s="5"/>
      <c r="K183" s="5">
        <v>225</v>
      </c>
      <c r="L183" s="5">
        <v>4</v>
      </c>
      <c r="M183" s="5">
        <v>3</v>
      </c>
      <c r="N183" s="5" t="s">
        <v>224</v>
      </c>
      <c r="O183" s="5">
        <v>2</v>
      </c>
      <c r="P183" s="5">
        <f>ROUND(Source!EN178,O183)</f>
        <v>2933.44</v>
      </c>
      <c r="Q183" s="5"/>
      <c r="R183" s="5"/>
      <c r="S183" s="5"/>
      <c r="T183" s="5"/>
      <c r="U183" s="5"/>
      <c r="V183" s="5"/>
      <c r="W183" s="5"/>
    </row>
    <row r="184" spans="1:206" x14ac:dyDescent="0.2">
      <c r="A184" s="5">
        <v>50</v>
      </c>
      <c r="B184" s="5">
        <v>0</v>
      </c>
      <c r="C184" s="5">
        <v>0</v>
      </c>
      <c r="D184" s="5">
        <v>1</v>
      </c>
      <c r="E184" s="5">
        <v>226</v>
      </c>
      <c r="F184" s="5">
        <f>ROUND(Source!AW178,O184)</f>
        <v>482.47</v>
      </c>
      <c r="G184" s="5" t="s">
        <v>438</v>
      </c>
      <c r="H184" s="5" t="s">
        <v>439</v>
      </c>
      <c r="I184" s="5"/>
      <c r="J184" s="5"/>
      <c r="K184" s="5">
        <v>226</v>
      </c>
      <c r="L184" s="5">
        <v>5</v>
      </c>
      <c r="M184" s="5">
        <v>3</v>
      </c>
      <c r="N184" s="5" t="s">
        <v>224</v>
      </c>
      <c r="O184" s="5">
        <v>2</v>
      </c>
      <c r="P184" s="5">
        <f>ROUND(Source!EO178,O184)</f>
        <v>2933.44</v>
      </c>
      <c r="Q184" s="5"/>
      <c r="R184" s="5"/>
      <c r="S184" s="5"/>
      <c r="T184" s="5"/>
      <c r="U184" s="5"/>
      <c r="V184" s="5"/>
      <c r="W184" s="5"/>
    </row>
    <row r="185" spans="1:206" x14ac:dyDescent="0.2">
      <c r="A185" s="5">
        <v>50</v>
      </c>
      <c r="B185" s="5">
        <v>0</v>
      </c>
      <c r="C185" s="5">
        <v>0</v>
      </c>
      <c r="D185" s="5">
        <v>1</v>
      </c>
      <c r="E185" s="5">
        <v>227</v>
      </c>
      <c r="F185" s="5">
        <f>ROUND(Source!AX178,O185)</f>
        <v>0</v>
      </c>
      <c r="G185" s="5" t="s">
        <v>440</v>
      </c>
      <c r="H185" s="5" t="s">
        <v>441</v>
      </c>
      <c r="I185" s="5"/>
      <c r="J185" s="5"/>
      <c r="K185" s="5">
        <v>227</v>
      </c>
      <c r="L185" s="5">
        <v>6</v>
      </c>
      <c r="M185" s="5">
        <v>3</v>
      </c>
      <c r="N185" s="5" t="s">
        <v>224</v>
      </c>
      <c r="O185" s="5">
        <v>2</v>
      </c>
      <c r="P185" s="5">
        <f>ROUND(Source!EP178,O185)</f>
        <v>0</v>
      </c>
      <c r="Q185" s="5"/>
      <c r="R185" s="5"/>
      <c r="S185" s="5"/>
      <c r="T185" s="5"/>
      <c r="U185" s="5"/>
      <c r="V185" s="5"/>
      <c r="W185" s="5"/>
    </row>
    <row r="186" spans="1:206" x14ac:dyDescent="0.2">
      <c r="A186" s="5">
        <v>50</v>
      </c>
      <c r="B186" s="5">
        <v>0</v>
      </c>
      <c r="C186" s="5">
        <v>0</v>
      </c>
      <c r="D186" s="5">
        <v>1</v>
      </c>
      <c r="E186" s="5">
        <v>228</v>
      </c>
      <c r="F186" s="5">
        <f>ROUND(Source!AY178,O186)</f>
        <v>482.47</v>
      </c>
      <c r="G186" s="5" t="s">
        <v>442</v>
      </c>
      <c r="H186" s="5" t="s">
        <v>443</v>
      </c>
      <c r="I186" s="5"/>
      <c r="J186" s="5"/>
      <c r="K186" s="5">
        <v>228</v>
      </c>
      <c r="L186" s="5">
        <v>7</v>
      </c>
      <c r="M186" s="5">
        <v>3</v>
      </c>
      <c r="N186" s="5" t="s">
        <v>224</v>
      </c>
      <c r="O186" s="5">
        <v>2</v>
      </c>
      <c r="P186" s="5">
        <f>ROUND(Source!EQ178,O186)</f>
        <v>2933.44</v>
      </c>
      <c r="Q186" s="5"/>
      <c r="R186" s="5"/>
      <c r="S186" s="5"/>
      <c r="T186" s="5"/>
      <c r="U186" s="5"/>
      <c r="V186" s="5"/>
      <c r="W186" s="5"/>
    </row>
    <row r="187" spans="1:206" x14ac:dyDescent="0.2">
      <c r="A187" s="5">
        <v>50</v>
      </c>
      <c r="B187" s="5">
        <v>0</v>
      </c>
      <c r="C187" s="5">
        <v>0</v>
      </c>
      <c r="D187" s="5">
        <v>1</v>
      </c>
      <c r="E187" s="5">
        <v>216</v>
      </c>
      <c r="F187" s="5">
        <f>ROUND(Source!AP178,O187)</f>
        <v>0</v>
      </c>
      <c r="G187" s="5" t="s">
        <v>444</v>
      </c>
      <c r="H187" s="5" t="s">
        <v>445</v>
      </c>
      <c r="I187" s="5"/>
      <c r="J187" s="5"/>
      <c r="K187" s="5">
        <v>216</v>
      </c>
      <c r="L187" s="5">
        <v>8</v>
      </c>
      <c r="M187" s="5">
        <v>3</v>
      </c>
      <c r="N187" s="5" t="s">
        <v>224</v>
      </c>
      <c r="O187" s="5">
        <v>2</v>
      </c>
      <c r="P187" s="5">
        <f>ROUND(Source!EH178,O187)</f>
        <v>0</v>
      </c>
      <c r="Q187" s="5"/>
      <c r="R187" s="5"/>
      <c r="S187" s="5"/>
      <c r="T187" s="5"/>
      <c r="U187" s="5"/>
      <c r="V187" s="5"/>
      <c r="W187" s="5"/>
    </row>
    <row r="188" spans="1:206" x14ac:dyDescent="0.2">
      <c r="A188" s="5">
        <v>50</v>
      </c>
      <c r="B188" s="5">
        <v>0</v>
      </c>
      <c r="C188" s="5">
        <v>0</v>
      </c>
      <c r="D188" s="5">
        <v>1</v>
      </c>
      <c r="E188" s="5">
        <v>223</v>
      </c>
      <c r="F188" s="5">
        <f>ROUND(Source!AQ178,O188)</f>
        <v>0</v>
      </c>
      <c r="G188" s="5" t="s">
        <v>446</v>
      </c>
      <c r="H188" s="5" t="s">
        <v>447</v>
      </c>
      <c r="I188" s="5"/>
      <c r="J188" s="5"/>
      <c r="K188" s="5">
        <v>223</v>
      </c>
      <c r="L188" s="5">
        <v>9</v>
      </c>
      <c r="M188" s="5">
        <v>3</v>
      </c>
      <c r="N188" s="5" t="s">
        <v>224</v>
      </c>
      <c r="O188" s="5">
        <v>2</v>
      </c>
      <c r="P188" s="5">
        <f>ROUND(Source!EI178,O188)</f>
        <v>0</v>
      </c>
      <c r="Q188" s="5"/>
      <c r="R188" s="5"/>
      <c r="S188" s="5"/>
      <c r="T188" s="5"/>
      <c r="U188" s="5"/>
      <c r="V188" s="5"/>
      <c r="W188" s="5"/>
    </row>
    <row r="189" spans="1:206" x14ac:dyDescent="0.2">
      <c r="A189" s="5">
        <v>50</v>
      </c>
      <c r="B189" s="5">
        <v>0</v>
      </c>
      <c r="C189" s="5">
        <v>0</v>
      </c>
      <c r="D189" s="5">
        <v>1</v>
      </c>
      <c r="E189" s="5">
        <v>229</v>
      </c>
      <c r="F189" s="5">
        <f>ROUND(Source!AZ178,O189)</f>
        <v>0</v>
      </c>
      <c r="G189" s="5" t="s">
        <v>448</v>
      </c>
      <c r="H189" s="5" t="s">
        <v>449</v>
      </c>
      <c r="I189" s="5"/>
      <c r="J189" s="5"/>
      <c r="K189" s="5">
        <v>229</v>
      </c>
      <c r="L189" s="5">
        <v>10</v>
      </c>
      <c r="M189" s="5">
        <v>3</v>
      </c>
      <c r="N189" s="5" t="s">
        <v>224</v>
      </c>
      <c r="O189" s="5">
        <v>2</v>
      </c>
      <c r="P189" s="5">
        <f>ROUND(Source!ER178,O189)</f>
        <v>0</v>
      </c>
      <c r="Q189" s="5"/>
      <c r="R189" s="5"/>
      <c r="S189" s="5"/>
      <c r="T189" s="5"/>
      <c r="U189" s="5"/>
      <c r="V189" s="5"/>
      <c r="W189" s="5"/>
    </row>
    <row r="190" spans="1:206" x14ac:dyDescent="0.2">
      <c r="A190" s="5">
        <v>50</v>
      </c>
      <c r="B190" s="5">
        <v>0</v>
      </c>
      <c r="C190" s="5">
        <v>0</v>
      </c>
      <c r="D190" s="5">
        <v>1</v>
      </c>
      <c r="E190" s="5">
        <v>203</v>
      </c>
      <c r="F190" s="5">
        <f>ROUND(Source!Q178,O190)</f>
        <v>2.16</v>
      </c>
      <c r="G190" s="5" t="s">
        <v>450</v>
      </c>
      <c r="H190" s="5" t="s">
        <v>451</v>
      </c>
      <c r="I190" s="5"/>
      <c r="J190" s="5"/>
      <c r="K190" s="5">
        <v>203</v>
      </c>
      <c r="L190" s="5">
        <v>11</v>
      </c>
      <c r="M190" s="5">
        <v>3</v>
      </c>
      <c r="N190" s="5" t="s">
        <v>224</v>
      </c>
      <c r="O190" s="5">
        <v>2</v>
      </c>
      <c r="P190" s="5">
        <f>ROUND(Source!DI178,O190)</f>
        <v>13.18</v>
      </c>
      <c r="Q190" s="5"/>
      <c r="R190" s="5"/>
      <c r="S190" s="5"/>
      <c r="T190" s="5"/>
      <c r="U190" s="5"/>
      <c r="V190" s="5"/>
      <c r="W190" s="5"/>
    </row>
    <row r="191" spans="1:206" x14ac:dyDescent="0.2">
      <c r="A191" s="5">
        <v>50</v>
      </c>
      <c r="B191" s="5">
        <v>0</v>
      </c>
      <c r="C191" s="5">
        <v>0</v>
      </c>
      <c r="D191" s="5">
        <v>1</v>
      </c>
      <c r="E191" s="5">
        <v>231</v>
      </c>
      <c r="F191" s="5">
        <f>ROUND(Source!BB178,O191)</f>
        <v>0</v>
      </c>
      <c r="G191" s="5" t="s">
        <v>452</v>
      </c>
      <c r="H191" s="5" t="s">
        <v>453</v>
      </c>
      <c r="I191" s="5"/>
      <c r="J191" s="5"/>
      <c r="K191" s="5">
        <v>231</v>
      </c>
      <c r="L191" s="5">
        <v>12</v>
      </c>
      <c r="M191" s="5">
        <v>3</v>
      </c>
      <c r="N191" s="5" t="s">
        <v>224</v>
      </c>
      <c r="O191" s="5">
        <v>2</v>
      </c>
      <c r="P191" s="5">
        <f>ROUND(Source!ET178,O191)</f>
        <v>0</v>
      </c>
      <c r="Q191" s="5"/>
      <c r="R191" s="5"/>
      <c r="S191" s="5"/>
      <c r="T191" s="5"/>
      <c r="U191" s="5"/>
      <c r="V191" s="5"/>
      <c r="W191" s="5"/>
    </row>
    <row r="192" spans="1:206" x14ac:dyDescent="0.2">
      <c r="A192" s="5">
        <v>50</v>
      </c>
      <c r="B192" s="5">
        <v>0</v>
      </c>
      <c r="C192" s="5">
        <v>0</v>
      </c>
      <c r="D192" s="5">
        <v>1</v>
      </c>
      <c r="E192" s="5">
        <v>204</v>
      </c>
      <c r="F192" s="5">
        <f>ROUND(Source!R178,O192)</f>
        <v>0.49</v>
      </c>
      <c r="G192" s="5" t="s">
        <v>454</v>
      </c>
      <c r="H192" s="5" t="s">
        <v>455</v>
      </c>
      <c r="I192" s="5"/>
      <c r="J192" s="5"/>
      <c r="K192" s="5">
        <v>204</v>
      </c>
      <c r="L192" s="5">
        <v>13</v>
      </c>
      <c r="M192" s="5">
        <v>3</v>
      </c>
      <c r="N192" s="5" t="s">
        <v>224</v>
      </c>
      <c r="O192" s="5">
        <v>2</v>
      </c>
      <c r="P192" s="5">
        <f>ROUND(Source!DJ178,O192)</f>
        <v>2.92</v>
      </c>
      <c r="Q192" s="5"/>
      <c r="R192" s="5"/>
      <c r="S192" s="5"/>
      <c r="T192" s="5"/>
      <c r="U192" s="5"/>
      <c r="V192" s="5"/>
      <c r="W192" s="5"/>
    </row>
    <row r="193" spans="1:23" x14ac:dyDescent="0.2">
      <c r="A193" s="5">
        <v>50</v>
      </c>
      <c r="B193" s="5">
        <v>0</v>
      </c>
      <c r="C193" s="5">
        <v>0</v>
      </c>
      <c r="D193" s="5">
        <v>1</v>
      </c>
      <c r="E193" s="5">
        <v>205</v>
      </c>
      <c r="F193" s="5">
        <f>ROUND(Source!S178,O193)</f>
        <v>44.88</v>
      </c>
      <c r="G193" s="5" t="s">
        <v>456</v>
      </c>
      <c r="H193" s="5" t="s">
        <v>457</v>
      </c>
      <c r="I193" s="5"/>
      <c r="J193" s="5"/>
      <c r="K193" s="5">
        <v>205</v>
      </c>
      <c r="L193" s="5">
        <v>14</v>
      </c>
      <c r="M193" s="5">
        <v>3</v>
      </c>
      <c r="N193" s="5" t="s">
        <v>224</v>
      </c>
      <c r="O193" s="5">
        <v>2</v>
      </c>
      <c r="P193" s="5">
        <f>ROUND(Source!DK178,O193)</f>
        <v>272.83999999999997</v>
      </c>
      <c r="Q193" s="5"/>
      <c r="R193" s="5"/>
      <c r="S193" s="5"/>
      <c r="T193" s="5"/>
      <c r="U193" s="5"/>
      <c r="V193" s="5"/>
      <c r="W193" s="5"/>
    </row>
    <row r="194" spans="1:23" x14ac:dyDescent="0.2">
      <c r="A194" s="5">
        <v>50</v>
      </c>
      <c r="B194" s="5">
        <v>0</v>
      </c>
      <c r="C194" s="5">
        <v>0</v>
      </c>
      <c r="D194" s="5">
        <v>1</v>
      </c>
      <c r="E194" s="5">
        <v>232</v>
      </c>
      <c r="F194" s="5">
        <f>ROUND(Source!BC178,O194)</f>
        <v>0</v>
      </c>
      <c r="G194" s="5" t="s">
        <v>458</v>
      </c>
      <c r="H194" s="5" t="s">
        <v>459</v>
      </c>
      <c r="I194" s="5"/>
      <c r="J194" s="5"/>
      <c r="K194" s="5">
        <v>232</v>
      </c>
      <c r="L194" s="5">
        <v>15</v>
      </c>
      <c r="M194" s="5">
        <v>3</v>
      </c>
      <c r="N194" s="5" t="s">
        <v>224</v>
      </c>
      <c r="O194" s="5">
        <v>2</v>
      </c>
      <c r="P194" s="5">
        <f>ROUND(Source!EU178,O194)</f>
        <v>0</v>
      </c>
      <c r="Q194" s="5"/>
      <c r="R194" s="5"/>
      <c r="S194" s="5"/>
      <c r="T194" s="5"/>
      <c r="U194" s="5"/>
      <c r="V194" s="5"/>
      <c r="W194" s="5"/>
    </row>
    <row r="195" spans="1:23" x14ac:dyDescent="0.2">
      <c r="A195" s="5">
        <v>50</v>
      </c>
      <c r="B195" s="5">
        <v>0</v>
      </c>
      <c r="C195" s="5">
        <v>0</v>
      </c>
      <c r="D195" s="5">
        <v>1</v>
      </c>
      <c r="E195" s="5">
        <v>214</v>
      </c>
      <c r="F195" s="5">
        <f>ROUND(Source!AS178,O195)</f>
        <v>689.32</v>
      </c>
      <c r="G195" s="5" t="s">
        <v>460</v>
      </c>
      <c r="H195" s="5" t="s">
        <v>461</v>
      </c>
      <c r="I195" s="5"/>
      <c r="J195" s="5"/>
      <c r="K195" s="5">
        <v>214</v>
      </c>
      <c r="L195" s="5">
        <v>16</v>
      </c>
      <c r="M195" s="5">
        <v>3</v>
      </c>
      <c r="N195" s="5" t="s">
        <v>224</v>
      </c>
      <c r="O195" s="5">
        <v>2</v>
      </c>
      <c r="P195" s="5">
        <f>ROUND(Source!EK178,O195)</f>
        <v>4190.91</v>
      </c>
      <c r="Q195" s="5"/>
      <c r="R195" s="5"/>
      <c r="S195" s="5"/>
      <c r="T195" s="5"/>
      <c r="U195" s="5"/>
      <c r="V195" s="5"/>
      <c r="W195" s="5"/>
    </row>
    <row r="196" spans="1:23" x14ac:dyDescent="0.2">
      <c r="A196" s="5">
        <v>50</v>
      </c>
      <c r="B196" s="5">
        <v>0</v>
      </c>
      <c r="C196" s="5">
        <v>0</v>
      </c>
      <c r="D196" s="5">
        <v>1</v>
      </c>
      <c r="E196" s="5">
        <v>215</v>
      </c>
      <c r="F196" s="5">
        <f>ROUND(Source!AT178,O196)</f>
        <v>0</v>
      </c>
      <c r="G196" s="5" t="s">
        <v>462</v>
      </c>
      <c r="H196" s="5" t="s">
        <v>463</v>
      </c>
      <c r="I196" s="5"/>
      <c r="J196" s="5"/>
      <c r="K196" s="5">
        <v>215</v>
      </c>
      <c r="L196" s="5">
        <v>17</v>
      </c>
      <c r="M196" s="5">
        <v>3</v>
      </c>
      <c r="N196" s="5" t="s">
        <v>224</v>
      </c>
      <c r="O196" s="5">
        <v>2</v>
      </c>
      <c r="P196" s="5">
        <f>ROUND(Source!EL178,O196)</f>
        <v>0</v>
      </c>
      <c r="Q196" s="5"/>
      <c r="R196" s="5"/>
      <c r="S196" s="5"/>
      <c r="T196" s="5"/>
      <c r="U196" s="5"/>
      <c r="V196" s="5"/>
      <c r="W196" s="5"/>
    </row>
    <row r="197" spans="1:23" x14ac:dyDescent="0.2">
      <c r="A197" s="5">
        <v>50</v>
      </c>
      <c r="B197" s="5">
        <v>0</v>
      </c>
      <c r="C197" s="5">
        <v>0</v>
      </c>
      <c r="D197" s="5">
        <v>1</v>
      </c>
      <c r="E197" s="5">
        <v>217</v>
      </c>
      <c r="F197" s="5">
        <f>ROUND(Source!AU178,O197)</f>
        <v>0</v>
      </c>
      <c r="G197" s="5" t="s">
        <v>464</v>
      </c>
      <c r="H197" s="5" t="s">
        <v>465</v>
      </c>
      <c r="I197" s="5"/>
      <c r="J197" s="5"/>
      <c r="K197" s="5">
        <v>217</v>
      </c>
      <c r="L197" s="5">
        <v>18</v>
      </c>
      <c r="M197" s="5">
        <v>3</v>
      </c>
      <c r="N197" s="5" t="s">
        <v>224</v>
      </c>
      <c r="O197" s="5">
        <v>2</v>
      </c>
      <c r="P197" s="5">
        <f>ROUND(Source!EM178,O197)</f>
        <v>0</v>
      </c>
      <c r="Q197" s="5"/>
      <c r="R197" s="5"/>
      <c r="S197" s="5"/>
      <c r="T197" s="5"/>
      <c r="U197" s="5"/>
      <c r="V197" s="5"/>
      <c r="W197" s="5"/>
    </row>
    <row r="198" spans="1:23" x14ac:dyDescent="0.2">
      <c r="A198" s="5">
        <v>50</v>
      </c>
      <c r="B198" s="5">
        <v>0</v>
      </c>
      <c r="C198" s="5">
        <v>0</v>
      </c>
      <c r="D198" s="5">
        <v>1</v>
      </c>
      <c r="E198" s="5">
        <v>230</v>
      </c>
      <c r="F198" s="5">
        <f>ROUND(Source!BA178,O198)</f>
        <v>0</v>
      </c>
      <c r="G198" s="5" t="s">
        <v>466</v>
      </c>
      <c r="H198" s="5" t="s">
        <v>467</v>
      </c>
      <c r="I198" s="5"/>
      <c r="J198" s="5"/>
      <c r="K198" s="5">
        <v>230</v>
      </c>
      <c r="L198" s="5">
        <v>19</v>
      </c>
      <c r="M198" s="5">
        <v>3</v>
      </c>
      <c r="N198" s="5" t="s">
        <v>224</v>
      </c>
      <c r="O198" s="5">
        <v>2</v>
      </c>
      <c r="P198" s="5">
        <f>ROUND(Source!ES178,O198)</f>
        <v>0</v>
      </c>
      <c r="Q198" s="5"/>
      <c r="R198" s="5"/>
      <c r="S198" s="5"/>
      <c r="T198" s="5"/>
      <c r="U198" s="5"/>
      <c r="V198" s="5"/>
      <c r="W198" s="5"/>
    </row>
    <row r="199" spans="1:23" x14ac:dyDescent="0.2">
      <c r="A199" s="5">
        <v>50</v>
      </c>
      <c r="B199" s="5">
        <v>0</v>
      </c>
      <c r="C199" s="5">
        <v>0</v>
      </c>
      <c r="D199" s="5">
        <v>1</v>
      </c>
      <c r="E199" s="5">
        <v>206</v>
      </c>
      <c r="F199" s="5">
        <f>ROUND(Source!T178,O199)</f>
        <v>0</v>
      </c>
      <c r="G199" s="5" t="s">
        <v>468</v>
      </c>
      <c r="H199" s="5" t="s">
        <v>469</v>
      </c>
      <c r="I199" s="5"/>
      <c r="J199" s="5"/>
      <c r="K199" s="5">
        <v>206</v>
      </c>
      <c r="L199" s="5">
        <v>20</v>
      </c>
      <c r="M199" s="5">
        <v>3</v>
      </c>
      <c r="N199" s="5" t="s">
        <v>224</v>
      </c>
      <c r="O199" s="5">
        <v>2</v>
      </c>
      <c r="P199" s="5">
        <f>ROUND(Source!DL178,O199)</f>
        <v>0</v>
      </c>
      <c r="Q199" s="5"/>
      <c r="R199" s="5"/>
      <c r="S199" s="5"/>
      <c r="T199" s="5"/>
      <c r="U199" s="5"/>
      <c r="V199" s="5"/>
      <c r="W199" s="5"/>
    </row>
    <row r="200" spans="1:23" x14ac:dyDescent="0.2">
      <c r="A200" s="5">
        <v>50</v>
      </c>
      <c r="B200" s="5">
        <v>0</v>
      </c>
      <c r="C200" s="5">
        <v>0</v>
      </c>
      <c r="D200" s="5">
        <v>1</v>
      </c>
      <c r="E200" s="5">
        <v>207</v>
      </c>
      <c r="F200" s="5">
        <f>Source!U178</f>
        <v>4.8714649999999997</v>
      </c>
      <c r="G200" s="5" t="s">
        <v>470</v>
      </c>
      <c r="H200" s="5" t="s">
        <v>471</v>
      </c>
      <c r="I200" s="5"/>
      <c r="J200" s="5"/>
      <c r="K200" s="5">
        <v>207</v>
      </c>
      <c r="L200" s="5">
        <v>21</v>
      </c>
      <c r="M200" s="5">
        <v>3</v>
      </c>
      <c r="N200" s="5" t="s">
        <v>224</v>
      </c>
      <c r="O200" s="5">
        <v>-1</v>
      </c>
      <c r="P200" s="5">
        <f>Source!DM178</f>
        <v>4.8714649999999997</v>
      </c>
      <c r="Q200" s="5"/>
      <c r="R200" s="5"/>
      <c r="S200" s="5"/>
      <c r="T200" s="5"/>
      <c r="U200" s="5"/>
      <c r="V200" s="5"/>
      <c r="W200" s="5"/>
    </row>
    <row r="201" spans="1:23" x14ac:dyDescent="0.2">
      <c r="A201" s="5">
        <v>50</v>
      </c>
      <c r="B201" s="5">
        <v>0</v>
      </c>
      <c r="C201" s="5">
        <v>0</v>
      </c>
      <c r="D201" s="5">
        <v>1</v>
      </c>
      <c r="E201" s="5">
        <v>208</v>
      </c>
      <c r="F201" s="5">
        <f>Source!V178</f>
        <v>3.8775000000000004E-2</v>
      </c>
      <c r="G201" s="5" t="s">
        <v>472</v>
      </c>
      <c r="H201" s="5" t="s">
        <v>473</v>
      </c>
      <c r="I201" s="5"/>
      <c r="J201" s="5"/>
      <c r="K201" s="5">
        <v>208</v>
      </c>
      <c r="L201" s="5">
        <v>22</v>
      </c>
      <c r="M201" s="5">
        <v>3</v>
      </c>
      <c r="N201" s="5" t="s">
        <v>224</v>
      </c>
      <c r="O201" s="5">
        <v>-1</v>
      </c>
      <c r="P201" s="5">
        <f>Source!DN178</f>
        <v>3.8775000000000004E-2</v>
      </c>
      <c r="Q201" s="5"/>
      <c r="R201" s="5"/>
      <c r="S201" s="5"/>
      <c r="T201" s="5"/>
      <c r="U201" s="5"/>
      <c r="V201" s="5"/>
      <c r="W201" s="5"/>
    </row>
    <row r="202" spans="1:23" x14ac:dyDescent="0.2">
      <c r="A202" s="5">
        <v>50</v>
      </c>
      <c r="B202" s="5">
        <v>0</v>
      </c>
      <c r="C202" s="5">
        <v>0</v>
      </c>
      <c r="D202" s="5">
        <v>1</v>
      </c>
      <c r="E202" s="5">
        <v>209</v>
      </c>
      <c r="F202" s="5">
        <f>ROUND(Source!W178,O202)</f>
        <v>0</v>
      </c>
      <c r="G202" s="5" t="s">
        <v>474</v>
      </c>
      <c r="H202" s="5" t="s">
        <v>475</v>
      </c>
      <c r="I202" s="5"/>
      <c r="J202" s="5"/>
      <c r="K202" s="5">
        <v>209</v>
      </c>
      <c r="L202" s="5">
        <v>23</v>
      </c>
      <c r="M202" s="5">
        <v>3</v>
      </c>
      <c r="N202" s="5" t="s">
        <v>224</v>
      </c>
      <c r="O202" s="5">
        <v>2</v>
      </c>
      <c r="P202" s="5">
        <f>ROUND(Source!DO178,O202)</f>
        <v>0</v>
      </c>
      <c r="Q202" s="5"/>
      <c r="R202" s="5"/>
      <c r="S202" s="5"/>
      <c r="T202" s="5"/>
      <c r="U202" s="5"/>
      <c r="V202" s="5"/>
      <c r="W202" s="5"/>
    </row>
    <row r="203" spans="1:23" x14ac:dyDescent="0.2">
      <c r="A203" s="5">
        <v>50</v>
      </c>
      <c r="B203" s="5">
        <v>0</v>
      </c>
      <c r="C203" s="5">
        <v>0</v>
      </c>
      <c r="D203" s="5">
        <v>1</v>
      </c>
      <c r="E203" s="5">
        <v>210</v>
      </c>
      <c r="F203" s="5">
        <f>ROUND(Source!X178,O203)</f>
        <v>45.49</v>
      </c>
      <c r="G203" s="5" t="s">
        <v>476</v>
      </c>
      <c r="H203" s="5" t="s">
        <v>477</v>
      </c>
      <c r="I203" s="5"/>
      <c r="J203" s="5"/>
      <c r="K203" s="5">
        <v>210</v>
      </c>
      <c r="L203" s="5">
        <v>24</v>
      </c>
      <c r="M203" s="5">
        <v>3</v>
      </c>
      <c r="N203" s="5" t="s">
        <v>224</v>
      </c>
      <c r="O203" s="5">
        <v>2</v>
      </c>
      <c r="P203" s="5">
        <f>ROUND(Source!DP178,O203)</f>
        <v>276.52</v>
      </c>
      <c r="Q203" s="5"/>
      <c r="R203" s="5"/>
      <c r="S203" s="5"/>
      <c r="T203" s="5"/>
      <c r="U203" s="5"/>
      <c r="V203" s="5"/>
      <c r="W203" s="5"/>
    </row>
    <row r="204" spans="1:23" x14ac:dyDescent="0.2">
      <c r="A204" s="5">
        <v>50</v>
      </c>
      <c r="B204" s="5">
        <v>0</v>
      </c>
      <c r="C204" s="5">
        <v>0</v>
      </c>
      <c r="D204" s="5">
        <v>1</v>
      </c>
      <c r="E204" s="5">
        <v>211</v>
      </c>
      <c r="F204" s="5">
        <f>ROUND(Source!Y178,O204)</f>
        <v>28.8</v>
      </c>
      <c r="G204" s="5" t="s">
        <v>478</v>
      </c>
      <c r="H204" s="5" t="s">
        <v>479</v>
      </c>
      <c r="I204" s="5"/>
      <c r="J204" s="5"/>
      <c r="K204" s="5">
        <v>211</v>
      </c>
      <c r="L204" s="5">
        <v>25</v>
      </c>
      <c r="M204" s="5">
        <v>3</v>
      </c>
      <c r="N204" s="5" t="s">
        <v>224</v>
      </c>
      <c r="O204" s="5">
        <v>2</v>
      </c>
      <c r="P204" s="5">
        <f>ROUND(Source!DQ178,O204)</f>
        <v>175</v>
      </c>
      <c r="Q204" s="5"/>
      <c r="R204" s="5"/>
      <c r="S204" s="5"/>
      <c r="T204" s="5"/>
      <c r="U204" s="5"/>
      <c r="V204" s="5"/>
      <c r="W204" s="5"/>
    </row>
    <row r="205" spans="1:23" x14ac:dyDescent="0.2">
      <c r="A205" s="5">
        <v>50</v>
      </c>
      <c r="B205" s="5">
        <v>0</v>
      </c>
      <c r="C205" s="5">
        <v>0</v>
      </c>
      <c r="D205" s="5">
        <v>1</v>
      </c>
      <c r="E205" s="5">
        <v>0</v>
      </c>
      <c r="F205" s="5">
        <f>ROUND(Source!AR178,O205)</f>
        <v>689.32</v>
      </c>
      <c r="G205" s="5" t="s">
        <v>480</v>
      </c>
      <c r="H205" s="5" t="s">
        <v>481</v>
      </c>
      <c r="I205" s="5"/>
      <c r="J205" s="5"/>
      <c r="K205" s="5">
        <v>224</v>
      </c>
      <c r="L205" s="5">
        <v>26</v>
      </c>
      <c r="M205" s="5">
        <v>3</v>
      </c>
      <c r="N205" s="5" t="s">
        <v>224</v>
      </c>
      <c r="O205" s="5">
        <v>2</v>
      </c>
      <c r="P205" s="5">
        <f>ROUND(Source!EJ178,O205)</f>
        <v>4190.91</v>
      </c>
      <c r="Q205" s="5"/>
      <c r="R205" s="5"/>
      <c r="S205" s="5"/>
      <c r="T205" s="5"/>
      <c r="U205" s="5"/>
      <c r="V205" s="5"/>
      <c r="W205" s="5"/>
    </row>
    <row r="206" spans="1:23" x14ac:dyDescent="0.2">
      <c r="A206" s="5">
        <v>50</v>
      </c>
      <c r="B206" s="5">
        <v>1</v>
      </c>
      <c r="C206" s="5">
        <v>0</v>
      </c>
      <c r="D206" s="5">
        <v>2</v>
      </c>
      <c r="E206" s="5">
        <v>0</v>
      </c>
      <c r="F206" s="5">
        <f>ROUND(F205,O206)</f>
        <v>689.32</v>
      </c>
      <c r="G206" s="5" t="s">
        <v>482</v>
      </c>
      <c r="H206" s="5" t="s">
        <v>480</v>
      </c>
      <c r="I206" s="5"/>
      <c r="J206" s="5"/>
      <c r="K206" s="5">
        <v>212</v>
      </c>
      <c r="L206" s="5">
        <v>27</v>
      </c>
      <c r="M206" s="5">
        <v>0</v>
      </c>
      <c r="N206" s="5" t="s">
        <v>224</v>
      </c>
      <c r="O206" s="5">
        <v>2</v>
      </c>
      <c r="P206" s="5">
        <f>ROUND(P205,O206)</f>
        <v>4190.91</v>
      </c>
      <c r="Q206" s="5"/>
      <c r="R206" s="5"/>
      <c r="S206" s="5"/>
      <c r="T206" s="5"/>
      <c r="U206" s="5"/>
      <c r="V206" s="5"/>
      <c r="W206" s="5"/>
    </row>
    <row r="207" spans="1:23" x14ac:dyDescent="0.2">
      <c r="A207" s="5">
        <v>50</v>
      </c>
      <c r="B207" s="5">
        <v>1</v>
      </c>
      <c r="C207" s="5">
        <v>0</v>
      </c>
      <c r="D207" s="5">
        <v>2</v>
      </c>
      <c r="E207" s="5">
        <v>0</v>
      </c>
      <c r="F207" s="5">
        <f>ROUND(F206*0.18,O207)</f>
        <v>124.08</v>
      </c>
      <c r="G207" s="5" t="s">
        <v>483</v>
      </c>
      <c r="H207" s="5" t="s">
        <v>484</v>
      </c>
      <c r="I207" s="5"/>
      <c r="J207" s="5"/>
      <c r="K207" s="5">
        <v>212</v>
      </c>
      <c r="L207" s="5">
        <v>28</v>
      </c>
      <c r="M207" s="5">
        <v>0</v>
      </c>
      <c r="N207" s="5" t="s">
        <v>224</v>
      </c>
      <c r="O207" s="5">
        <v>2</v>
      </c>
      <c r="P207" s="5">
        <f>ROUND(P206*0.18,O207)</f>
        <v>754.36</v>
      </c>
      <c r="Q207" s="5"/>
      <c r="R207" s="5"/>
      <c r="S207" s="5"/>
      <c r="T207" s="5"/>
      <c r="U207" s="5"/>
      <c r="V207" s="5"/>
      <c r="W207" s="5"/>
    </row>
    <row r="208" spans="1:23" x14ac:dyDescent="0.2">
      <c r="A208" s="5">
        <v>50</v>
      </c>
      <c r="B208" s="5">
        <v>1</v>
      </c>
      <c r="C208" s="5">
        <v>0</v>
      </c>
      <c r="D208" s="5">
        <v>2</v>
      </c>
      <c r="E208" s="5">
        <v>224</v>
      </c>
      <c r="F208" s="5">
        <f>ROUND(F206+F207,O208)</f>
        <v>813.4</v>
      </c>
      <c r="G208" s="5" t="s">
        <v>485</v>
      </c>
      <c r="H208" s="5" t="s">
        <v>486</v>
      </c>
      <c r="I208" s="5"/>
      <c r="J208" s="5"/>
      <c r="K208" s="5">
        <v>212</v>
      </c>
      <c r="L208" s="5">
        <v>29</v>
      </c>
      <c r="M208" s="5">
        <v>0</v>
      </c>
      <c r="N208" s="5" t="s">
        <v>224</v>
      </c>
      <c r="O208" s="5">
        <v>2</v>
      </c>
      <c r="P208" s="5">
        <f>ROUND(P206+P207,O208)</f>
        <v>4945.2700000000004</v>
      </c>
      <c r="Q208" s="5"/>
      <c r="R208" s="5"/>
      <c r="S208" s="5"/>
      <c r="T208" s="5"/>
      <c r="U208" s="5"/>
      <c r="V208" s="5"/>
      <c r="W208" s="5"/>
    </row>
    <row r="210" spans="1:206" x14ac:dyDescent="0.2">
      <c r="A210" s="3">
        <v>51</v>
      </c>
      <c r="B210" s="3">
        <f>B20</f>
        <v>1</v>
      </c>
      <c r="C210" s="3">
        <f>A20</f>
        <v>3</v>
      </c>
      <c r="D210" s="3">
        <f>ROW(A20)</f>
        <v>20</v>
      </c>
      <c r="E210" s="3"/>
      <c r="F210" s="3" t="str">
        <f>IF(F20&lt;&gt;"",F20,"")</f>
        <v>Новая локальная смета</v>
      </c>
      <c r="G210" s="3" t="str">
        <f>IF(G20&lt;&gt;"",G20,"")</f>
        <v>Новая локальная смета</v>
      </c>
      <c r="H210" s="3">
        <v>0</v>
      </c>
      <c r="I210" s="3"/>
      <c r="J210" s="3"/>
      <c r="K210" s="3"/>
      <c r="L210" s="3"/>
      <c r="M210" s="3"/>
      <c r="N210" s="3"/>
      <c r="O210" s="3">
        <f t="shared" ref="O210:T210" si="202">ROUND(O113+O178+AB210,2)</f>
        <v>161479.15</v>
      </c>
      <c r="P210" s="3">
        <f t="shared" si="202"/>
        <v>138633.99</v>
      </c>
      <c r="Q210" s="3">
        <f t="shared" si="202"/>
        <v>4287.95</v>
      </c>
      <c r="R210" s="3">
        <f t="shared" si="202"/>
        <v>442.91</v>
      </c>
      <c r="S210" s="3">
        <f t="shared" si="202"/>
        <v>18557.21</v>
      </c>
      <c r="T210" s="3">
        <f t="shared" si="202"/>
        <v>0</v>
      </c>
      <c r="U210" s="3">
        <f>U113+U178+AH210</f>
        <v>2069.8959829999994</v>
      </c>
      <c r="V210" s="3">
        <f>V113+V178+AI210</f>
        <v>39.731349999999999</v>
      </c>
      <c r="W210" s="3">
        <f>ROUND(W113+W178+AJ210,2)</f>
        <v>0</v>
      </c>
      <c r="X210" s="3">
        <f>ROUND(X113+X178+AK210,2)</f>
        <v>19252.82</v>
      </c>
      <c r="Y210" s="3">
        <f>ROUND(Y113+Y178+AL210,2)</f>
        <v>10303.36</v>
      </c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>
        <f t="shared" ref="AO210:BC210" si="203">ROUND(AO113+AO178+BX210,2)</f>
        <v>0</v>
      </c>
      <c r="AP210" s="3">
        <f t="shared" si="203"/>
        <v>0</v>
      </c>
      <c r="AQ210" s="3">
        <f t="shared" si="203"/>
        <v>0</v>
      </c>
      <c r="AR210" s="3">
        <f t="shared" si="203"/>
        <v>191120.85</v>
      </c>
      <c r="AS210" s="3">
        <f t="shared" si="203"/>
        <v>191120.85</v>
      </c>
      <c r="AT210" s="3">
        <f t="shared" si="203"/>
        <v>0</v>
      </c>
      <c r="AU210" s="3">
        <f t="shared" si="203"/>
        <v>0</v>
      </c>
      <c r="AV210" s="3">
        <f t="shared" si="203"/>
        <v>138633.99</v>
      </c>
      <c r="AW210" s="3">
        <f t="shared" si="203"/>
        <v>138633.99</v>
      </c>
      <c r="AX210" s="3">
        <f t="shared" si="203"/>
        <v>0</v>
      </c>
      <c r="AY210" s="3">
        <f t="shared" si="203"/>
        <v>138633.99</v>
      </c>
      <c r="AZ210" s="3">
        <f t="shared" si="203"/>
        <v>0</v>
      </c>
      <c r="BA210" s="3">
        <f t="shared" si="203"/>
        <v>0</v>
      </c>
      <c r="BB210" s="3">
        <f t="shared" si="203"/>
        <v>0</v>
      </c>
      <c r="BC210" s="3">
        <f t="shared" si="203"/>
        <v>0</v>
      </c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4">
        <f t="shared" ref="DG210:DL210" si="204">ROUND(DG113+DG178+DT210,2)</f>
        <v>980472.18</v>
      </c>
      <c r="DH210" s="4">
        <f t="shared" si="204"/>
        <v>841655.93</v>
      </c>
      <c r="DI210" s="4">
        <f t="shared" si="204"/>
        <v>26070.76</v>
      </c>
      <c r="DJ210" s="4">
        <f t="shared" si="204"/>
        <v>2692.78</v>
      </c>
      <c r="DK210" s="4">
        <f t="shared" si="204"/>
        <v>112745.49</v>
      </c>
      <c r="DL210" s="4">
        <f t="shared" si="204"/>
        <v>0</v>
      </c>
      <c r="DM210" s="4">
        <f>DM113+DM178+DZ210</f>
        <v>2068.3459669999993</v>
      </c>
      <c r="DN210" s="4">
        <f>DN113+DN178+EA210</f>
        <v>39.731349999999999</v>
      </c>
      <c r="DO210" s="4">
        <f>ROUND(DO113+DO178+EB210,2)</f>
        <v>0</v>
      </c>
      <c r="DP210" s="4">
        <f>ROUND(DP113+DP178+EC210,2)</f>
        <v>116965.52</v>
      </c>
      <c r="DQ210" s="4">
        <f>ROUND(DQ113+DQ178+ED210,2)</f>
        <v>62591.6</v>
      </c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>
        <f t="shared" ref="EG210:EU210" si="205">ROUND(EG113+EG178+FP210,2)</f>
        <v>0</v>
      </c>
      <c r="EH210" s="4">
        <f t="shared" si="205"/>
        <v>0</v>
      </c>
      <c r="EI210" s="4">
        <f t="shared" si="205"/>
        <v>0</v>
      </c>
      <c r="EJ210" s="4">
        <f t="shared" si="205"/>
        <v>1160549.23</v>
      </c>
      <c r="EK210" s="4">
        <f t="shared" si="205"/>
        <v>1160549.23</v>
      </c>
      <c r="EL210" s="4">
        <f t="shared" si="205"/>
        <v>0</v>
      </c>
      <c r="EM210" s="4">
        <f t="shared" si="205"/>
        <v>0</v>
      </c>
      <c r="EN210" s="4">
        <f t="shared" si="205"/>
        <v>841655.93</v>
      </c>
      <c r="EO210" s="4">
        <f t="shared" si="205"/>
        <v>841655.93</v>
      </c>
      <c r="EP210" s="4">
        <f t="shared" si="205"/>
        <v>0</v>
      </c>
      <c r="EQ210" s="4">
        <f t="shared" si="205"/>
        <v>841655.93</v>
      </c>
      <c r="ER210" s="4">
        <f t="shared" si="205"/>
        <v>0</v>
      </c>
      <c r="ES210" s="4">
        <f t="shared" si="205"/>
        <v>0</v>
      </c>
      <c r="ET210" s="4">
        <f t="shared" si="205"/>
        <v>0</v>
      </c>
      <c r="EU210" s="4">
        <f t="shared" si="205"/>
        <v>0</v>
      </c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>
        <v>0</v>
      </c>
    </row>
    <row r="212" spans="1:206" x14ac:dyDescent="0.2">
      <c r="A212" s="5">
        <v>50</v>
      </c>
      <c r="B212" s="5">
        <v>0</v>
      </c>
      <c r="C212" s="5">
        <v>0</v>
      </c>
      <c r="D212" s="5">
        <v>1</v>
      </c>
      <c r="E212" s="5">
        <v>201</v>
      </c>
      <c r="F212" s="5">
        <f>ROUND(Source!O210,O212)</f>
        <v>161479.15</v>
      </c>
      <c r="G212" s="5" t="s">
        <v>430</v>
      </c>
      <c r="H212" s="5" t="s">
        <v>431</v>
      </c>
      <c r="I212" s="5"/>
      <c r="J212" s="5"/>
      <c r="K212" s="5">
        <v>201</v>
      </c>
      <c r="L212" s="5">
        <v>1</v>
      </c>
      <c r="M212" s="5">
        <v>3</v>
      </c>
      <c r="N212" s="5" t="s">
        <v>224</v>
      </c>
      <c r="O212" s="5">
        <v>2</v>
      </c>
      <c r="P212" s="5">
        <f>ROUND(Source!DG210,O212)</f>
        <v>980472.18</v>
      </c>
      <c r="Q212" s="5"/>
      <c r="R212" s="5"/>
      <c r="S212" s="5"/>
      <c r="T212" s="5"/>
      <c r="U212" s="5"/>
      <c r="V212" s="5"/>
      <c r="W212" s="5"/>
    </row>
    <row r="213" spans="1:206" x14ac:dyDescent="0.2">
      <c r="A213" s="5">
        <v>50</v>
      </c>
      <c r="B213" s="5">
        <v>0</v>
      </c>
      <c r="C213" s="5">
        <v>0</v>
      </c>
      <c r="D213" s="5">
        <v>1</v>
      </c>
      <c r="E213" s="5">
        <v>202</v>
      </c>
      <c r="F213" s="5">
        <f>ROUND(Source!P210,O213)</f>
        <v>138633.99</v>
      </c>
      <c r="G213" s="5" t="s">
        <v>432</v>
      </c>
      <c r="H213" s="5" t="s">
        <v>433</v>
      </c>
      <c r="I213" s="5"/>
      <c r="J213" s="5"/>
      <c r="K213" s="5">
        <v>202</v>
      </c>
      <c r="L213" s="5">
        <v>2</v>
      </c>
      <c r="M213" s="5">
        <v>3</v>
      </c>
      <c r="N213" s="5" t="s">
        <v>224</v>
      </c>
      <c r="O213" s="5">
        <v>2</v>
      </c>
      <c r="P213" s="5">
        <f>ROUND(Source!DH210,O213)</f>
        <v>841655.93</v>
      </c>
      <c r="Q213" s="5"/>
      <c r="R213" s="5"/>
      <c r="S213" s="5"/>
      <c r="T213" s="5"/>
      <c r="U213" s="5"/>
      <c r="V213" s="5"/>
      <c r="W213" s="5"/>
    </row>
    <row r="214" spans="1:206" x14ac:dyDescent="0.2">
      <c r="A214" s="5">
        <v>50</v>
      </c>
      <c r="B214" s="5">
        <v>0</v>
      </c>
      <c r="C214" s="5">
        <v>0</v>
      </c>
      <c r="D214" s="5">
        <v>1</v>
      </c>
      <c r="E214" s="5">
        <v>222</v>
      </c>
      <c r="F214" s="5">
        <f>ROUND(Source!AO210,O214)</f>
        <v>0</v>
      </c>
      <c r="G214" s="5" t="s">
        <v>434</v>
      </c>
      <c r="H214" s="5" t="s">
        <v>435</v>
      </c>
      <c r="I214" s="5"/>
      <c r="J214" s="5"/>
      <c r="K214" s="5">
        <v>222</v>
      </c>
      <c r="L214" s="5">
        <v>3</v>
      </c>
      <c r="M214" s="5">
        <v>3</v>
      </c>
      <c r="N214" s="5" t="s">
        <v>224</v>
      </c>
      <c r="O214" s="5">
        <v>2</v>
      </c>
      <c r="P214" s="5">
        <f>ROUND(Source!EG210,O214)</f>
        <v>0</v>
      </c>
      <c r="Q214" s="5"/>
      <c r="R214" s="5"/>
      <c r="S214" s="5"/>
      <c r="T214" s="5"/>
      <c r="U214" s="5"/>
      <c r="V214" s="5"/>
      <c r="W214" s="5"/>
    </row>
    <row r="215" spans="1:206" x14ac:dyDescent="0.2">
      <c r="A215" s="5">
        <v>50</v>
      </c>
      <c r="B215" s="5">
        <v>0</v>
      </c>
      <c r="C215" s="5">
        <v>0</v>
      </c>
      <c r="D215" s="5">
        <v>1</v>
      </c>
      <c r="E215" s="5">
        <v>225</v>
      </c>
      <c r="F215" s="5">
        <f>ROUND(Source!AV210,O215)</f>
        <v>138633.99</v>
      </c>
      <c r="G215" s="5" t="s">
        <v>436</v>
      </c>
      <c r="H215" s="5" t="s">
        <v>437</v>
      </c>
      <c r="I215" s="5"/>
      <c r="J215" s="5"/>
      <c r="K215" s="5">
        <v>225</v>
      </c>
      <c r="L215" s="5">
        <v>4</v>
      </c>
      <c r="M215" s="5">
        <v>3</v>
      </c>
      <c r="N215" s="5" t="s">
        <v>224</v>
      </c>
      <c r="O215" s="5">
        <v>2</v>
      </c>
      <c r="P215" s="5">
        <f>ROUND(Source!EN210,O215)</f>
        <v>841655.93</v>
      </c>
      <c r="Q215" s="5"/>
      <c r="R215" s="5"/>
      <c r="S215" s="5"/>
      <c r="T215" s="5"/>
      <c r="U215" s="5"/>
      <c r="V215" s="5"/>
      <c r="W215" s="5"/>
    </row>
    <row r="216" spans="1:206" x14ac:dyDescent="0.2">
      <c r="A216" s="5">
        <v>50</v>
      </c>
      <c r="B216" s="5">
        <v>0</v>
      </c>
      <c r="C216" s="5">
        <v>0</v>
      </c>
      <c r="D216" s="5">
        <v>1</v>
      </c>
      <c r="E216" s="5">
        <v>226</v>
      </c>
      <c r="F216" s="5">
        <f>ROUND(Source!AW210,O216)</f>
        <v>138633.99</v>
      </c>
      <c r="G216" s="5" t="s">
        <v>438</v>
      </c>
      <c r="H216" s="5" t="s">
        <v>439</v>
      </c>
      <c r="I216" s="5"/>
      <c r="J216" s="5"/>
      <c r="K216" s="5">
        <v>226</v>
      </c>
      <c r="L216" s="5">
        <v>5</v>
      </c>
      <c r="M216" s="5">
        <v>3</v>
      </c>
      <c r="N216" s="5" t="s">
        <v>224</v>
      </c>
      <c r="O216" s="5">
        <v>2</v>
      </c>
      <c r="P216" s="5">
        <f>ROUND(Source!EO210,O216)</f>
        <v>841655.93</v>
      </c>
      <c r="Q216" s="5"/>
      <c r="R216" s="5"/>
      <c r="S216" s="5"/>
      <c r="T216" s="5"/>
      <c r="U216" s="5"/>
      <c r="V216" s="5"/>
      <c r="W216" s="5"/>
    </row>
    <row r="217" spans="1:206" x14ac:dyDescent="0.2">
      <c r="A217" s="5">
        <v>50</v>
      </c>
      <c r="B217" s="5">
        <v>0</v>
      </c>
      <c r="C217" s="5">
        <v>0</v>
      </c>
      <c r="D217" s="5">
        <v>1</v>
      </c>
      <c r="E217" s="5">
        <v>227</v>
      </c>
      <c r="F217" s="5">
        <f>ROUND(Source!AX210,O217)</f>
        <v>0</v>
      </c>
      <c r="G217" s="5" t="s">
        <v>440</v>
      </c>
      <c r="H217" s="5" t="s">
        <v>441</v>
      </c>
      <c r="I217" s="5"/>
      <c r="J217" s="5"/>
      <c r="K217" s="5">
        <v>227</v>
      </c>
      <c r="L217" s="5">
        <v>6</v>
      </c>
      <c r="M217" s="5">
        <v>3</v>
      </c>
      <c r="N217" s="5" t="s">
        <v>224</v>
      </c>
      <c r="O217" s="5">
        <v>2</v>
      </c>
      <c r="P217" s="5">
        <f>ROUND(Source!EP210,O217)</f>
        <v>0</v>
      </c>
      <c r="Q217" s="5"/>
      <c r="R217" s="5"/>
      <c r="S217" s="5"/>
      <c r="T217" s="5"/>
      <c r="U217" s="5"/>
      <c r="V217" s="5"/>
      <c r="W217" s="5"/>
    </row>
    <row r="218" spans="1:206" x14ac:dyDescent="0.2">
      <c r="A218" s="5">
        <v>50</v>
      </c>
      <c r="B218" s="5">
        <v>0</v>
      </c>
      <c r="C218" s="5">
        <v>0</v>
      </c>
      <c r="D218" s="5">
        <v>1</v>
      </c>
      <c r="E218" s="5">
        <v>228</v>
      </c>
      <c r="F218" s="5">
        <f>ROUND(Source!AY210,O218)</f>
        <v>138633.99</v>
      </c>
      <c r="G218" s="5" t="s">
        <v>442</v>
      </c>
      <c r="H218" s="5" t="s">
        <v>443</v>
      </c>
      <c r="I218" s="5"/>
      <c r="J218" s="5"/>
      <c r="K218" s="5">
        <v>228</v>
      </c>
      <c r="L218" s="5">
        <v>7</v>
      </c>
      <c r="M218" s="5">
        <v>3</v>
      </c>
      <c r="N218" s="5" t="s">
        <v>224</v>
      </c>
      <c r="O218" s="5">
        <v>2</v>
      </c>
      <c r="P218" s="5">
        <f>ROUND(Source!EQ210,O218)</f>
        <v>841655.93</v>
      </c>
      <c r="Q218" s="5"/>
      <c r="R218" s="5"/>
      <c r="S218" s="5"/>
      <c r="T218" s="5"/>
      <c r="U218" s="5"/>
      <c r="V218" s="5"/>
      <c r="W218" s="5"/>
    </row>
    <row r="219" spans="1:206" x14ac:dyDescent="0.2">
      <c r="A219" s="5">
        <v>50</v>
      </c>
      <c r="B219" s="5">
        <v>0</v>
      </c>
      <c r="C219" s="5">
        <v>0</v>
      </c>
      <c r="D219" s="5">
        <v>1</v>
      </c>
      <c r="E219" s="5">
        <v>216</v>
      </c>
      <c r="F219" s="5">
        <f>ROUND(Source!AP210,O219)</f>
        <v>0</v>
      </c>
      <c r="G219" s="5" t="s">
        <v>444</v>
      </c>
      <c r="H219" s="5" t="s">
        <v>445</v>
      </c>
      <c r="I219" s="5"/>
      <c r="J219" s="5"/>
      <c r="K219" s="5">
        <v>216</v>
      </c>
      <c r="L219" s="5">
        <v>8</v>
      </c>
      <c r="M219" s="5">
        <v>3</v>
      </c>
      <c r="N219" s="5" t="s">
        <v>224</v>
      </c>
      <c r="O219" s="5">
        <v>2</v>
      </c>
      <c r="P219" s="5">
        <f>ROUND(Source!EH210,O219)</f>
        <v>0</v>
      </c>
      <c r="Q219" s="5"/>
      <c r="R219" s="5"/>
      <c r="S219" s="5"/>
      <c r="T219" s="5"/>
      <c r="U219" s="5"/>
      <c r="V219" s="5"/>
      <c r="W219" s="5"/>
    </row>
    <row r="220" spans="1:206" x14ac:dyDescent="0.2">
      <c r="A220" s="5">
        <v>50</v>
      </c>
      <c r="B220" s="5">
        <v>0</v>
      </c>
      <c r="C220" s="5">
        <v>0</v>
      </c>
      <c r="D220" s="5">
        <v>1</v>
      </c>
      <c r="E220" s="5">
        <v>223</v>
      </c>
      <c r="F220" s="5">
        <f>ROUND(Source!AQ210,O220)</f>
        <v>0</v>
      </c>
      <c r="G220" s="5" t="s">
        <v>446</v>
      </c>
      <c r="H220" s="5" t="s">
        <v>447</v>
      </c>
      <c r="I220" s="5"/>
      <c r="J220" s="5"/>
      <c r="K220" s="5">
        <v>223</v>
      </c>
      <c r="L220" s="5">
        <v>9</v>
      </c>
      <c r="M220" s="5">
        <v>3</v>
      </c>
      <c r="N220" s="5" t="s">
        <v>224</v>
      </c>
      <c r="O220" s="5">
        <v>2</v>
      </c>
      <c r="P220" s="5">
        <f>ROUND(Source!EI210,O220)</f>
        <v>0</v>
      </c>
      <c r="Q220" s="5"/>
      <c r="R220" s="5"/>
      <c r="S220" s="5"/>
      <c r="T220" s="5"/>
      <c r="U220" s="5"/>
      <c r="V220" s="5"/>
      <c r="W220" s="5"/>
    </row>
    <row r="221" spans="1:206" x14ac:dyDescent="0.2">
      <c r="A221" s="5">
        <v>50</v>
      </c>
      <c r="B221" s="5">
        <v>0</v>
      </c>
      <c r="C221" s="5">
        <v>0</v>
      </c>
      <c r="D221" s="5">
        <v>1</v>
      </c>
      <c r="E221" s="5">
        <v>229</v>
      </c>
      <c r="F221" s="5">
        <f>ROUND(Source!AZ210,O221)</f>
        <v>0</v>
      </c>
      <c r="G221" s="5" t="s">
        <v>448</v>
      </c>
      <c r="H221" s="5" t="s">
        <v>449</v>
      </c>
      <c r="I221" s="5"/>
      <c r="J221" s="5"/>
      <c r="K221" s="5">
        <v>229</v>
      </c>
      <c r="L221" s="5">
        <v>10</v>
      </c>
      <c r="M221" s="5">
        <v>3</v>
      </c>
      <c r="N221" s="5" t="s">
        <v>224</v>
      </c>
      <c r="O221" s="5">
        <v>2</v>
      </c>
      <c r="P221" s="5">
        <f>ROUND(Source!ER210,O221)</f>
        <v>0</v>
      </c>
      <c r="Q221" s="5"/>
      <c r="R221" s="5"/>
      <c r="S221" s="5"/>
      <c r="T221" s="5"/>
      <c r="U221" s="5"/>
      <c r="V221" s="5"/>
      <c r="W221" s="5"/>
    </row>
    <row r="222" spans="1:206" x14ac:dyDescent="0.2">
      <c r="A222" s="5">
        <v>50</v>
      </c>
      <c r="B222" s="5">
        <v>0</v>
      </c>
      <c r="C222" s="5">
        <v>0</v>
      </c>
      <c r="D222" s="5">
        <v>1</v>
      </c>
      <c r="E222" s="5">
        <v>203</v>
      </c>
      <c r="F222" s="5">
        <f>ROUND(Source!Q210,O222)</f>
        <v>4287.95</v>
      </c>
      <c r="G222" s="5" t="s">
        <v>450</v>
      </c>
      <c r="H222" s="5" t="s">
        <v>451</v>
      </c>
      <c r="I222" s="5"/>
      <c r="J222" s="5"/>
      <c r="K222" s="5">
        <v>203</v>
      </c>
      <c r="L222" s="5">
        <v>11</v>
      </c>
      <c r="M222" s="5">
        <v>3</v>
      </c>
      <c r="N222" s="5" t="s">
        <v>224</v>
      </c>
      <c r="O222" s="5">
        <v>2</v>
      </c>
      <c r="P222" s="5">
        <f>ROUND(Source!DI210,O222)</f>
        <v>26070.76</v>
      </c>
      <c r="Q222" s="5"/>
      <c r="R222" s="5"/>
      <c r="S222" s="5"/>
      <c r="T222" s="5"/>
      <c r="U222" s="5"/>
      <c r="V222" s="5"/>
      <c r="W222" s="5"/>
    </row>
    <row r="223" spans="1:206" x14ac:dyDescent="0.2">
      <c r="A223" s="5">
        <v>50</v>
      </c>
      <c r="B223" s="5">
        <v>0</v>
      </c>
      <c r="C223" s="5">
        <v>0</v>
      </c>
      <c r="D223" s="5">
        <v>1</v>
      </c>
      <c r="E223" s="5">
        <v>231</v>
      </c>
      <c r="F223" s="5">
        <f>ROUND(Source!BB210,O223)</f>
        <v>0</v>
      </c>
      <c r="G223" s="5" t="s">
        <v>452</v>
      </c>
      <c r="H223" s="5" t="s">
        <v>453</v>
      </c>
      <c r="I223" s="5"/>
      <c r="J223" s="5"/>
      <c r="K223" s="5">
        <v>231</v>
      </c>
      <c r="L223" s="5">
        <v>12</v>
      </c>
      <c r="M223" s="5">
        <v>3</v>
      </c>
      <c r="N223" s="5" t="s">
        <v>224</v>
      </c>
      <c r="O223" s="5">
        <v>2</v>
      </c>
      <c r="P223" s="5">
        <f>ROUND(Source!ET210,O223)</f>
        <v>0</v>
      </c>
      <c r="Q223" s="5"/>
      <c r="R223" s="5"/>
      <c r="S223" s="5"/>
      <c r="T223" s="5"/>
      <c r="U223" s="5"/>
      <c r="V223" s="5"/>
      <c r="W223" s="5"/>
    </row>
    <row r="224" spans="1:206" x14ac:dyDescent="0.2">
      <c r="A224" s="5">
        <v>50</v>
      </c>
      <c r="B224" s="5">
        <v>0</v>
      </c>
      <c r="C224" s="5">
        <v>0</v>
      </c>
      <c r="D224" s="5">
        <v>1</v>
      </c>
      <c r="E224" s="5">
        <v>204</v>
      </c>
      <c r="F224" s="5">
        <f>ROUND(Source!R210,O224)</f>
        <v>442.91</v>
      </c>
      <c r="G224" s="5" t="s">
        <v>454</v>
      </c>
      <c r="H224" s="5" t="s">
        <v>455</v>
      </c>
      <c r="I224" s="5"/>
      <c r="J224" s="5"/>
      <c r="K224" s="5">
        <v>204</v>
      </c>
      <c r="L224" s="5">
        <v>13</v>
      </c>
      <c r="M224" s="5">
        <v>3</v>
      </c>
      <c r="N224" s="5" t="s">
        <v>224</v>
      </c>
      <c r="O224" s="5">
        <v>2</v>
      </c>
      <c r="P224" s="5">
        <f>ROUND(Source!DJ210,O224)</f>
        <v>2692.78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205</v>
      </c>
      <c r="F225" s="5">
        <f>ROUND(Source!S210,O225)</f>
        <v>18557.21</v>
      </c>
      <c r="G225" s="5" t="s">
        <v>456</v>
      </c>
      <c r="H225" s="5" t="s">
        <v>457</v>
      </c>
      <c r="I225" s="5"/>
      <c r="J225" s="5"/>
      <c r="K225" s="5">
        <v>205</v>
      </c>
      <c r="L225" s="5">
        <v>14</v>
      </c>
      <c r="M225" s="5">
        <v>3</v>
      </c>
      <c r="N225" s="5" t="s">
        <v>224</v>
      </c>
      <c r="O225" s="5">
        <v>2</v>
      </c>
      <c r="P225" s="5">
        <f>ROUND(Source!DK210,O225)</f>
        <v>112745.49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232</v>
      </c>
      <c r="F226" s="5">
        <f>ROUND(Source!BC210,O226)</f>
        <v>0</v>
      </c>
      <c r="G226" s="5" t="s">
        <v>458</v>
      </c>
      <c r="H226" s="5" t="s">
        <v>459</v>
      </c>
      <c r="I226" s="5"/>
      <c r="J226" s="5"/>
      <c r="K226" s="5">
        <v>232</v>
      </c>
      <c r="L226" s="5">
        <v>15</v>
      </c>
      <c r="M226" s="5">
        <v>3</v>
      </c>
      <c r="N226" s="5" t="s">
        <v>224</v>
      </c>
      <c r="O226" s="5">
        <v>2</v>
      </c>
      <c r="P226" s="5">
        <f>ROUND(Source!EU210,O226)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214</v>
      </c>
      <c r="F227" s="5">
        <f>ROUND(Source!AS210,O227)</f>
        <v>191120.85</v>
      </c>
      <c r="G227" s="5" t="s">
        <v>460</v>
      </c>
      <c r="H227" s="5" t="s">
        <v>461</v>
      </c>
      <c r="I227" s="5"/>
      <c r="J227" s="5"/>
      <c r="K227" s="5">
        <v>214</v>
      </c>
      <c r="L227" s="5">
        <v>16</v>
      </c>
      <c r="M227" s="5">
        <v>3</v>
      </c>
      <c r="N227" s="5" t="s">
        <v>224</v>
      </c>
      <c r="O227" s="5">
        <v>2</v>
      </c>
      <c r="P227" s="5">
        <f>ROUND(Source!EK210,O227)</f>
        <v>1160549.23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215</v>
      </c>
      <c r="F228" s="5">
        <f>ROUND(Source!AT210,O228)</f>
        <v>0</v>
      </c>
      <c r="G228" s="5" t="s">
        <v>462</v>
      </c>
      <c r="H228" s="5" t="s">
        <v>463</v>
      </c>
      <c r="I228" s="5"/>
      <c r="J228" s="5"/>
      <c r="K228" s="5">
        <v>215</v>
      </c>
      <c r="L228" s="5">
        <v>17</v>
      </c>
      <c r="M228" s="5">
        <v>3</v>
      </c>
      <c r="N228" s="5" t="s">
        <v>224</v>
      </c>
      <c r="O228" s="5">
        <v>2</v>
      </c>
      <c r="P228" s="5">
        <f>ROUND(Source!EL210,O228)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217</v>
      </c>
      <c r="F229" s="5">
        <f>ROUND(Source!AU210,O229)</f>
        <v>0</v>
      </c>
      <c r="G229" s="5" t="s">
        <v>464</v>
      </c>
      <c r="H229" s="5" t="s">
        <v>465</v>
      </c>
      <c r="I229" s="5"/>
      <c r="J229" s="5"/>
      <c r="K229" s="5">
        <v>217</v>
      </c>
      <c r="L229" s="5">
        <v>18</v>
      </c>
      <c r="M229" s="5">
        <v>3</v>
      </c>
      <c r="N229" s="5" t="s">
        <v>224</v>
      </c>
      <c r="O229" s="5">
        <v>2</v>
      </c>
      <c r="P229" s="5">
        <f>ROUND(Source!EM210,O229)</f>
        <v>0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230</v>
      </c>
      <c r="F230" s="5">
        <f>ROUND(Source!BA210,O230)</f>
        <v>0</v>
      </c>
      <c r="G230" s="5" t="s">
        <v>466</v>
      </c>
      <c r="H230" s="5" t="s">
        <v>467</v>
      </c>
      <c r="I230" s="5"/>
      <c r="J230" s="5"/>
      <c r="K230" s="5">
        <v>230</v>
      </c>
      <c r="L230" s="5">
        <v>19</v>
      </c>
      <c r="M230" s="5">
        <v>3</v>
      </c>
      <c r="N230" s="5" t="s">
        <v>224</v>
      </c>
      <c r="O230" s="5">
        <v>2</v>
      </c>
      <c r="P230" s="5">
        <f>ROUND(Source!ES210,O230)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206</v>
      </c>
      <c r="F231" s="5">
        <f>ROUND(Source!T210,O231)</f>
        <v>0</v>
      </c>
      <c r="G231" s="5" t="s">
        <v>468</v>
      </c>
      <c r="H231" s="5" t="s">
        <v>469</v>
      </c>
      <c r="I231" s="5"/>
      <c r="J231" s="5"/>
      <c r="K231" s="5">
        <v>206</v>
      </c>
      <c r="L231" s="5">
        <v>20</v>
      </c>
      <c r="M231" s="5">
        <v>3</v>
      </c>
      <c r="N231" s="5" t="s">
        <v>224</v>
      </c>
      <c r="O231" s="5">
        <v>2</v>
      </c>
      <c r="P231" s="5">
        <f>ROUND(Source!DL210,O231)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207</v>
      </c>
      <c r="F232" s="5">
        <f>Source!U210</f>
        <v>2069.8959829999994</v>
      </c>
      <c r="G232" s="5" t="s">
        <v>470</v>
      </c>
      <c r="H232" s="5" t="s">
        <v>471</v>
      </c>
      <c r="I232" s="5"/>
      <c r="J232" s="5"/>
      <c r="K232" s="5">
        <v>207</v>
      </c>
      <c r="L232" s="5">
        <v>21</v>
      </c>
      <c r="M232" s="5">
        <v>3</v>
      </c>
      <c r="N232" s="5" t="s">
        <v>224</v>
      </c>
      <c r="O232" s="5">
        <v>-1</v>
      </c>
      <c r="P232" s="5">
        <f>Source!DM210</f>
        <v>2068.3459669999993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208</v>
      </c>
      <c r="F233" s="5">
        <f>Source!V210</f>
        <v>39.731349999999999</v>
      </c>
      <c r="G233" s="5" t="s">
        <v>472</v>
      </c>
      <c r="H233" s="5" t="s">
        <v>473</v>
      </c>
      <c r="I233" s="5"/>
      <c r="J233" s="5"/>
      <c r="K233" s="5">
        <v>208</v>
      </c>
      <c r="L233" s="5">
        <v>22</v>
      </c>
      <c r="M233" s="5">
        <v>3</v>
      </c>
      <c r="N233" s="5" t="s">
        <v>224</v>
      </c>
      <c r="O233" s="5">
        <v>-1</v>
      </c>
      <c r="P233" s="5">
        <f>Source!DN210</f>
        <v>39.731349999999999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209</v>
      </c>
      <c r="F234" s="5">
        <f>ROUND(Source!W210,O234)</f>
        <v>0</v>
      </c>
      <c r="G234" s="5" t="s">
        <v>474</v>
      </c>
      <c r="H234" s="5" t="s">
        <v>475</v>
      </c>
      <c r="I234" s="5"/>
      <c r="J234" s="5"/>
      <c r="K234" s="5">
        <v>209</v>
      </c>
      <c r="L234" s="5">
        <v>23</v>
      </c>
      <c r="M234" s="5">
        <v>3</v>
      </c>
      <c r="N234" s="5" t="s">
        <v>224</v>
      </c>
      <c r="O234" s="5">
        <v>2</v>
      </c>
      <c r="P234" s="5">
        <f>ROUND(Source!DO210,O234)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210</v>
      </c>
      <c r="F235" s="5">
        <f>ROUND(Source!X210,O235)</f>
        <v>19252.82</v>
      </c>
      <c r="G235" s="5" t="s">
        <v>476</v>
      </c>
      <c r="H235" s="5" t="s">
        <v>477</v>
      </c>
      <c r="I235" s="5"/>
      <c r="J235" s="5"/>
      <c r="K235" s="5">
        <v>210</v>
      </c>
      <c r="L235" s="5">
        <v>24</v>
      </c>
      <c r="M235" s="5">
        <v>3</v>
      </c>
      <c r="N235" s="5" t="s">
        <v>224</v>
      </c>
      <c r="O235" s="5">
        <v>2</v>
      </c>
      <c r="P235" s="5">
        <f>ROUND(Source!DP210,O235)</f>
        <v>116965.52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211</v>
      </c>
      <c r="F236" s="5">
        <f>ROUND(Source!Y210,O236)</f>
        <v>10303.36</v>
      </c>
      <c r="G236" s="5" t="s">
        <v>478</v>
      </c>
      <c r="H236" s="5" t="s">
        <v>479</v>
      </c>
      <c r="I236" s="5"/>
      <c r="J236" s="5"/>
      <c r="K236" s="5">
        <v>211</v>
      </c>
      <c r="L236" s="5">
        <v>25</v>
      </c>
      <c r="M236" s="5">
        <v>3</v>
      </c>
      <c r="N236" s="5" t="s">
        <v>224</v>
      </c>
      <c r="O236" s="5">
        <v>2</v>
      </c>
      <c r="P236" s="5">
        <f>ROUND(Source!DQ210,O236)</f>
        <v>62591.6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0</v>
      </c>
      <c r="F237" s="5">
        <f>ROUND(Source!AR210,O237)</f>
        <v>191120.85</v>
      </c>
      <c r="G237" s="5" t="s">
        <v>480</v>
      </c>
      <c r="H237" s="5" t="s">
        <v>481</v>
      </c>
      <c r="I237" s="5"/>
      <c r="J237" s="5"/>
      <c r="K237" s="5">
        <v>224</v>
      </c>
      <c r="L237" s="5">
        <v>26</v>
      </c>
      <c r="M237" s="5">
        <v>3</v>
      </c>
      <c r="N237" s="5" t="s">
        <v>224</v>
      </c>
      <c r="O237" s="5">
        <v>2</v>
      </c>
      <c r="P237" s="5">
        <f>ROUND(Source!EJ210,O237)</f>
        <v>1160549.23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1</v>
      </c>
      <c r="C238" s="5">
        <v>0</v>
      </c>
      <c r="D238" s="5">
        <v>2</v>
      </c>
      <c r="E238" s="5">
        <v>0</v>
      </c>
      <c r="F238" s="5">
        <f>ROUND(F237,O238)</f>
        <v>191120.85</v>
      </c>
      <c r="G238" s="5" t="s">
        <v>482</v>
      </c>
      <c r="H238" s="5" t="s">
        <v>480</v>
      </c>
      <c r="I238" s="5"/>
      <c r="J238" s="5"/>
      <c r="K238" s="5">
        <v>212</v>
      </c>
      <c r="L238" s="5">
        <v>27</v>
      </c>
      <c r="M238" s="5">
        <v>0</v>
      </c>
      <c r="N238" s="5" t="s">
        <v>224</v>
      </c>
      <c r="O238" s="5">
        <v>2</v>
      </c>
      <c r="P238" s="5">
        <f>ROUND(P237,O238)</f>
        <v>1160549.23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1</v>
      </c>
      <c r="C239" s="5">
        <v>0</v>
      </c>
      <c r="D239" s="5">
        <v>2</v>
      </c>
      <c r="E239" s="5">
        <v>0</v>
      </c>
      <c r="F239" s="5">
        <f>ROUND(F238*0.18,O239)</f>
        <v>34401.75</v>
      </c>
      <c r="G239" s="5" t="s">
        <v>483</v>
      </c>
      <c r="H239" s="5" t="s">
        <v>484</v>
      </c>
      <c r="I239" s="5"/>
      <c r="J239" s="5"/>
      <c r="K239" s="5">
        <v>212</v>
      </c>
      <c r="L239" s="5">
        <v>28</v>
      </c>
      <c r="M239" s="5">
        <v>0</v>
      </c>
      <c r="N239" s="5" t="s">
        <v>224</v>
      </c>
      <c r="O239" s="5">
        <v>2</v>
      </c>
      <c r="P239" s="5">
        <f>ROUND(P238*0.18,O239)</f>
        <v>208898.86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1</v>
      </c>
      <c r="C240" s="5">
        <v>0</v>
      </c>
      <c r="D240" s="5">
        <v>2</v>
      </c>
      <c r="E240" s="5">
        <v>224</v>
      </c>
      <c r="F240" s="5">
        <f>ROUND(F238+F239,O240)</f>
        <v>225522.6</v>
      </c>
      <c r="G240" s="5" t="s">
        <v>485</v>
      </c>
      <c r="H240" s="5" t="s">
        <v>486</v>
      </c>
      <c r="I240" s="5"/>
      <c r="J240" s="5"/>
      <c r="K240" s="5">
        <v>212</v>
      </c>
      <c r="L240" s="5">
        <v>29</v>
      </c>
      <c r="M240" s="5">
        <v>0</v>
      </c>
      <c r="N240" s="5" t="s">
        <v>224</v>
      </c>
      <c r="O240" s="5">
        <v>2</v>
      </c>
      <c r="P240" s="5">
        <f>ROUND(P238+P239,O240)</f>
        <v>1369448.09</v>
      </c>
      <c r="Q240" s="5"/>
      <c r="R240" s="5"/>
      <c r="S240" s="5"/>
      <c r="T240" s="5"/>
      <c r="U240" s="5"/>
      <c r="V240" s="5"/>
      <c r="W240" s="5"/>
    </row>
    <row r="242" spans="1:206" x14ac:dyDescent="0.2">
      <c r="A242" s="3">
        <v>51</v>
      </c>
      <c r="B242" s="3">
        <f>B12</f>
        <v>303</v>
      </c>
      <c r="C242" s="3">
        <f>A12</f>
        <v>1</v>
      </c>
      <c r="D242" s="3">
        <f>ROW(A12)</f>
        <v>12</v>
      </c>
      <c r="E242" s="3"/>
      <c r="F242" s="3" t="str">
        <f>IF(F12&lt;&gt;"",F12,"")</f>
        <v/>
      </c>
      <c r="G242" s="3" t="str">
        <f>IF(G12&lt;&gt;"",G12,"")</f>
        <v>Капитальный помещений №58,59 1-го этажа учебного корпуса СФТИ НИЯУ мИФИ</v>
      </c>
      <c r="H242" s="3">
        <v>0</v>
      </c>
      <c r="I242" s="3"/>
      <c r="J242" s="3"/>
      <c r="K242" s="3"/>
      <c r="L242" s="3"/>
      <c r="M242" s="3"/>
      <c r="N242" s="3"/>
      <c r="O242" s="3">
        <f t="shared" ref="O242:T242" si="206">ROUND(O210,2)</f>
        <v>161479.15</v>
      </c>
      <c r="P242" s="3">
        <f t="shared" si="206"/>
        <v>138633.99</v>
      </c>
      <c r="Q242" s="3">
        <f t="shared" si="206"/>
        <v>4287.95</v>
      </c>
      <c r="R242" s="3">
        <f t="shared" si="206"/>
        <v>442.91</v>
      </c>
      <c r="S242" s="3">
        <f t="shared" si="206"/>
        <v>18557.21</v>
      </c>
      <c r="T242" s="3">
        <f t="shared" si="206"/>
        <v>0</v>
      </c>
      <c r="U242" s="3">
        <f>U210</f>
        <v>2069.8959829999994</v>
      </c>
      <c r="V242" s="3">
        <f>V210</f>
        <v>39.731349999999999</v>
      </c>
      <c r="W242" s="3">
        <f>ROUND(W210,2)</f>
        <v>0</v>
      </c>
      <c r="X242" s="3">
        <f>ROUND(X210,2)</f>
        <v>19252.82</v>
      </c>
      <c r="Y242" s="3">
        <f>ROUND(Y210,2)</f>
        <v>10303.36</v>
      </c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>
        <f t="shared" ref="AO242:BC242" si="207">ROUND(AO210,2)</f>
        <v>0</v>
      </c>
      <c r="AP242" s="3">
        <f t="shared" si="207"/>
        <v>0</v>
      </c>
      <c r="AQ242" s="3">
        <f t="shared" si="207"/>
        <v>0</v>
      </c>
      <c r="AR242" s="3">
        <f t="shared" si="207"/>
        <v>191120.85</v>
      </c>
      <c r="AS242" s="3">
        <f t="shared" si="207"/>
        <v>191120.85</v>
      </c>
      <c r="AT242" s="3">
        <f t="shared" si="207"/>
        <v>0</v>
      </c>
      <c r="AU242" s="3">
        <f t="shared" si="207"/>
        <v>0</v>
      </c>
      <c r="AV242" s="3">
        <f t="shared" si="207"/>
        <v>138633.99</v>
      </c>
      <c r="AW242" s="3">
        <f t="shared" si="207"/>
        <v>138633.99</v>
      </c>
      <c r="AX242" s="3">
        <f t="shared" si="207"/>
        <v>0</v>
      </c>
      <c r="AY242" s="3">
        <f t="shared" si="207"/>
        <v>138633.99</v>
      </c>
      <c r="AZ242" s="3">
        <f t="shared" si="207"/>
        <v>0</v>
      </c>
      <c r="BA242" s="3">
        <f t="shared" si="207"/>
        <v>0</v>
      </c>
      <c r="BB242" s="3">
        <f t="shared" si="207"/>
        <v>0</v>
      </c>
      <c r="BC242" s="3">
        <f t="shared" si="207"/>
        <v>0</v>
      </c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4">
        <f t="shared" ref="DG242:DL242" si="208">ROUND(DG210,2)</f>
        <v>980472.18</v>
      </c>
      <c r="DH242" s="4">
        <f t="shared" si="208"/>
        <v>841655.93</v>
      </c>
      <c r="DI242" s="4">
        <f t="shared" si="208"/>
        <v>26070.76</v>
      </c>
      <c r="DJ242" s="4">
        <f t="shared" si="208"/>
        <v>2692.78</v>
      </c>
      <c r="DK242" s="4">
        <f t="shared" si="208"/>
        <v>112745.49</v>
      </c>
      <c r="DL242" s="4">
        <f t="shared" si="208"/>
        <v>0</v>
      </c>
      <c r="DM242" s="4">
        <f>DM210</f>
        <v>2068.3459669999993</v>
      </c>
      <c r="DN242" s="4">
        <f>DN210</f>
        <v>39.731349999999999</v>
      </c>
      <c r="DO242" s="4">
        <f>ROUND(DO210,2)</f>
        <v>0</v>
      </c>
      <c r="DP242" s="4">
        <f>ROUND(DP210,2)</f>
        <v>116965.52</v>
      </c>
      <c r="DQ242" s="4">
        <f>ROUND(DQ210,2)</f>
        <v>62591.6</v>
      </c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>
        <f t="shared" ref="EG242:EU242" si="209">ROUND(EG210,2)</f>
        <v>0</v>
      </c>
      <c r="EH242" s="4">
        <f t="shared" si="209"/>
        <v>0</v>
      </c>
      <c r="EI242" s="4">
        <f t="shared" si="209"/>
        <v>0</v>
      </c>
      <c r="EJ242" s="4">
        <f t="shared" si="209"/>
        <v>1160549.23</v>
      </c>
      <c r="EK242" s="4">
        <f t="shared" si="209"/>
        <v>1160549.23</v>
      </c>
      <c r="EL242" s="4">
        <f t="shared" si="209"/>
        <v>0</v>
      </c>
      <c r="EM242" s="4">
        <f t="shared" si="209"/>
        <v>0</v>
      </c>
      <c r="EN242" s="4">
        <f t="shared" si="209"/>
        <v>841655.93</v>
      </c>
      <c r="EO242" s="4">
        <f t="shared" si="209"/>
        <v>841655.93</v>
      </c>
      <c r="EP242" s="4">
        <f t="shared" si="209"/>
        <v>0</v>
      </c>
      <c r="EQ242" s="4">
        <f t="shared" si="209"/>
        <v>841655.93</v>
      </c>
      <c r="ER242" s="4">
        <f t="shared" si="209"/>
        <v>0</v>
      </c>
      <c r="ES242" s="4">
        <f t="shared" si="209"/>
        <v>0</v>
      </c>
      <c r="ET242" s="4">
        <f t="shared" si="209"/>
        <v>0</v>
      </c>
      <c r="EU242" s="4">
        <f t="shared" si="209"/>
        <v>0</v>
      </c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>
        <v>0</v>
      </c>
    </row>
    <row r="244" spans="1:206" x14ac:dyDescent="0.2">
      <c r="A244" s="5">
        <v>50</v>
      </c>
      <c r="B244" s="5">
        <v>0</v>
      </c>
      <c r="C244" s="5">
        <v>0</v>
      </c>
      <c r="D244" s="5">
        <v>1</v>
      </c>
      <c r="E244" s="5">
        <v>201</v>
      </c>
      <c r="F244" s="5">
        <f>ROUND(Source!O242,O244)</f>
        <v>161479.15</v>
      </c>
      <c r="G244" s="5" t="s">
        <v>430</v>
      </c>
      <c r="H244" s="5" t="s">
        <v>431</v>
      </c>
      <c r="I244" s="5"/>
      <c r="J244" s="5"/>
      <c r="K244" s="5">
        <v>201</v>
      </c>
      <c r="L244" s="5">
        <v>1</v>
      </c>
      <c r="M244" s="5">
        <v>3</v>
      </c>
      <c r="N244" s="5" t="s">
        <v>224</v>
      </c>
      <c r="O244" s="5">
        <v>2</v>
      </c>
      <c r="P244" s="5">
        <f>ROUND(Source!DG242,O244)</f>
        <v>980472.18</v>
      </c>
      <c r="Q244" s="5"/>
      <c r="R244" s="5"/>
      <c r="S244" s="5"/>
      <c r="T244" s="5"/>
      <c r="U244" s="5"/>
      <c r="V244" s="5"/>
      <c r="W244" s="5"/>
    </row>
    <row r="245" spans="1:206" x14ac:dyDescent="0.2">
      <c r="A245" s="5">
        <v>50</v>
      </c>
      <c r="B245" s="5">
        <v>0</v>
      </c>
      <c r="C245" s="5">
        <v>0</v>
      </c>
      <c r="D245" s="5">
        <v>1</v>
      </c>
      <c r="E245" s="5">
        <v>202</v>
      </c>
      <c r="F245" s="5">
        <f>ROUND(Source!P242,O245)</f>
        <v>138633.99</v>
      </c>
      <c r="G245" s="5" t="s">
        <v>432</v>
      </c>
      <c r="H245" s="5" t="s">
        <v>433</v>
      </c>
      <c r="I245" s="5"/>
      <c r="J245" s="5"/>
      <c r="K245" s="5">
        <v>202</v>
      </c>
      <c r="L245" s="5">
        <v>2</v>
      </c>
      <c r="M245" s="5">
        <v>3</v>
      </c>
      <c r="N245" s="5" t="s">
        <v>224</v>
      </c>
      <c r="O245" s="5">
        <v>2</v>
      </c>
      <c r="P245" s="5">
        <f>ROUND(Source!DH242,O245)</f>
        <v>841655.93</v>
      </c>
      <c r="Q245" s="5"/>
      <c r="R245" s="5"/>
      <c r="S245" s="5"/>
      <c r="T245" s="5"/>
      <c r="U245" s="5"/>
      <c r="V245" s="5"/>
      <c r="W245" s="5"/>
    </row>
    <row r="246" spans="1:206" x14ac:dyDescent="0.2">
      <c r="A246" s="5">
        <v>50</v>
      </c>
      <c r="B246" s="5">
        <v>0</v>
      </c>
      <c r="C246" s="5">
        <v>0</v>
      </c>
      <c r="D246" s="5">
        <v>1</v>
      </c>
      <c r="E246" s="5">
        <v>222</v>
      </c>
      <c r="F246" s="5">
        <f>ROUND(Source!AO242,O246)</f>
        <v>0</v>
      </c>
      <c r="G246" s="5" t="s">
        <v>434</v>
      </c>
      <c r="H246" s="5" t="s">
        <v>435</v>
      </c>
      <c r="I246" s="5"/>
      <c r="J246" s="5"/>
      <c r="K246" s="5">
        <v>222</v>
      </c>
      <c r="L246" s="5">
        <v>3</v>
      </c>
      <c r="M246" s="5">
        <v>3</v>
      </c>
      <c r="N246" s="5" t="s">
        <v>224</v>
      </c>
      <c r="O246" s="5">
        <v>2</v>
      </c>
      <c r="P246" s="5">
        <f>ROUND(Source!EG242,O246)</f>
        <v>0</v>
      </c>
      <c r="Q246" s="5"/>
      <c r="R246" s="5"/>
      <c r="S246" s="5"/>
      <c r="T246" s="5"/>
      <c r="U246" s="5"/>
      <c r="V246" s="5"/>
      <c r="W246" s="5"/>
    </row>
    <row r="247" spans="1:206" x14ac:dyDescent="0.2">
      <c r="A247" s="5">
        <v>50</v>
      </c>
      <c r="B247" s="5">
        <v>0</v>
      </c>
      <c r="C247" s="5">
        <v>0</v>
      </c>
      <c r="D247" s="5">
        <v>1</v>
      </c>
      <c r="E247" s="5">
        <v>225</v>
      </c>
      <c r="F247" s="5">
        <f>ROUND(Source!AV242,O247)</f>
        <v>138633.99</v>
      </c>
      <c r="G247" s="5" t="s">
        <v>436</v>
      </c>
      <c r="H247" s="5" t="s">
        <v>437</v>
      </c>
      <c r="I247" s="5"/>
      <c r="J247" s="5"/>
      <c r="K247" s="5">
        <v>225</v>
      </c>
      <c r="L247" s="5">
        <v>4</v>
      </c>
      <c r="M247" s="5">
        <v>3</v>
      </c>
      <c r="N247" s="5" t="s">
        <v>224</v>
      </c>
      <c r="O247" s="5">
        <v>2</v>
      </c>
      <c r="P247" s="5">
        <f>ROUND(Source!EN242,O247)</f>
        <v>841655.93</v>
      </c>
      <c r="Q247" s="5"/>
      <c r="R247" s="5"/>
      <c r="S247" s="5"/>
      <c r="T247" s="5"/>
      <c r="U247" s="5"/>
      <c r="V247" s="5"/>
      <c r="W247" s="5"/>
    </row>
    <row r="248" spans="1:206" x14ac:dyDescent="0.2">
      <c r="A248" s="5">
        <v>50</v>
      </c>
      <c r="B248" s="5">
        <v>0</v>
      </c>
      <c r="C248" s="5">
        <v>0</v>
      </c>
      <c r="D248" s="5">
        <v>1</v>
      </c>
      <c r="E248" s="5">
        <v>226</v>
      </c>
      <c r="F248" s="5">
        <f>ROUND(Source!AW242,O248)</f>
        <v>138633.99</v>
      </c>
      <c r="G248" s="5" t="s">
        <v>438</v>
      </c>
      <c r="H248" s="5" t="s">
        <v>439</v>
      </c>
      <c r="I248" s="5"/>
      <c r="J248" s="5"/>
      <c r="K248" s="5">
        <v>226</v>
      </c>
      <c r="L248" s="5">
        <v>5</v>
      </c>
      <c r="M248" s="5">
        <v>3</v>
      </c>
      <c r="N248" s="5" t="s">
        <v>224</v>
      </c>
      <c r="O248" s="5">
        <v>2</v>
      </c>
      <c r="P248" s="5">
        <f>ROUND(Source!EO242,O248)</f>
        <v>841655.93</v>
      </c>
      <c r="Q248" s="5"/>
      <c r="R248" s="5"/>
      <c r="S248" s="5"/>
      <c r="T248" s="5"/>
      <c r="U248" s="5"/>
      <c r="V248" s="5"/>
      <c r="W248" s="5"/>
    </row>
    <row r="249" spans="1:206" x14ac:dyDescent="0.2">
      <c r="A249" s="5">
        <v>50</v>
      </c>
      <c r="B249" s="5">
        <v>0</v>
      </c>
      <c r="C249" s="5">
        <v>0</v>
      </c>
      <c r="D249" s="5">
        <v>1</v>
      </c>
      <c r="E249" s="5">
        <v>227</v>
      </c>
      <c r="F249" s="5">
        <f>ROUND(Source!AX242,O249)</f>
        <v>0</v>
      </c>
      <c r="G249" s="5" t="s">
        <v>440</v>
      </c>
      <c r="H249" s="5" t="s">
        <v>441</v>
      </c>
      <c r="I249" s="5"/>
      <c r="J249" s="5"/>
      <c r="K249" s="5">
        <v>227</v>
      </c>
      <c r="L249" s="5">
        <v>6</v>
      </c>
      <c r="M249" s="5">
        <v>3</v>
      </c>
      <c r="N249" s="5" t="s">
        <v>224</v>
      </c>
      <c r="O249" s="5">
        <v>2</v>
      </c>
      <c r="P249" s="5">
        <f>ROUND(Source!EP242,O249)</f>
        <v>0</v>
      </c>
      <c r="Q249" s="5"/>
      <c r="R249" s="5"/>
      <c r="S249" s="5"/>
      <c r="T249" s="5"/>
      <c r="U249" s="5"/>
      <c r="V249" s="5"/>
      <c r="W249" s="5"/>
    </row>
    <row r="250" spans="1:206" x14ac:dyDescent="0.2">
      <c r="A250" s="5">
        <v>50</v>
      </c>
      <c r="B250" s="5">
        <v>0</v>
      </c>
      <c r="C250" s="5">
        <v>0</v>
      </c>
      <c r="D250" s="5">
        <v>1</v>
      </c>
      <c r="E250" s="5">
        <v>228</v>
      </c>
      <c r="F250" s="5">
        <f>ROUND(Source!AY242,O250)</f>
        <v>138633.99</v>
      </c>
      <c r="G250" s="5" t="s">
        <v>442</v>
      </c>
      <c r="H250" s="5" t="s">
        <v>443</v>
      </c>
      <c r="I250" s="5"/>
      <c r="J250" s="5"/>
      <c r="K250" s="5">
        <v>228</v>
      </c>
      <c r="L250" s="5">
        <v>7</v>
      </c>
      <c r="M250" s="5">
        <v>3</v>
      </c>
      <c r="N250" s="5" t="s">
        <v>224</v>
      </c>
      <c r="O250" s="5">
        <v>2</v>
      </c>
      <c r="P250" s="5">
        <f>ROUND(Source!EQ242,O250)</f>
        <v>841655.93</v>
      </c>
      <c r="Q250" s="5"/>
      <c r="R250" s="5"/>
      <c r="S250" s="5"/>
      <c r="T250" s="5"/>
      <c r="U250" s="5"/>
      <c r="V250" s="5"/>
      <c r="W250" s="5"/>
    </row>
    <row r="251" spans="1:206" x14ac:dyDescent="0.2">
      <c r="A251" s="5">
        <v>50</v>
      </c>
      <c r="B251" s="5">
        <v>0</v>
      </c>
      <c r="C251" s="5">
        <v>0</v>
      </c>
      <c r="D251" s="5">
        <v>1</v>
      </c>
      <c r="E251" s="5">
        <v>216</v>
      </c>
      <c r="F251" s="5">
        <f>ROUND(Source!AP242,O251)</f>
        <v>0</v>
      </c>
      <c r="G251" s="5" t="s">
        <v>444</v>
      </c>
      <c r="H251" s="5" t="s">
        <v>445</v>
      </c>
      <c r="I251" s="5"/>
      <c r="J251" s="5"/>
      <c r="K251" s="5">
        <v>216</v>
      </c>
      <c r="L251" s="5">
        <v>8</v>
      </c>
      <c r="M251" s="5">
        <v>3</v>
      </c>
      <c r="N251" s="5" t="s">
        <v>224</v>
      </c>
      <c r="O251" s="5">
        <v>2</v>
      </c>
      <c r="P251" s="5">
        <f>ROUND(Source!EH242,O251)</f>
        <v>0</v>
      </c>
      <c r="Q251" s="5"/>
      <c r="R251" s="5"/>
      <c r="S251" s="5"/>
      <c r="T251" s="5"/>
      <c r="U251" s="5"/>
      <c r="V251" s="5"/>
      <c r="W251" s="5"/>
    </row>
    <row r="252" spans="1:206" x14ac:dyDescent="0.2">
      <c r="A252" s="5">
        <v>50</v>
      </c>
      <c r="B252" s="5">
        <v>0</v>
      </c>
      <c r="C252" s="5">
        <v>0</v>
      </c>
      <c r="D252" s="5">
        <v>1</v>
      </c>
      <c r="E252" s="5">
        <v>223</v>
      </c>
      <c r="F252" s="5">
        <f>ROUND(Source!AQ242,O252)</f>
        <v>0</v>
      </c>
      <c r="G252" s="5" t="s">
        <v>446</v>
      </c>
      <c r="H252" s="5" t="s">
        <v>447</v>
      </c>
      <c r="I252" s="5"/>
      <c r="J252" s="5"/>
      <c r="K252" s="5">
        <v>223</v>
      </c>
      <c r="L252" s="5">
        <v>9</v>
      </c>
      <c r="M252" s="5">
        <v>3</v>
      </c>
      <c r="N252" s="5" t="s">
        <v>224</v>
      </c>
      <c r="O252" s="5">
        <v>2</v>
      </c>
      <c r="P252" s="5">
        <f>ROUND(Source!EI242,O252)</f>
        <v>0</v>
      </c>
      <c r="Q252" s="5"/>
      <c r="R252" s="5"/>
      <c r="S252" s="5"/>
      <c r="T252" s="5"/>
      <c r="U252" s="5"/>
      <c r="V252" s="5"/>
      <c r="W252" s="5"/>
    </row>
    <row r="253" spans="1:206" x14ac:dyDescent="0.2">
      <c r="A253" s="5">
        <v>50</v>
      </c>
      <c r="B253" s="5">
        <v>0</v>
      </c>
      <c r="C253" s="5">
        <v>0</v>
      </c>
      <c r="D253" s="5">
        <v>1</v>
      </c>
      <c r="E253" s="5">
        <v>229</v>
      </c>
      <c r="F253" s="5">
        <f>ROUND(Source!AZ242,O253)</f>
        <v>0</v>
      </c>
      <c r="G253" s="5" t="s">
        <v>448</v>
      </c>
      <c r="H253" s="5" t="s">
        <v>449</v>
      </c>
      <c r="I253" s="5"/>
      <c r="J253" s="5"/>
      <c r="K253" s="5">
        <v>229</v>
      </c>
      <c r="L253" s="5">
        <v>10</v>
      </c>
      <c r="M253" s="5">
        <v>3</v>
      </c>
      <c r="N253" s="5" t="s">
        <v>224</v>
      </c>
      <c r="O253" s="5">
        <v>2</v>
      </c>
      <c r="P253" s="5">
        <f>ROUND(Source!ER242,O253)</f>
        <v>0</v>
      </c>
      <c r="Q253" s="5"/>
      <c r="R253" s="5"/>
      <c r="S253" s="5"/>
      <c r="T253" s="5"/>
      <c r="U253" s="5"/>
      <c r="V253" s="5"/>
      <c r="W253" s="5"/>
    </row>
    <row r="254" spans="1:206" x14ac:dyDescent="0.2">
      <c r="A254" s="5">
        <v>50</v>
      </c>
      <c r="B254" s="5">
        <v>0</v>
      </c>
      <c r="C254" s="5">
        <v>0</v>
      </c>
      <c r="D254" s="5">
        <v>1</v>
      </c>
      <c r="E254" s="5">
        <v>203</v>
      </c>
      <c r="F254" s="5">
        <f>ROUND(Source!Q242,O254)</f>
        <v>4287.95</v>
      </c>
      <c r="G254" s="5" t="s">
        <v>450</v>
      </c>
      <c r="H254" s="5" t="s">
        <v>451</v>
      </c>
      <c r="I254" s="5"/>
      <c r="J254" s="5"/>
      <c r="K254" s="5">
        <v>203</v>
      </c>
      <c r="L254" s="5">
        <v>11</v>
      </c>
      <c r="M254" s="5">
        <v>3</v>
      </c>
      <c r="N254" s="5" t="s">
        <v>224</v>
      </c>
      <c r="O254" s="5">
        <v>2</v>
      </c>
      <c r="P254" s="5">
        <f>ROUND(Source!DI242,O254)</f>
        <v>26070.76</v>
      </c>
      <c r="Q254" s="5"/>
      <c r="R254" s="5"/>
      <c r="S254" s="5"/>
      <c r="T254" s="5"/>
      <c r="U254" s="5"/>
      <c r="V254" s="5"/>
      <c r="W254" s="5"/>
    </row>
    <row r="255" spans="1:206" x14ac:dyDescent="0.2">
      <c r="A255" s="5">
        <v>50</v>
      </c>
      <c r="B255" s="5">
        <v>0</v>
      </c>
      <c r="C255" s="5">
        <v>0</v>
      </c>
      <c r="D255" s="5">
        <v>1</v>
      </c>
      <c r="E255" s="5">
        <v>231</v>
      </c>
      <c r="F255" s="5">
        <f>ROUND(Source!BB242,O255)</f>
        <v>0</v>
      </c>
      <c r="G255" s="5" t="s">
        <v>452</v>
      </c>
      <c r="H255" s="5" t="s">
        <v>453</v>
      </c>
      <c r="I255" s="5"/>
      <c r="J255" s="5"/>
      <c r="K255" s="5">
        <v>231</v>
      </c>
      <c r="L255" s="5">
        <v>12</v>
      </c>
      <c r="M255" s="5">
        <v>3</v>
      </c>
      <c r="N255" s="5" t="s">
        <v>224</v>
      </c>
      <c r="O255" s="5">
        <v>2</v>
      </c>
      <c r="P255" s="5">
        <f>ROUND(Source!ET242,O255)</f>
        <v>0</v>
      </c>
      <c r="Q255" s="5"/>
      <c r="R255" s="5"/>
      <c r="S255" s="5"/>
      <c r="T255" s="5"/>
      <c r="U255" s="5"/>
      <c r="V255" s="5"/>
      <c r="W255" s="5"/>
    </row>
    <row r="256" spans="1:206" x14ac:dyDescent="0.2">
      <c r="A256" s="5">
        <v>50</v>
      </c>
      <c r="B256" s="5">
        <v>0</v>
      </c>
      <c r="C256" s="5">
        <v>0</v>
      </c>
      <c r="D256" s="5">
        <v>1</v>
      </c>
      <c r="E256" s="5">
        <v>204</v>
      </c>
      <c r="F256" s="5">
        <f>ROUND(Source!R242,O256)</f>
        <v>442.91</v>
      </c>
      <c r="G256" s="5" t="s">
        <v>454</v>
      </c>
      <c r="H256" s="5" t="s">
        <v>455</v>
      </c>
      <c r="I256" s="5"/>
      <c r="J256" s="5"/>
      <c r="K256" s="5">
        <v>204</v>
      </c>
      <c r="L256" s="5">
        <v>13</v>
      </c>
      <c r="M256" s="5">
        <v>3</v>
      </c>
      <c r="N256" s="5" t="s">
        <v>224</v>
      </c>
      <c r="O256" s="5">
        <v>2</v>
      </c>
      <c r="P256" s="5">
        <f>ROUND(Source!DJ242,O256)</f>
        <v>2692.78</v>
      </c>
      <c r="Q256" s="5"/>
      <c r="R256" s="5"/>
      <c r="S256" s="5"/>
      <c r="T256" s="5"/>
      <c r="U256" s="5"/>
      <c r="V256" s="5"/>
      <c r="W256" s="5"/>
    </row>
    <row r="257" spans="1:23" x14ac:dyDescent="0.2">
      <c r="A257" s="5">
        <v>50</v>
      </c>
      <c r="B257" s="5">
        <v>0</v>
      </c>
      <c r="C257" s="5">
        <v>0</v>
      </c>
      <c r="D257" s="5">
        <v>1</v>
      </c>
      <c r="E257" s="5">
        <v>205</v>
      </c>
      <c r="F257" s="5">
        <f>ROUND(Source!S242,O257)</f>
        <v>18557.21</v>
      </c>
      <c r="G257" s="5" t="s">
        <v>456</v>
      </c>
      <c r="H257" s="5" t="s">
        <v>457</v>
      </c>
      <c r="I257" s="5"/>
      <c r="J257" s="5"/>
      <c r="K257" s="5">
        <v>205</v>
      </c>
      <c r="L257" s="5">
        <v>14</v>
      </c>
      <c r="M257" s="5">
        <v>3</v>
      </c>
      <c r="N257" s="5" t="s">
        <v>224</v>
      </c>
      <c r="O257" s="5">
        <v>2</v>
      </c>
      <c r="P257" s="5">
        <f>ROUND(Source!DK242,O257)</f>
        <v>112745.49</v>
      </c>
      <c r="Q257" s="5"/>
      <c r="R257" s="5"/>
      <c r="S257" s="5"/>
      <c r="T257" s="5"/>
      <c r="U257" s="5"/>
      <c r="V257" s="5"/>
      <c r="W257" s="5"/>
    </row>
    <row r="258" spans="1:23" x14ac:dyDescent="0.2">
      <c r="A258" s="5">
        <v>50</v>
      </c>
      <c r="B258" s="5">
        <v>0</v>
      </c>
      <c r="C258" s="5">
        <v>0</v>
      </c>
      <c r="D258" s="5">
        <v>1</v>
      </c>
      <c r="E258" s="5">
        <v>232</v>
      </c>
      <c r="F258" s="5">
        <f>ROUND(Source!BC242,O258)</f>
        <v>0</v>
      </c>
      <c r="G258" s="5" t="s">
        <v>458</v>
      </c>
      <c r="H258" s="5" t="s">
        <v>459</v>
      </c>
      <c r="I258" s="5"/>
      <c r="J258" s="5"/>
      <c r="K258" s="5">
        <v>232</v>
      </c>
      <c r="L258" s="5">
        <v>15</v>
      </c>
      <c r="M258" s="5">
        <v>3</v>
      </c>
      <c r="N258" s="5" t="s">
        <v>224</v>
      </c>
      <c r="O258" s="5">
        <v>2</v>
      </c>
      <c r="P258" s="5">
        <f>ROUND(Source!EU242,O258)</f>
        <v>0</v>
      </c>
      <c r="Q258" s="5"/>
      <c r="R258" s="5"/>
      <c r="S258" s="5"/>
      <c r="T258" s="5"/>
      <c r="U258" s="5"/>
      <c r="V258" s="5"/>
      <c r="W258" s="5"/>
    </row>
    <row r="259" spans="1:23" x14ac:dyDescent="0.2">
      <c r="A259" s="5">
        <v>50</v>
      </c>
      <c r="B259" s="5">
        <v>0</v>
      </c>
      <c r="C259" s="5">
        <v>0</v>
      </c>
      <c r="D259" s="5">
        <v>1</v>
      </c>
      <c r="E259" s="5">
        <v>214</v>
      </c>
      <c r="F259" s="5">
        <f>ROUND(Source!AS242,O259)</f>
        <v>191120.85</v>
      </c>
      <c r="G259" s="5" t="s">
        <v>460</v>
      </c>
      <c r="H259" s="5" t="s">
        <v>461</v>
      </c>
      <c r="I259" s="5"/>
      <c r="J259" s="5"/>
      <c r="K259" s="5">
        <v>214</v>
      </c>
      <c r="L259" s="5">
        <v>16</v>
      </c>
      <c r="M259" s="5">
        <v>3</v>
      </c>
      <c r="N259" s="5" t="s">
        <v>224</v>
      </c>
      <c r="O259" s="5">
        <v>2</v>
      </c>
      <c r="P259" s="5">
        <f>ROUND(Source!EK242,O259)</f>
        <v>1160549.23</v>
      </c>
      <c r="Q259" s="5"/>
      <c r="R259" s="5"/>
      <c r="S259" s="5"/>
      <c r="T259" s="5"/>
      <c r="U259" s="5"/>
      <c r="V259" s="5"/>
      <c r="W259" s="5"/>
    </row>
    <row r="260" spans="1:23" x14ac:dyDescent="0.2">
      <c r="A260" s="5">
        <v>50</v>
      </c>
      <c r="B260" s="5">
        <v>0</v>
      </c>
      <c r="C260" s="5">
        <v>0</v>
      </c>
      <c r="D260" s="5">
        <v>1</v>
      </c>
      <c r="E260" s="5">
        <v>215</v>
      </c>
      <c r="F260" s="5">
        <f>ROUND(Source!AT242,O260)</f>
        <v>0</v>
      </c>
      <c r="G260" s="5" t="s">
        <v>462</v>
      </c>
      <c r="H260" s="5" t="s">
        <v>463</v>
      </c>
      <c r="I260" s="5"/>
      <c r="J260" s="5"/>
      <c r="K260" s="5">
        <v>215</v>
      </c>
      <c r="L260" s="5">
        <v>17</v>
      </c>
      <c r="M260" s="5">
        <v>3</v>
      </c>
      <c r="N260" s="5" t="s">
        <v>224</v>
      </c>
      <c r="O260" s="5">
        <v>2</v>
      </c>
      <c r="P260" s="5">
        <f>ROUND(Source!EL242,O260)</f>
        <v>0</v>
      </c>
      <c r="Q260" s="5"/>
      <c r="R260" s="5"/>
      <c r="S260" s="5"/>
      <c r="T260" s="5"/>
      <c r="U260" s="5"/>
      <c r="V260" s="5"/>
      <c r="W260" s="5"/>
    </row>
    <row r="261" spans="1:23" x14ac:dyDescent="0.2">
      <c r="A261" s="5">
        <v>50</v>
      </c>
      <c r="B261" s="5">
        <v>0</v>
      </c>
      <c r="C261" s="5">
        <v>0</v>
      </c>
      <c r="D261" s="5">
        <v>1</v>
      </c>
      <c r="E261" s="5">
        <v>217</v>
      </c>
      <c r="F261" s="5">
        <f>ROUND(Source!AU242,O261)</f>
        <v>0</v>
      </c>
      <c r="G261" s="5" t="s">
        <v>464</v>
      </c>
      <c r="H261" s="5" t="s">
        <v>465</v>
      </c>
      <c r="I261" s="5"/>
      <c r="J261" s="5"/>
      <c r="K261" s="5">
        <v>217</v>
      </c>
      <c r="L261" s="5">
        <v>18</v>
      </c>
      <c r="M261" s="5">
        <v>3</v>
      </c>
      <c r="N261" s="5" t="s">
        <v>224</v>
      </c>
      <c r="O261" s="5">
        <v>2</v>
      </c>
      <c r="P261" s="5">
        <f>ROUND(Source!EM242,O261)</f>
        <v>0</v>
      </c>
      <c r="Q261" s="5"/>
      <c r="R261" s="5"/>
      <c r="S261" s="5"/>
      <c r="T261" s="5"/>
      <c r="U261" s="5"/>
      <c r="V261" s="5"/>
      <c r="W261" s="5"/>
    </row>
    <row r="262" spans="1:23" x14ac:dyDescent="0.2">
      <c r="A262" s="5">
        <v>50</v>
      </c>
      <c r="B262" s="5">
        <v>0</v>
      </c>
      <c r="C262" s="5">
        <v>0</v>
      </c>
      <c r="D262" s="5">
        <v>1</v>
      </c>
      <c r="E262" s="5">
        <v>230</v>
      </c>
      <c r="F262" s="5">
        <f>ROUND(Source!BA242,O262)</f>
        <v>0</v>
      </c>
      <c r="G262" s="5" t="s">
        <v>466</v>
      </c>
      <c r="H262" s="5" t="s">
        <v>467</v>
      </c>
      <c r="I262" s="5"/>
      <c r="J262" s="5"/>
      <c r="K262" s="5">
        <v>230</v>
      </c>
      <c r="L262" s="5">
        <v>19</v>
      </c>
      <c r="M262" s="5">
        <v>3</v>
      </c>
      <c r="N262" s="5" t="s">
        <v>224</v>
      </c>
      <c r="O262" s="5">
        <v>2</v>
      </c>
      <c r="P262" s="5">
        <f>ROUND(Source!ES242,O262)</f>
        <v>0</v>
      </c>
      <c r="Q262" s="5"/>
      <c r="R262" s="5"/>
      <c r="S262" s="5"/>
      <c r="T262" s="5"/>
      <c r="U262" s="5"/>
      <c r="V262" s="5"/>
      <c r="W262" s="5"/>
    </row>
    <row r="263" spans="1:23" x14ac:dyDescent="0.2">
      <c r="A263" s="5">
        <v>50</v>
      </c>
      <c r="B263" s="5">
        <v>0</v>
      </c>
      <c r="C263" s="5">
        <v>0</v>
      </c>
      <c r="D263" s="5">
        <v>1</v>
      </c>
      <c r="E263" s="5">
        <v>206</v>
      </c>
      <c r="F263" s="5">
        <f>ROUND(Source!T242,O263)</f>
        <v>0</v>
      </c>
      <c r="G263" s="5" t="s">
        <v>468</v>
      </c>
      <c r="H263" s="5" t="s">
        <v>469</v>
      </c>
      <c r="I263" s="5"/>
      <c r="J263" s="5"/>
      <c r="K263" s="5">
        <v>206</v>
      </c>
      <c r="L263" s="5">
        <v>20</v>
      </c>
      <c r="M263" s="5">
        <v>3</v>
      </c>
      <c r="N263" s="5" t="s">
        <v>224</v>
      </c>
      <c r="O263" s="5">
        <v>2</v>
      </c>
      <c r="P263" s="5">
        <f>ROUND(Source!DL242,O263)</f>
        <v>0</v>
      </c>
      <c r="Q263" s="5"/>
      <c r="R263" s="5"/>
      <c r="S263" s="5"/>
      <c r="T263" s="5"/>
      <c r="U263" s="5"/>
      <c r="V263" s="5"/>
      <c r="W263" s="5"/>
    </row>
    <row r="264" spans="1:23" x14ac:dyDescent="0.2">
      <c r="A264" s="5">
        <v>50</v>
      </c>
      <c r="B264" s="5">
        <v>0</v>
      </c>
      <c r="C264" s="5">
        <v>0</v>
      </c>
      <c r="D264" s="5">
        <v>1</v>
      </c>
      <c r="E264" s="5">
        <v>207</v>
      </c>
      <c r="F264" s="5">
        <f>Source!U242</f>
        <v>2069.8959829999994</v>
      </c>
      <c r="G264" s="5" t="s">
        <v>470</v>
      </c>
      <c r="H264" s="5" t="s">
        <v>471</v>
      </c>
      <c r="I264" s="5"/>
      <c r="J264" s="5"/>
      <c r="K264" s="5">
        <v>207</v>
      </c>
      <c r="L264" s="5">
        <v>21</v>
      </c>
      <c r="M264" s="5">
        <v>3</v>
      </c>
      <c r="N264" s="5" t="s">
        <v>224</v>
      </c>
      <c r="O264" s="5">
        <v>-1</v>
      </c>
      <c r="P264" s="5">
        <f>Source!DM242</f>
        <v>2068.3459669999993</v>
      </c>
      <c r="Q264" s="5"/>
      <c r="R264" s="5"/>
      <c r="S264" s="5"/>
      <c r="T264" s="5"/>
      <c r="U264" s="5"/>
      <c r="V264" s="5"/>
      <c r="W264" s="5"/>
    </row>
    <row r="265" spans="1:23" x14ac:dyDescent="0.2">
      <c r="A265" s="5">
        <v>50</v>
      </c>
      <c r="B265" s="5">
        <v>0</v>
      </c>
      <c r="C265" s="5">
        <v>0</v>
      </c>
      <c r="D265" s="5">
        <v>1</v>
      </c>
      <c r="E265" s="5">
        <v>208</v>
      </c>
      <c r="F265" s="5">
        <f>Source!V242</f>
        <v>39.731349999999999</v>
      </c>
      <c r="G265" s="5" t="s">
        <v>472</v>
      </c>
      <c r="H265" s="5" t="s">
        <v>473</v>
      </c>
      <c r="I265" s="5"/>
      <c r="J265" s="5"/>
      <c r="K265" s="5">
        <v>208</v>
      </c>
      <c r="L265" s="5">
        <v>22</v>
      </c>
      <c r="M265" s="5">
        <v>3</v>
      </c>
      <c r="N265" s="5" t="s">
        <v>224</v>
      </c>
      <c r="O265" s="5">
        <v>-1</v>
      </c>
      <c r="P265" s="5">
        <f>Source!DN242</f>
        <v>39.731349999999999</v>
      </c>
      <c r="Q265" s="5"/>
      <c r="R265" s="5"/>
      <c r="S265" s="5"/>
      <c r="T265" s="5"/>
      <c r="U265" s="5"/>
      <c r="V265" s="5"/>
      <c r="W265" s="5"/>
    </row>
    <row r="266" spans="1:23" x14ac:dyDescent="0.2">
      <c r="A266" s="5">
        <v>50</v>
      </c>
      <c r="B266" s="5">
        <v>0</v>
      </c>
      <c r="C266" s="5">
        <v>0</v>
      </c>
      <c r="D266" s="5">
        <v>1</v>
      </c>
      <c r="E266" s="5">
        <v>209</v>
      </c>
      <c r="F266" s="5">
        <f>ROUND(Source!W242,O266)</f>
        <v>0</v>
      </c>
      <c r="G266" s="5" t="s">
        <v>474</v>
      </c>
      <c r="H266" s="5" t="s">
        <v>475</v>
      </c>
      <c r="I266" s="5"/>
      <c r="J266" s="5"/>
      <c r="K266" s="5">
        <v>209</v>
      </c>
      <c r="L266" s="5">
        <v>23</v>
      </c>
      <c r="M266" s="5">
        <v>3</v>
      </c>
      <c r="N266" s="5" t="s">
        <v>224</v>
      </c>
      <c r="O266" s="5">
        <v>2</v>
      </c>
      <c r="P266" s="5">
        <f>ROUND(Source!DO242,O266)</f>
        <v>0</v>
      </c>
      <c r="Q266" s="5"/>
      <c r="R266" s="5"/>
      <c r="S266" s="5"/>
      <c r="T266" s="5"/>
      <c r="U266" s="5"/>
      <c r="V266" s="5"/>
      <c r="W266" s="5"/>
    </row>
    <row r="267" spans="1:23" x14ac:dyDescent="0.2">
      <c r="A267" s="5">
        <v>50</v>
      </c>
      <c r="B267" s="5">
        <v>0</v>
      </c>
      <c r="C267" s="5">
        <v>0</v>
      </c>
      <c r="D267" s="5">
        <v>1</v>
      </c>
      <c r="E267" s="5">
        <v>210</v>
      </c>
      <c r="F267" s="5">
        <f>ROUND(Source!X242,O267)</f>
        <v>19252.82</v>
      </c>
      <c r="G267" s="5" t="s">
        <v>476</v>
      </c>
      <c r="H267" s="5" t="s">
        <v>477</v>
      </c>
      <c r="I267" s="5"/>
      <c r="J267" s="5"/>
      <c r="K267" s="5">
        <v>210</v>
      </c>
      <c r="L267" s="5">
        <v>24</v>
      </c>
      <c r="M267" s="5">
        <v>3</v>
      </c>
      <c r="N267" s="5" t="s">
        <v>224</v>
      </c>
      <c r="O267" s="5">
        <v>2</v>
      </c>
      <c r="P267" s="5">
        <f>ROUND(Source!DP242,O267)</f>
        <v>116965.52</v>
      </c>
      <c r="Q267" s="5"/>
      <c r="R267" s="5"/>
      <c r="S267" s="5"/>
      <c r="T267" s="5"/>
      <c r="U267" s="5"/>
      <c r="V267" s="5"/>
      <c r="W267" s="5"/>
    </row>
    <row r="268" spans="1:23" x14ac:dyDescent="0.2">
      <c r="A268" s="5">
        <v>50</v>
      </c>
      <c r="B268" s="5">
        <v>0</v>
      </c>
      <c r="C268" s="5">
        <v>0</v>
      </c>
      <c r="D268" s="5">
        <v>1</v>
      </c>
      <c r="E268" s="5">
        <v>211</v>
      </c>
      <c r="F268" s="5">
        <f>ROUND(Source!Y242,O268)</f>
        <v>10303.36</v>
      </c>
      <c r="G268" s="5" t="s">
        <v>478</v>
      </c>
      <c r="H268" s="5" t="s">
        <v>479</v>
      </c>
      <c r="I268" s="5"/>
      <c r="J268" s="5"/>
      <c r="K268" s="5">
        <v>211</v>
      </c>
      <c r="L268" s="5">
        <v>25</v>
      </c>
      <c r="M268" s="5">
        <v>3</v>
      </c>
      <c r="N268" s="5" t="s">
        <v>224</v>
      </c>
      <c r="O268" s="5">
        <v>2</v>
      </c>
      <c r="P268" s="5">
        <f>ROUND(Source!DQ242,O268)</f>
        <v>62591.6</v>
      </c>
      <c r="Q268" s="5"/>
      <c r="R268" s="5"/>
      <c r="S268" s="5"/>
      <c r="T268" s="5"/>
      <c r="U268" s="5"/>
      <c r="V268" s="5"/>
      <c r="W268" s="5"/>
    </row>
    <row r="269" spans="1:23" x14ac:dyDescent="0.2">
      <c r="A269" s="5">
        <v>50</v>
      </c>
      <c r="B269" s="5">
        <v>0</v>
      </c>
      <c r="C269" s="5">
        <v>0</v>
      </c>
      <c r="D269" s="5">
        <v>1</v>
      </c>
      <c r="E269" s="5">
        <v>0</v>
      </c>
      <c r="F269" s="5">
        <f>ROUND(Source!AR242,O269)</f>
        <v>191120.85</v>
      </c>
      <c r="G269" s="5" t="s">
        <v>480</v>
      </c>
      <c r="H269" s="5" t="s">
        <v>481</v>
      </c>
      <c r="I269" s="5"/>
      <c r="J269" s="5"/>
      <c r="K269" s="5">
        <v>224</v>
      </c>
      <c r="L269" s="5">
        <v>26</v>
      </c>
      <c r="M269" s="5">
        <v>3</v>
      </c>
      <c r="N269" s="5" t="s">
        <v>224</v>
      </c>
      <c r="O269" s="5">
        <v>2</v>
      </c>
      <c r="P269" s="5">
        <f>ROUND(Source!EJ242,O269)</f>
        <v>1160549.23</v>
      </c>
      <c r="Q269" s="5"/>
      <c r="R269" s="5"/>
      <c r="S269" s="5"/>
      <c r="T269" s="5"/>
      <c r="U269" s="5"/>
      <c r="V269" s="5"/>
      <c r="W269" s="5"/>
    </row>
    <row r="270" spans="1:23" x14ac:dyDescent="0.2">
      <c r="A270" s="5">
        <v>50</v>
      </c>
      <c r="B270" s="5">
        <v>1</v>
      </c>
      <c r="C270" s="5">
        <v>0</v>
      </c>
      <c r="D270" s="5">
        <v>2</v>
      </c>
      <c r="E270" s="5">
        <v>0</v>
      </c>
      <c r="F270" s="5">
        <f>ROUND(F269,O270)</f>
        <v>191120.85</v>
      </c>
      <c r="G270" s="5" t="s">
        <v>482</v>
      </c>
      <c r="H270" s="5" t="s">
        <v>480</v>
      </c>
      <c r="I270" s="5"/>
      <c r="J270" s="5"/>
      <c r="K270" s="5">
        <v>212</v>
      </c>
      <c r="L270" s="5">
        <v>27</v>
      </c>
      <c r="M270" s="5">
        <v>0</v>
      </c>
      <c r="N270" s="5" t="s">
        <v>224</v>
      </c>
      <c r="O270" s="5">
        <v>2</v>
      </c>
      <c r="P270" s="5">
        <f>ROUND(P269,O270)</f>
        <v>1160549.23</v>
      </c>
      <c r="Q270" s="5"/>
      <c r="R270" s="5"/>
      <c r="S270" s="5"/>
      <c r="T270" s="5"/>
      <c r="U270" s="5"/>
      <c r="V270" s="5"/>
      <c r="W270" s="5"/>
    </row>
    <row r="271" spans="1:23" x14ac:dyDescent="0.2">
      <c r="A271" s="5">
        <v>50</v>
      </c>
      <c r="B271" s="5">
        <v>1</v>
      </c>
      <c r="C271" s="5">
        <v>0</v>
      </c>
      <c r="D271" s="5">
        <v>2</v>
      </c>
      <c r="E271" s="5">
        <v>0</v>
      </c>
      <c r="F271" s="5">
        <f>ROUND(F270*0.18,O271)</f>
        <v>34401.75</v>
      </c>
      <c r="G271" s="5" t="s">
        <v>483</v>
      </c>
      <c r="H271" s="5" t="s">
        <v>484</v>
      </c>
      <c r="I271" s="5"/>
      <c r="J271" s="5"/>
      <c r="K271" s="5">
        <v>212</v>
      </c>
      <c r="L271" s="5">
        <v>28</v>
      </c>
      <c r="M271" s="5">
        <v>0</v>
      </c>
      <c r="N271" s="5" t="s">
        <v>224</v>
      </c>
      <c r="O271" s="5">
        <v>2</v>
      </c>
      <c r="P271" s="5">
        <f>ROUND(P270*0.18,O271)</f>
        <v>208898.86</v>
      </c>
      <c r="Q271" s="5"/>
      <c r="R271" s="5"/>
      <c r="S271" s="5"/>
      <c r="T271" s="5"/>
      <c r="U271" s="5"/>
      <c r="V271" s="5"/>
      <c r="W271" s="5"/>
    </row>
    <row r="272" spans="1:23" x14ac:dyDescent="0.2">
      <c r="A272" s="5">
        <v>50</v>
      </c>
      <c r="B272" s="5">
        <v>1</v>
      </c>
      <c r="C272" s="5">
        <v>0</v>
      </c>
      <c r="D272" s="5">
        <v>2</v>
      </c>
      <c r="E272" s="5">
        <v>224</v>
      </c>
      <c r="F272" s="5">
        <f>ROUND(F270+F271,O272)</f>
        <v>225522.6</v>
      </c>
      <c r="G272" s="5" t="s">
        <v>485</v>
      </c>
      <c r="H272" s="5" t="s">
        <v>486</v>
      </c>
      <c r="I272" s="5"/>
      <c r="J272" s="5"/>
      <c r="K272" s="5">
        <v>212</v>
      </c>
      <c r="L272" s="5">
        <v>29</v>
      </c>
      <c r="M272" s="5">
        <v>0</v>
      </c>
      <c r="N272" s="5" t="s">
        <v>224</v>
      </c>
      <c r="O272" s="5">
        <v>2</v>
      </c>
      <c r="P272" s="5">
        <f>ROUND(P270+P271,O272)</f>
        <v>1369448.09</v>
      </c>
      <c r="Q272" s="5"/>
      <c r="R272" s="5"/>
      <c r="S272" s="5"/>
      <c r="T272" s="5"/>
      <c r="U272" s="5"/>
      <c r="V272" s="5"/>
      <c r="W272" s="5"/>
    </row>
    <row r="275" spans="1:15" x14ac:dyDescent="0.2">
      <c r="A275">
        <v>70</v>
      </c>
      <c r="B275">
        <v>1</v>
      </c>
      <c r="D275">
        <v>1</v>
      </c>
      <c r="E275" t="s">
        <v>561</v>
      </c>
      <c r="F275" t="s">
        <v>562</v>
      </c>
      <c r="G275">
        <v>0</v>
      </c>
      <c r="H275">
        <v>0</v>
      </c>
      <c r="I275" t="s">
        <v>224</v>
      </c>
      <c r="J275">
        <v>1</v>
      </c>
      <c r="K275">
        <v>0</v>
      </c>
      <c r="L275" t="s">
        <v>224</v>
      </c>
      <c r="M275" t="s">
        <v>224</v>
      </c>
      <c r="N275">
        <v>0</v>
      </c>
      <c r="O275">
        <v>0</v>
      </c>
    </row>
    <row r="276" spans="1:15" x14ac:dyDescent="0.2">
      <c r="A276">
        <v>70</v>
      </c>
      <c r="B276">
        <v>1</v>
      </c>
      <c r="D276">
        <v>2</v>
      </c>
      <c r="E276" t="s">
        <v>563</v>
      </c>
      <c r="F276" t="s">
        <v>564</v>
      </c>
      <c r="G276">
        <v>1</v>
      </c>
      <c r="H276">
        <v>0</v>
      </c>
      <c r="I276" t="s">
        <v>224</v>
      </c>
      <c r="J276">
        <v>1</v>
      </c>
      <c r="K276">
        <v>0</v>
      </c>
      <c r="L276" t="s">
        <v>224</v>
      </c>
      <c r="M276" t="s">
        <v>224</v>
      </c>
      <c r="N276">
        <v>0</v>
      </c>
      <c r="O276">
        <v>1</v>
      </c>
    </row>
    <row r="277" spans="1:15" x14ac:dyDescent="0.2">
      <c r="A277">
        <v>70</v>
      </c>
      <c r="B277">
        <v>1</v>
      </c>
      <c r="D277">
        <v>3</v>
      </c>
      <c r="E277" t="s">
        <v>565</v>
      </c>
      <c r="F277" t="s">
        <v>566</v>
      </c>
      <c r="G277">
        <v>0</v>
      </c>
      <c r="H277">
        <v>0</v>
      </c>
      <c r="I277" t="s">
        <v>224</v>
      </c>
      <c r="J277">
        <v>1</v>
      </c>
      <c r="K277">
        <v>0</v>
      </c>
      <c r="L277" t="s">
        <v>224</v>
      </c>
      <c r="M277" t="s">
        <v>224</v>
      </c>
      <c r="N277">
        <v>0</v>
      </c>
      <c r="O277">
        <v>0</v>
      </c>
    </row>
    <row r="278" spans="1:15" x14ac:dyDescent="0.2">
      <c r="A278">
        <v>70</v>
      </c>
      <c r="B278">
        <v>1</v>
      </c>
      <c r="D278">
        <v>4</v>
      </c>
      <c r="E278" t="s">
        <v>567</v>
      </c>
      <c r="F278" t="s">
        <v>568</v>
      </c>
      <c r="G278">
        <v>0</v>
      </c>
      <c r="H278">
        <v>0</v>
      </c>
      <c r="I278" t="s">
        <v>569</v>
      </c>
      <c r="J278">
        <v>0</v>
      </c>
      <c r="K278">
        <v>0</v>
      </c>
      <c r="L278" t="s">
        <v>224</v>
      </c>
      <c r="M278" t="s">
        <v>224</v>
      </c>
      <c r="N278">
        <v>0</v>
      </c>
      <c r="O278">
        <v>0</v>
      </c>
    </row>
    <row r="279" spans="1:15" x14ac:dyDescent="0.2">
      <c r="A279">
        <v>70</v>
      </c>
      <c r="B279">
        <v>1</v>
      </c>
      <c r="D279">
        <v>5</v>
      </c>
      <c r="E279" t="s">
        <v>570</v>
      </c>
      <c r="F279" t="s">
        <v>571</v>
      </c>
      <c r="G279">
        <v>0</v>
      </c>
      <c r="H279">
        <v>0</v>
      </c>
      <c r="I279" t="s">
        <v>572</v>
      </c>
      <c r="J279">
        <v>0</v>
      </c>
      <c r="K279">
        <v>0</v>
      </c>
      <c r="L279" t="s">
        <v>224</v>
      </c>
      <c r="M279" t="s">
        <v>224</v>
      </c>
      <c r="N279">
        <v>0</v>
      </c>
      <c r="O279">
        <v>0</v>
      </c>
    </row>
    <row r="280" spans="1:15" x14ac:dyDescent="0.2">
      <c r="A280">
        <v>70</v>
      </c>
      <c r="B280">
        <v>1</v>
      </c>
      <c r="D280">
        <v>6</v>
      </c>
      <c r="E280" t="s">
        <v>573</v>
      </c>
      <c r="F280" t="s">
        <v>574</v>
      </c>
      <c r="G280">
        <v>0</v>
      </c>
      <c r="H280">
        <v>0</v>
      </c>
      <c r="I280" t="s">
        <v>575</v>
      </c>
      <c r="J280">
        <v>0</v>
      </c>
      <c r="K280">
        <v>0</v>
      </c>
      <c r="L280" t="s">
        <v>224</v>
      </c>
      <c r="M280" t="s">
        <v>224</v>
      </c>
      <c r="N280">
        <v>0</v>
      </c>
      <c r="O280">
        <v>0</v>
      </c>
    </row>
    <row r="281" spans="1:15" x14ac:dyDescent="0.2">
      <c r="A281">
        <v>70</v>
      </c>
      <c r="B281">
        <v>1</v>
      </c>
      <c r="D281">
        <v>7</v>
      </c>
      <c r="E281" t="s">
        <v>576</v>
      </c>
      <c r="F281" t="s">
        <v>577</v>
      </c>
      <c r="G281">
        <v>0</v>
      </c>
      <c r="H281">
        <v>0</v>
      </c>
      <c r="I281" t="s">
        <v>224</v>
      </c>
      <c r="J281">
        <v>0</v>
      </c>
      <c r="K281">
        <v>0</v>
      </c>
      <c r="L281" t="s">
        <v>224</v>
      </c>
      <c r="M281" t="s">
        <v>224</v>
      </c>
      <c r="N281">
        <v>0</v>
      </c>
      <c r="O281">
        <v>0</v>
      </c>
    </row>
    <row r="282" spans="1:15" x14ac:dyDescent="0.2">
      <c r="A282">
        <v>70</v>
      </c>
      <c r="B282">
        <v>1</v>
      </c>
      <c r="D282">
        <v>8</v>
      </c>
      <c r="E282" t="s">
        <v>578</v>
      </c>
      <c r="F282" t="s">
        <v>579</v>
      </c>
      <c r="G282">
        <v>0</v>
      </c>
      <c r="H282">
        <v>0</v>
      </c>
      <c r="I282" t="s">
        <v>580</v>
      </c>
      <c r="J282">
        <v>0</v>
      </c>
      <c r="K282">
        <v>0</v>
      </c>
      <c r="L282" t="s">
        <v>224</v>
      </c>
      <c r="M282" t="s">
        <v>224</v>
      </c>
      <c r="N282">
        <v>0</v>
      </c>
      <c r="O282">
        <v>0</v>
      </c>
    </row>
    <row r="283" spans="1:15" x14ac:dyDescent="0.2">
      <c r="A283">
        <v>70</v>
      </c>
      <c r="B283">
        <v>1</v>
      </c>
      <c r="D283">
        <v>9</v>
      </c>
      <c r="E283" t="s">
        <v>581</v>
      </c>
      <c r="F283" t="s">
        <v>582</v>
      </c>
      <c r="G283">
        <v>0</v>
      </c>
      <c r="H283">
        <v>0</v>
      </c>
      <c r="I283" t="s">
        <v>583</v>
      </c>
      <c r="J283">
        <v>0</v>
      </c>
      <c r="K283">
        <v>0</v>
      </c>
      <c r="L283" t="s">
        <v>224</v>
      </c>
      <c r="M283" t="s">
        <v>224</v>
      </c>
      <c r="N283">
        <v>0</v>
      </c>
      <c r="O283">
        <v>0</v>
      </c>
    </row>
    <row r="284" spans="1:15" x14ac:dyDescent="0.2">
      <c r="A284">
        <v>70</v>
      </c>
      <c r="B284">
        <v>1</v>
      </c>
      <c r="D284">
        <v>10</v>
      </c>
      <c r="E284" t="s">
        <v>584</v>
      </c>
      <c r="F284" t="s">
        <v>585</v>
      </c>
      <c r="G284">
        <v>0</v>
      </c>
      <c r="H284">
        <v>0</v>
      </c>
      <c r="I284" t="s">
        <v>586</v>
      </c>
      <c r="J284">
        <v>0</v>
      </c>
      <c r="K284">
        <v>0</v>
      </c>
      <c r="L284" t="s">
        <v>224</v>
      </c>
      <c r="M284" t="s">
        <v>224</v>
      </c>
      <c r="N284">
        <v>0</v>
      </c>
      <c r="O284">
        <v>0</v>
      </c>
    </row>
    <row r="285" spans="1:15" x14ac:dyDescent="0.2">
      <c r="A285">
        <v>70</v>
      </c>
      <c r="B285">
        <v>1</v>
      </c>
      <c r="D285">
        <v>11</v>
      </c>
      <c r="E285" t="s">
        <v>587</v>
      </c>
      <c r="F285" t="s">
        <v>588</v>
      </c>
      <c r="G285">
        <v>0</v>
      </c>
      <c r="H285">
        <v>0</v>
      </c>
      <c r="I285" t="s">
        <v>589</v>
      </c>
      <c r="J285">
        <v>0</v>
      </c>
      <c r="K285">
        <v>0</v>
      </c>
      <c r="L285" t="s">
        <v>224</v>
      </c>
      <c r="M285" t="s">
        <v>224</v>
      </c>
      <c r="N285">
        <v>0</v>
      </c>
      <c r="O285">
        <v>0</v>
      </c>
    </row>
    <row r="286" spans="1:15" x14ac:dyDescent="0.2">
      <c r="A286">
        <v>70</v>
      </c>
      <c r="B286">
        <v>1</v>
      </c>
      <c r="D286">
        <v>12</v>
      </c>
      <c r="E286" t="s">
        <v>590</v>
      </c>
      <c r="F286" t="s">
        <v>591</v>
      </c>
      <c r="G286">
        <v>0</v>
      </c>
      <c r="H286">
        <v>0</v>
      </c>
      <c r="I286" t="s">
        <v>224</v>
      </c>
      <c r="J286">
        <v>0</v>
      </c>
      <c r="K286">
        <v>0</v>
      </c>
      <c r="L286" t="s">
        <v>224</v>
      </c>
      <c r="M286" t="s">
        <v>224</v>
      </c>
      <c r="N286">
        <v>0</v>
      </c>
      <c r="O286">
        <v>0</v>
      </c>
    </row>
    <row r="287" spans="1:15" x14ac:dyDescent="0.2">
      <c r="A287">
        <v>70</v>
      </c>
      <c r="B287">
        <v>1</v>
      </c>
      <c r="D287">
        <v>1</v>
      </c>
      <c r="E287" t="s">
        <v>592</v>
      </c>
      <c r="F287" t="s">
        <v>593</v>
      </c>
      <c r="G287">
        <v>0.9</v>
      </c>
      <c r="H287">
        <v>1</v>
      </c>
      <c r="I287" t="s">
        <v>594</v>
      </c>
      <c r="J287">
        <v>0</v>
      </c>
      <c r="K287">
        <v>0</v>
      </c>
      <c r="L287" t="s">
        <v>224</v>
      </c>
      <c r="M287" t="s">
        <v>224</v>
      </c>
      <c r="N287">
        <v>0</v>
      </c>
      <c r="O287">
        <v>0.9</v>
      </c>
    </row>
    <row r="288" spans="1:15" x14ac:dyDescent="0.2">
      <c r="A288">
        <v>70</v>
      </c>
      <c r="B288">
        <v>1</v>
      </c>
      <c r="D288">
        <v>2</v>
      </c>
      <c r="E288" t="s">
        <v>595</v>
      </c>
      <c r="F288" t="s">
        <v>596</v>
      </c>
      <c r="G288">
        <v>0.85</v>
      </c>
      <c r="H288">
        <v>1</v>
      </c>
      <c r="I288" t="s">
        <v>597</v>
      </c>
      <c r="J288">
        <v>0</v>
      </c>
      <c r="K288">
        <v>0</v>
      </c>
      <c r="L288" t="s">
        <v>224</v>
      </c>
      <c r="M288" t="s">
        <v>224</v>
      </c>
      <c r="N288">
        <v>0</v>
      </c>
      <c r="O288">
        <v>0.85</v>
      </c>
    </row>
    <row r="289" spans="1:15" x14ac:dyDescent="0.2">
      <c r="A289">
        <v>70</v>
      </c>
      <c r="B289">
        <v>1</v>
      </c>
      <c r="D289">
        <v>3</v>
      </c>
      <c r="E289" t="s">
        <v>598</v>
      </c>
      <c r="F289" t="s">
        <v>599</v>
      </c>
      <c r="G289">
        <v>1</v>
      </c>
      <c r="H289">
        <v>0.85</v>
      </c>
      <c r="I289" t="s">
        <v>600</v>
      </c>
      <c r="J289">
        <v>0</v>
      </c>
      <c r="K289">
        <v>0</v>
      </c>
      <c r="L289" t="s">
        <v>224</v>
      </c>
      <c r="M289" t="s">
        <v>224</v>
      </c>
      <c r="N289">
        <v>0</v>
      </c>
      <c r="O289">
        <v>1</v>
      </c>
    </row>
    <row r="290" spans="1:15" x14ac:dyDescent="0.2">
      <c r="A290">
        <v>70</v>
      </c>
      <c r="B290">
        <v>1</v>
      </c>
      <c r="D290">
        <v>4</v>
      </c>
      <c r="E290" t="s">
        <v>601</v>
      </c>
      <c r="F290" t="s">
        <v>602</v>
      </c>
      <c r="G290">
        <v>1</v>
      </c>
      <c r="H290">
        <v>0</v>
      </c>
      <c r="I290" t="s">
        <v>224</v>
      </c>
      <c r="J290">
        <v>0</v>
      </c>
      <c r="K290">
        <v>0</v>
      </c>
      <c r="L290" t="s">
        <v>224</v>
      </c>
      <c r="M290" t="s">
        <v>224</v>
      </c>
      <c r="N290">
        <v>0</v>
      </c>
      <c r="O290">
        <v>1</v>
      </c>
    </row>
    <row r="291" spans="1:15" x14ac:dyDescent="0.2">
      <c r="A291">
        <v>70</v>
      </c>
      <c r="B291">
        <v>1</v>
      </c>
      <c r="D291">
        <v>5</v>
      </c>
      <c r="E291" t="s">
        <v>603</v>
      </c>
      <c r="F291" t="s">
        <v>604</v>
      </c>
      <c r="G291">
        <v>1</v>
      </c>
      <c r="H291">
        <v>0.8</v>
      </c>
      <c r="I291" t="s">
        <v>605</v>
      </c>
      <c r="J291">
        <v>0</v>
      </c>
      <c r="K291">
        <v>0</v>
      </c>
      <c r="L291" t="s">
        <v>224</v>
      </c>
      <c r="M291" t="s">
        <v>224</v>
      </c>
      <c r="N291">
        <v>0</v>
      </c>
      <c r="O291">
        <v>1</v>
      </c>
    </row>
    <row r="292" spans="1:15" x14ac:dyDescent="0.2">
      <c r="A292">
        <v>70</v>
      </c>
      <c r="B292">
        <v>1</v>
      </c>
      <c r="D292">
        <v>6</v>
      </c>
      <c r="E292" t="s">
        <v>606</v>
      </c>
      <c r="F292" t="s">
        <v>607</v>
      </c>
      <c r="G292">
        <v>1</v>
      </c>
      <c r="H292">
        <v>0</v>
      </c>
      <c r="I292" t="s">
        <v>224</v>
      </c>
      <c r="J292">
        <v>0</v>
      </c>
      <c r="K292">
        <v>0</v>
      </c>
      <c r="L292" t="s">
        <v>224</v>
      </c>
      <c r="M292" t="s">
        <v>224</v>
      </c>
      <c r="N292">
        <v>0</v>
      </c>
      <c r="O292">
        <v>0.85</v>
      </c>
    </row>
    <row r="293" spans="1:15" x14ac:dyDescent="0.2">
      <c r="A293">
        <v>70</v>
      </c>
      <c r="B293">
        <v>1</v>
      </c>
      <c r="D293">
        <v>7</v>
      </c>
      <c r="E293" t="s">
        <v>608</v>
      </c>
      <c r="F293" t="s">
        <v>609</v>
      </c>
      <c r="G293">
        <v>1</v>
      </c>
      <c r="H293">
        <v>0</v>
      </c>
      <c r="I293" t="s">
        <v>224</v>
      </c>
      <c r="J293">
        <v>0</v>
      </c>
      <c r="K293">
        <v>0</v>
      </c>
      <c r="L293" t="s">
        <v>224</v>
      </c>
      <c r="M293" t="s">
        <v>224</v>
      </c>
      <c r="N293">
        <v>0</v>
      </c>
      <c r="O293">
        <v>0.8</v>
      </c>
    </row>
    <row r="294" spans="1:15" x14ac:dyDescent="0.2">
      <c r="A294">
        <v>70</v>
      </c>
      <c r="B294">
        <v>1</v>
      </c>
      <c r="D294">
        <v>8</v>
      </c>
      <c r="E294" t="s">
        <v>610</v>
      </c>
      <c r="F294" t="s">
        <v>611</v>
      </c>
      <c r="G294">
        <v>0.7</v>
      </c>
      <c r="H294">
        <v>0</v>
      </c>
      <c r="I294" t="s">
        <v>224</v>
      </c>
      <c r="J294">
        <v>0</v>
      </c>
      <c r="K294">
        <v>0</v>
      </c>
      <c r="L294" t="s">
        <v>224</v>
      </c>
      <c r="M294" t="s">
        <v>224</v>
      </c>
      <c r="N294">
        <v>0</v>
      </c>
      <c r="O294">
        <v>0.94</v>
      </c>
    </row>
    <row r="295" spans="1:15" x14ac:dyDescent="0.2">
      <c r="A295">
        <v>70</v>
      </c>
      <c r="B295">
        <v>1</v>
      </c>
      <c r="D295">
        <v>9</v>
      </c>
      <c r="E295" t="s">
        <v>612</v>
      </c>
      <c r="F295" t="s">
        <v>613</v>
      </c>
      <c r="G295">
        <v>0.9</v>
      </c>
      <c r="H295">
        <v>0</v>
      </c>
      <c r="I295" t="s">
        <v>224</v>
      </c>
      <c r="J295">
        <v>0</v>
      </c>
      <c r="K295">
        <v>0</v>
      </c>
      <c r="L295" t="s">
        <v>224</v>
      </c>
      <c r="M295" t="s">
        <v>224</v>
      </c>
      <c r="N295">
        <v>0</v>
      </c>
      <c r="O295">
        <v>0.9</v>
      </c>
    </row>
    <row r="296" spans="1:15" x14ac:dyDescent="0.2">
      <c r="A296">
        <v>70</v>
      </c>
      <c r="B296">
        <v>1</v>
      </c>
      <c r="D296">
        <v>10</v>
      </c>
      <c r="E296" t="s">
        <v>614</v>
      </c>
      <c r="F296" t="s">
        <v>615</v>
      </c>
      <c r="G296">
        <v>0.6</v>
      </c>
      <c r="H296">
        <v>0</v>
      </c>
      <c r="I296" t="s">
        <v>224</v>
      </c>
      <c r="J296">
        <v>0</v>
      </c>
      <c r="K296">
        <v>0</v>
      </c>
      <c r="L296" t="s">
        <v>224</v>
      </c>
      <c r="M296" t="s">
        <v>224</v>
      </c>
      <c r="N296">
        <v>0</v>
      </c>
      <c r="O296">
        <v>0.6</v>
      </c>
    </row>
    <row r="297" spans="1:15" x14ac:dyDescent="0.2">
      <c r="A297">
        <v>70</v>
      </c>
      <c r="B297">
        <v>1</v>
      </c>
      <c r="D297">
        <v>11</v>
      </c>
      <c r="E297" t="s">
        <v>616</v>
      </c>
      <c r="F297" t="s">
        <v>617</v>
      </c>
      <c r="G297">
        <v>1.2</v>
      </c>
      <c r="H297">
        <v>0</v>
      </c>
      <c r="I297" t="s">
        <v>224</v>
      </c>
      <c r="J297">
        <v>0</v>
      </c>
      <c r="K297">
        <v>0</v>
      </c>
      <c r="L297" t="s">
        <v>224</v>
      </c>
      <c r="M297" t="s">
        <v>224</v>
      </c>
      <c r="N297">
        <v>0</v>
      </c>
      <c r="O297">
        <v>1.2</v>
      </c>
    </row>
    <row r="298" spans="1:15" x14ac:dyDescent="0.2">
      <c r="A298">
        <v>70</v>
      </c>
      <c r="B298">
        <v>1</v>
      </c>
      <c r="D298">
        <v>12</v>
      </c>
      <c r="E298" t="s">
        <v>618</v>
      </c>
      <c r="F298" t="s">
        <v>619</v>
      </c>
      <c r="G298">
        <v>0</v>
      </c>
      <c r="H298">
        <v>0</v>
      </c>
      <c r="I298" t="s">
        <v>224</v>
      </c>
      <c r="J298">
        <v>0</v>
      </c>
      <c r="K298">
        <v>0</v>
      </c>
      <c r="L298" t="s">
        <v>224</v>
      </c>
      <c r="M298" t="s">
        <v>224</v>
      </c>
      <c r="N298">
        <v>0</v>
      </c>
      <c r="O298">
        <v>0</v>
      </c>
    </row>
    <row r="299" spans="1:15" x14ac:dyDescent="0.2">
      <c r="A299">
        <v>70</v>
      </c>
      <c r="B299">
        <v>1</v>
      </c>
      <c r="D299">
        <v>13</v>
      </c>
      <c r="E299" t="s">
        <v>620</v>
      </c>
      <c r="F299" t="s">
        <v>621</v>
      </c>
      <c r="G299">
        <v>1</v>
      </c>
      <c r="H299">
        <v>0</v>
      </c>
      <c r="I299" t="s">
        <v>224</v>
      </c>
      <c r="J299">
        <v>0</v>
      </c>
      <c r="K299">
        <v>0</v>
      </c>
      <c r="L299" t="s">
        <v>224</v>
      </c>
      <c r="M299" t="s">
        <v>224</v>
      </c>
      <c r="N299">
        <v>0</v>
      </c>
      <c r="O299">
        <v>0.94</v>
      </c>
    </row>
    <row r="301" spans="1:15" x14ac:dyDescent="0.2">
      <c r="A301">
        <v>-1</v>
      </c>
    </row>
    <row r="303" spans="1:15" x14ac:dyDescent="0.2">
      <c r="A303" s="4">
        <v>75</v>
      </c>
      <c r="B303" s="4" t="s">
        <v>622</v>
      </c>
      <c r="C303" s="4">
        <v>2000</v>
      </c>
      <c r="D303" s="4">
        <v>0</v>
      </c>
      <c r="E303" s="4">
        <v>1</v>
      </c>
      <c r="F303" s="4">
        <v>0</v>
      </c>
      <c r="G303" s="4">
        <v>0</v>
      </c>
      <c r="H303" s="4">
        <v>1</v>
      </c>
      <c r="I303" s="4">
        <v>0</v>
      </c>
      <c r="J303" s="4">
        <v>1</v>
      </c>
      <c r="K303" s="4">
        <v>0</v>
      </c>
      <c r="L303" s="4">
        <v>0</v>
      </c>
      <c r="M303" s="4">
        <v>0</v>
      </c>
      <c r="N303" s="4">
        <v>16499835</v>
      </c>
      <c r="O303" s="4">
        <v>1</v>
      </c>
    </row>
    <row r="304" spans="1:15" x14ac:dyDescent="0.2">
      <c r="A304" s="4">
        <v>75</v>
      </c>
      <c r="B304" s="4" t="s">
        <v>623</v>
      </c>
      <c r="C304" s="4">
        <v>2017</v>
      </c>
      <c r="D304" s="4">
        <v>4</v>
      </c>
      <c r="E304" s="4">
        <v>0</v>
      </c>
      <c r="F304" s="4"/>
      <c r="G304" s="4">
        <v>0</v>
      </c>
      <c r="H304" s="4">
        <v>1</v>
      </c>
      <c r="I304" s="4">
        <v>0</v>
      </c>
      <c r="J304" s="4">
        <v>1</v>
      </c>
      <c r="K304" s="4">
        <v>0</v>
      </c>
      <c r="L304" s="4">
        <v>0</v>
      </c>
      <c r="M304" s="4">
        <v>1</v>
      </c>
      <c r="N304" s="4">
        <v>16499878</v>
      </c>
      <c r="O304" s="4">
        <v>2</v>
      </c>
    </row>
    <row r="305" spans="1:34" x14ac:dyDescent="0.2">
      <c r="A305" s="6">
        <v>3</v>
      </c>
      <c r="B305" s="6" t="s">
        <v>624</v>
      </c>
      <c r="C305" s="6">
        <v>6.08</v>
      </c>
      <c r="D305" s="6">
        <v>1</v>
      </c>
      <c r="E305" s="6">
        <v>1</v>
      </c>
      <c r="F305" s="6">
        <v>1</v>
      </c>
      <c r="G305" s="6">
        <v>1</v>
      </c>
      <c r="H305" s="6">
        <v>1</v>
      </c>
      <c r="I305" s="6">
        <v>1</v>
      </c>
      <c r="J305" s="6">
        <v>1</v>
      </c>
      <c r="K305" s="6">
        <v>1</v>
      </c>
      <c r="L305" s="6">
        <v>1</v>
      </c>
      <c r="M305" s="6">
        <v>6.08</v>
      </c>
      <c r="N305" s="6">
        <v>1</v>
      </c>
      <c r="O305" s="6">
        <v>1</v>
      </c>
      <c r="P305" s="6">
        <v>1</v>
      </c>
      <c r="Q305" s="6">
        <v>1</v>
      </c>
      <c r="R305" s="6">
        <v>1</v>
      </c>
      <c r="S305" s="6" t="s">
        <v>224</v>
      </c>
      <c r="T305" s="6" t="s">
        <v>224</v>
      </c>
      <c r="U305" s="6" t="s">
        <v>224</v>
      </c>
      <c r="V305" s="6" t="s">
        <v>224</v>
      </c>
      <c r="W305" s="6" t="s">
        <v>224</v>
      </c>
      <c r="X305" s="6" t="s">
        <v>224</v>
      </c>
      <c r="Y305" s="6" t="s">
        <v>224</v>
      </c>
      <c r="Z305" s="6" t="s">
        <v>224</v>
      </c>
      <c r="AA305" s="6" t="s">
        <v>224</v>
      </c>
      <c r="AB305" s="6" t="s">
        <v>224</v>
      </c>
      <c r="AC305" s="6" t="s">
        <v>224</v>
      </c>
      <c r="AD305" s="6" t="s">
        <v>224</v>
      </c>
      <c r="AE305" s="6" t="s">
        <v>224</v>
      </c>
      <c r="AF305" s="6" t="s">
        <v>224</v>
      </c>
      <c r="AG305" s="6" t="s">
        <v>224</v>
      </c>
      <c r="AH305" s="6" t="s">
        <v>224</v>
      </c>
    </row>
    <row r="309" spans="1:34" x14ac:dyDescent="0.2">
      <c r="A309">
        <v>65</v>
      </c>
      <c r="C309">
        <v>1</v>
      </c>
      <c r="D309">
        <v>0</v>
      </c>
      <c r="E309">
        <v>245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RowHeight="12.75" x14ac:dyDescent="0.2"/>
  <sheetData>
    <row r="1" spans="1:133" x14ac:dyDescent="0.2">
      <c r="A1">
        <v>0</v>
      </c>
      <c r="B1" t="s">
        <v>220</v>
      </c>
      <c r="D1" t="s">
        <v>625</v>
      </c>
      <c r="F1">
        <v>0</v>
      </c>
      <c r="G1">
        <v>0</v>
      </c>
      <c r="H1">
        <v>0</v>
      </c>
      <c r="I1" t="s">
        <v>222</v>
      </c>
      <c r="J1" t="s">
        <v>223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224</v>
      </c>
      <c r="G12" s="1" t="s">
        <v>225</v>
      </c>
      <c r="H12" s="1" t="s">
        <v>224</v>
      </c>
      <c r="I12" s="1">
        <v>0</v>
      </c>
      <c r="J12" s="1" t="s">
        <v>224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224</v>
      </c>
      <c r="V12" s="1">
        <v>0</v>
      </c>
      <c r="W12" s="1" t="s">
        <v>224</v>
      </c>
      <c r="X12" s="1" t="s">
        <v>224</v>
      </c>
      <c r="Y12" s="1" t="s">
        <v>224</v>
      </c>
      <c r="Z12" s="1" t="s">
        <v>224</v>
      </c>
      <c r="AA12" s="1" t="s">
        <v>224</v>
      </c>
      <c r="AB12" s="1" t="s">
        <v>224</v>
      </c>
      <c r="AC12" s="1" t="s">
        <v>224</v>
      </c>
      <c r="AD12" s="1" t="s">
        <v>224</v>
      </c>
      <c r="AE12" s="1" t="s">
        <v>224</v>
      </c>
      <c r="AF12" s="1" t="s">
        <v>224</v>
      </c>
      <c r="AG12" s="1" t="s">
        <v>224</v>
      </c>
      <c r="AH12" s="1" t="s">
        <v>224</v>
      </c>
      <c r="AI12" s="1" t="s">
        <v>224</v>
      </c>
      <c r="AJ12" s="1" t="s">
        <v>224</v>
      </c>
      <c r="AK12" s="1"/>
      <c r="AL12" s="1" t="s">
        <v>224</v>
      </c>
      <c r="AM12" s="1" t="s">
        <v>224</v>
      </c>
      <c r="AN12" s="1" t="s">
        <v>224</v>
      </c>
      <c r="AO12" s="1"/>
      <c r="AP12" s="1" t="s">
        <v>224</v>
      </c>
      <c r="AQ12" s="1" t="s">
        <v>224</v>
      </c>
      <c r="AR12" s="1" t="s">
        <v>224</v>
      </c>
      <c r="AS12" s="1"/>
      <c r="AT12" s="1"/>
      <c r="AU12" s="1"/>
      <c r="AV12" s="1"/>
      <c r="AW12" s="1"/>
      <c r="AX12" s="1" t="s">
        <v>224</v>
      </c>
      <c r="AY12" s="1" t="s">
        <v>224</v>
      </c>
      <c r="AZ12" s="1" t="s">
        <v>224</v>
      </c>
      <c r="BA12" s="1"/>
      <c r="BB12" s="1"/>
      <c r="BC12" s="1"/>
      <c r="BD12" s="1"/>
      <c r="BE12" s="1"/>
      <c r="BF12" s="1"/>
      <c r="BG12" s="1"/>
      <c r="BH12" s="1" t="s">
        <v>226</v>
      </c>
      <c r="BI12" s="1" t="s">
        <v>227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228</v>
      </c>
      <c r="BZ12" s="1" t="s">
        <v>229</v>
      </c>
      <c r="CA12" s="1" t="s">
        <v>228</v>
      </c>
      <c r="CB12" s="1" t="s">
        <v>228</v>
      </c>
      <c r="CC12" s="1" t="s">
        <v>228</v>
      </c>
      <c r="CD12" s="1" t="s">
        <v>228</v>
      </c>
      <c r="CE12" s="1" t="s">
        <v>230</v>
      </c>
      <c r="CF12" s="1">
        <v>0</v>
      </c>
      <c r="CG12" s="1">
        <v>0</v>
      </c>
      <c r="CH12" s="1">
        <v>524296</v>
      </c>
      <c r="CI12" s="1" t="s">
        <v>224</v>
      </c>
      <c r="CJ12" s="1" t="s">
        <v>224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16499835</v>
      </c>
      <c r="E14" s="1">
        <v>16499878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231</v>
      </c>
      <c r="D16" s="7" t="s">
        <v>231</v>
      </c>
      <c r="E16" s="8">
        <f>(Source!F227)/1000</f>
        <v>191.12085000000002</v>
      </c>
      <c r="F16" s="8">
        <f>(Source!F228)/1000</f>
        <v>0</v>
      </c>
      <c r="G16" s="8">
        <f>(Source!F219)/1000</f>
        <v>0</v>
      </c>
      <c r="H16" s="8">
        <f>(Source!F229)/1000+(Source!F230)/1000</f>
        <v>0</v>
      </c>
      <c r="I16" s="8">
        <f>E16+F16+G16+H16</f>
        <v>191.12085000000002</v>
      </c>
      <c r="J16" s="8">
        <f>(Source!F225)/1000</f>
        <v>18.557209999999998</v>
      </c>
      <c r="T16" s="9">
        <f>(Source!P227)/1000</f>
        <v>1160.5492300000001</v>
      </c>
      <c r="U16" s="9">
        <f>(Source!P228)/1000</f>
        <v>0</v>
      </c>
      <c r="V16" s="9">
        <f>(Source!P219)/1000</f>
        <v>0</v>
      </c>
      <c r="W16" s="9">
        <f>(Source!P229)/1000+(Source!P230)/1000</f>
        <v>0</v>
      </c>
      <c r="X16" s="9">
        <f>T16+U16+V16+W16</f>
        <v>1160.5492300000001</v>
      </c>
      <c r="Y16" s="9">
        <f>(Source!P225)/1000</f>
        <v>112.74549</v>
      </c>
      <c r="AI16" s="7">
        <v>0</v>
      </c>
      <c r="AJ16" s="7">
        <v>0</v>
      </c>
      <c r="AK16" s="7" t="s">
        <v>224</v>
      </c>
      <c r="AL16" s="7" t="s">
        <v>224</v>
      </c>
      <c r="AM16" s="7" t="s">
        <v>224</v>
      </c>
      <c r="AN16" s="7">
        <v>0</v>
      </c>
      <c r="AO16" s="7" t="s">
        <v>224</v>
      </c>
      <c r="AP16" s="7" t="s">
        <v>224</v>
      </c>
      <c r="AT16" s="8">
        <v>163652.04999999999</v>
      </c>
      <c r="AU16" s="8">
        <v>140671.42000000001</v>
      </c>
      <c r="AV16" s="8">
        <v>0</v>
      </c>
      <c r="AW16" s="8">
        <v>0</v>
      </c>
      <c r="AX16" s="8">
        <v>0</v>
      </c>
      <c r="AY16" s="8">
        <v>4287.95</v>
      </c>
      <c r="AZ16" s="8">
        <v>442.91</v>
      </c>
      <c r="BA16" s="8">
        <v>18692.68</v>
      </c>
      <c r="BB16" s="8">
        <v>193530.82</v>
      </c>
      <c r="BC16" s="8">
        <v>0</v>
      </c>
      <c r="BD16" s="8">
        <v>0</v>
      </c>
      <c r="BE16" s="8">
        <v>0</v>
      </c>
      <c r="BF16" s="8">
        <v>2085.3961429999995</v>
      </c>
      <c r="BG16" s="8">
        <v>39.731349999999999</v>
      </c>
      <c r="BH16" s="8">
        <v>0</v>
      </c>
      <c r="BI16" s="8">
        <v>19403.189999999999</v>
      </c>
      <c r="BJ16" s="8">
        <v>10390.06</v>
      </c>
      <c r="BK16" s="8">
        <v>228366.37</v>
      </c>
      <c r="BR16" s="9">
        <v>995004.55</v>
      </c>
      <c r="BS16" s="9">
        <v>855282.29</v>
      </c>
      <c r="BT16" s="9">
        <v>0</v>
      </c>
      <c r="BU16" s="9">
        <v>0</v>
      </c>
      <c r="BV16" s="9">
        <v>0</v>
      </c>
      <c r="BW16" s="9">
        <v>26070.76</v>
      </c>
      <c r="BX16" s="9">
        <v>2692.78</v>
      </c>
      <c r="BY16" s="9">
        <v>113651.5</v>
      </c>
      <c r="BZ16" s="9">
        <v>1176667.1100000001</v>
      </c>
      <c r="CA16" s="9">
        <v>0</v>
      </c>
      <c r="CB16" s="9">
        <v>0</v>
      </c>
      <c r="CC16" s="9">
        <v>0</v>
      </c>
      <c r="CD16" s="9">
        <v>2085.3961429999995</v>
      </c>
      <c r="CE16" s="9">
        <v>39.731349999999999</v>
      </c>
      <c r="CF16" s="9">
        <v>0</v>
      </c>
      <c r="CG16" s="9">
        <v>117971.19</v>
      </c>
      <c r="CH16" s="9">
        <v>63171.44</v>
      </c>
      <c r="CI16" s="9">
        <v>1388467.19</v>
      </c>
    </row>
    <row r="18" spans="1:40" x14ac:dyDescent="0.2">
      <c r="A18">
        <v>51</v>
      </c>
      <c r="E18" s="10">
        <f>SUMIF(A16:A17,3,E16:E17)</f>
        <v>191.12085000000002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191.12085000000002</v>
      </c>
      <c r="J18" s="10">
        <f>SUMIF(A16:A17,3,J16:J17)</f>
        <v>18.557209999999998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1160.5492300000001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1160.5492300000001</v>
      </c>
      <c r="Y18" s="3">
        <f>SUMIF(A16:A17,3,Y16:Y17)</f>
        <v>112.74549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163652.04999999999</v>
      </c>
      <c r="G20" s="5" t="s">
        <v>430</v>
      </c>
      <c r="H20" s="5" t="s">
        <v>431</v>
      </c>
      <c r="I20" s="5"/>
      <c r="J20" s="5"/>
      <c r="K20" s="5">
        <v>201</v>
      </c>
      <c r="L20" s="5">
        <v>1</v>
      </c>
      <c r="M20" s="5">
        <v>3</v>
      </c>
      <c r="N20" s="5" t="s">
        <v>224</v>
      </c>
      <c r="O20" s="5">
        <v>2</v>
      </c>
      <c r="P20" s="5">
        <v>995004.55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140671.42000000001</v>
      </c>
      <c r="G21" s="5" t="s">
        <v>432</v>
      </c>
      <c r="H21" s="5" t="s">
        <v>433</v>
      </c>
      <c r="I21" s="5"/>
      <c r="J21" s="5"/>
      <c r="K21" s="5">
        <v>202</v>
      </c>
      <c r="L21" s="5">
        <v>2</v>
      </c>
      <c r="M21" s="5">
        <v>3</v>
      </c>
      <c r="N21" s="5" t="s">
        <v>224</v>
      </c>
      <c r="O21" s="5">
        <v>2</v>
      </c>
      <c r="P21" s="5">
        <v>855282.29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434</v>
      </c>
      <c r="H22" s="5" t="s">
        <v>435</v>
      </c>
      <c r="I22" s="5"/>
      <c r="J22" s="5"/>
      <c r="K22" s="5">
        <v>222</v>
      </c>
      <c r="L22" s="5">
        <v>3</v>
      </c>
      <c r="M22" s="5">
        <v>3</v>
      </c>
      <c r="N22" s="5" t="s">
        <v>224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140671.42000000001</v>
      </c>
      <c r="G23" s="5" t="s">
        <v>436</v>
      </c>
      <c r="H23" s="5" t="s">
        <v>437</v>
      </c>
      <c r="I23" s="5"/>
      <c r="J23" s="5"/>
      <c r="K23" s="5">
        <v>225</v>
      </c>
      <c r="L23" s="5">
        <v>4</v>
      </c>
      <c r="M23" s="5">
        <v>3</v>
      </c>
      <c r="N23" s="5" t="s">
        <v>224</v>
      </c>
      <c r="O23" s="5">
        <v>2</v>
      </c>
      <c r="P23" s="5">
        <v>855282.29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140671.42000000001</v>
      </c>
      <c r="G24" s="5" t="s">
        <v>438</v>
      </c>
      <c r="H24" s="5" t="s">
        <v>439</v>
      </c>
      <c r="I24" s="5"/>
      <c r="J24" s="5"/>
      <c r="K24" s="5">
        <v>226</v>
      </c>
      <c r="L24" s="5">
        <v>5</v>
      </c>
      <c r="M24" s="5">
        <v>3</v>
      </c>
      <c r="N24" s="5" t="s">
        <v>224</v>
      </c>
      <c r="O24" s="5">
        <v>2</v>
      </c>
      <c r="P24" s="5">
        <v>855282.29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440</v>
      </c>
      <c r="H25" s="5" t="s">
        <v>441</v>
      </c>
      <c r="I25" s="5"/>
      <c r="J25" s="5"/>
      <c r="K25" s="5">
        <v>227</v>
      </c>
      <c r="L25" s="5">
        <v>6</v>
      </c>
      <c r="M25" s="5">
        <v>3</v>
      </c>
      <c r="N25" s="5" t="s">
        <v>224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140671.42000000001</v>
      </c>
      <c r="G26" s="5" t="s">
        <v>442</v>
      </c>
      <c r="H26" s="5" t="s">
        <v>443</v>
      </c>
      <c r="I26" s="5"/>
      <c r="J26" s="5"/>
      <c r="K26" s="5">
        <v>228</v>
      </c>
      <c r="L26" s="5">
        <v>7</v>
      </c>
      <c r="M26" s="5">
        <v>3</v>
      </c>
      <c r="N26" s="5" t="s">
        <v>224</v>
      </c>
      <c r="O26" s="5">
        <v>2</v>
      </c>
      <c r="P26" s="5">
        <v>855282.29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444</v>
      </c>
      <c r="H27" s="5" t="s">
        <v>445</v>
      </c>
      <c r="I27" s="5"/>
      <c r="J27" s="5"/>
      <c r="K27" s="5">
        <v>216</v>
      </c>
      <c r="L27" s="5">
        <v>8</v>
      </c>
      <c r="M27" s="5">
        <v>3</v>
      </c>
      <c r="N27" s="5" t="s">
        <v>224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446</v>
      </c>
      <c r="H28" s="5" t="s">
        <v>447</v>
      </c>
      <c r="I28" s="5"/>
      <c r="J28" s="5"/>
      <c r="K28" s="5">
        <v>223</v>
      </c>
      <c r="L28" s="5">
        <v>9</v>
      </c>
      <c r="M28" s="5">
        <v>3</v>
      </c>
      <c r="N28" s="5" t="s">
        <v>224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448</v>
      </c>
      <c r="H29" s="5" t="s">
        <v>449</v>
      </c>
      <c r="I29" s="5"/>
      <c r="J29" s="5"/>
      <c r="K29" s="5">
        <v>229</v>
      </c>
      <c r="L29" s="5">
        <v>10</v>
      </c>
      <c r="M29" s="5">
        <v>3</v>
      </c>
      <c r="N29" s="5" t="s">
        <v>224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4287.95</v>
      </c>
      <c r="G30" s="5" t="s">
        <v>450</v>
      </c>
      <c r="H30" s="5" t="s">
        <v>451</v>
      </c>
      <c r="I30" s="5"/>
      <c r="J30" s="5"/>
      <c r="K30" s="5">
        <v>203</v>
      </c>
      <c r="L30" s="5">
        <v>11</v>
      </c>
      <c r="M30" s="5">
        <v>3</v>
      </c>
      <c r="N30" s="5" t="s">
        <v>224</v>
      </c>
      <c r="O30" s="5">
        <v>2</v>
      </c>
      <c r="P30" s="5">
        <v>26070.76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452</v>
      </c>
      <c r="H31" s="5" t="s">
        <v>453</v>
      </c>
      <c r="I31" s="5"/>
      <c r="J31" s="5"/>
      <c r="K31" s="5">
        <v>231</v>
      </c>
      <c r="L31" s="5">
        <v>12</v>
      </c>
      <c r="M31" s="5">
        <v>3</v>
      </c>
      <c r="N31" s="5" t="s">
        <v>224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442.91</v>
      </c>
      <c r="G32" s="5" t="s">
        <v>454</v>
      </c>
      <c r="H32" s="5" t="s">
        <v>455</v>
      </c>
      <c r="I32" s="5"/>
      <c r="J32" s="5"/>
      <c r="K32" s="5">
        <v>204</v>
      </c>
      <c r="L32" s="5">
        <v>13</v>
      </c>
      <c r="M32" s="5">
        <v>3</v>
      </c>
      <c r="N32" s="5" t="s">
        <v>224</v>
      </c>
      <c r="O32" s="5">
        <v>2</v>
      </c>
      <c r="P32" s="5">
        <v>2692.78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18692.68</v>
      </c>
      <c r="G33" s="5" t="s">
        <v>456</v>
      </c>
      <c r="H33" s="5" t="s">
        <v>457</v>
      </c>
      <c r="I33" s="5"/>
      <c r="J33" s="5"/>
      <c r="K33" s="5">
        <v>205</v>
      </c>
      <c r="L33" s="5">
        <v>14</v>
      </c>
      <c r="M33" s="5">
        <v>3</v>
      </c>
      <c r="N33" s="5" t="s">
        <v>224</v>
      </c>
      <c r="O33" s="5">
        <v>2</v>
      </c>
      <c r="P33" s="5">
        <v>113651.5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458</v>
      </c>
      <c r="H34" s="5" t="s">
        <v>459</v>
      </c>
      <c r="I34" s="5"/>
      <c r="J34" s="5"/>
      <c r="K34" s="5">
        <v>232</v>
      </c>
      <c r="L34" s="5">
        <v>15</v>
      </c>
      <c r="M34" s="5">
        <v>3</v>
      </c>
      <c r="N34" s="5" t="s">
        <v>224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193530.82</v>
      </c>
      <c r="G35" s="5" t="s">
        <v>460</v>
      </c>
      <c r="H35" s="5" t="s">
        <v>461</v>
      </c>
      <c r="I35" s="5"/>
      <c r="J35" s="5"/>
      <c r="K35" s="5">
        <v>214</v>
      </c>
      <c r="L35" s="5">
        <v>16</v>
      </c>
      <c r="M35" s="5">
        <v>3</v>
      </c>
      <c r="N35" s="5" t="s">
        <v>224</v>
      </c>
      <c r="O35" s="5">
        <v>2</v>
      </c>
      <c r="P35" s="5">
        <v>1176667.1100000001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462</v>
      </c>
      <c r="H36" s="5" t="s">
        <v>463</v>
      </c>
      <c r="I36" s="5"/>
      <c r="J36" s="5"/>
      <c r="K36" s="5">
        <v>215</v>
      </c>
      <c r="L36" s="5">
        <v>17</v>
      </c>
      <c r="M36" s="5">
        <v>3</v>
      </c>
      <c r="N36" s="5" t="s">
        <v>224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464</v>
      </c>
      <c r="H37" s="5" t="s">
        <v>465</v>
      </c>
      <c r="I37" s="5"/>
      <c r="J37" s="5"/>
      <c r="K37" s="5">
        <v>217</v>
      </c>
      <c r="L37" s="5">
        <v>18</v>
      </c>
      <c r="M37" s="5">
        <v>3</v>
      </c>
      <c r="N37" s="5" t="s">
        <v>224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466</v>
      </c>
      <c r="H38" s="5" t="s">
        <v>467</v>
      </c>
      <c r="I38" s="5"/>
      <c r="J38" s="5"/>
      <c r="K38" s="5">
        <v>230</v>
      </c>
      <c r="L38" s="5">
        <v>19</v>
      </c>
      <c r="M38" s="5">
        <v>3</v>
      </c>
      <c r="N38" s="5" t="s">
        <v>224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468</v>
      </c>
      <c r="H39" s="5" t="s">
        <v>469</v>
      </c>
      <c r="I39" s="5"/>
      <c r="J39" s="5"/>
      <c r="K39" s="5">
        <v>206</v>
      </c>
      <c r="L39" s="5">
        <v>20</v>
      </c>
      <c r="M39" s="5">
        <v>3</v>
      </c>
      <c r="N39" s="5" t="s">
        <v>224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2085.3961429999995</v>
      </c>
      <c r="G40" s="5" t="s">
        <v>470</v>
      </c>
      <c r="H40" s="5" t="s">
        <v>471</v>
      </c>
      <c r="I40" s="5"/>
      <c r="J40" s="5"/>
      <c r="K40" s="5">
        <v>207</v>
      </c>
      <c r="L40" s="5">
        <v>21</v>
      </c>
      <c r="M40" s="5">
        <v>3</v>
      </c>
      <c r="N40" s="5" t="s">
        <v>224</v>
      </c>
      <c r="O40" s="5">
        <v>-1</v>
      </c>
      <c r="P40" s="5">
        <v>2085.3961429999995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39.731349999999999</v>
      </c>
      <c r="G41" s="5" t="s">
        <v>472</v>
      </c>
      <c r="H41" s="5" t="s">
        <v>473</v>
      </c>
      <c r="I41" s="5"/>
      <c r="J41" s="5"/>
      <c r="K41" s="5">
        <v>208</v>
      </c>
      <c r="L41" s="5">
        <v>22</v>
      </c>
      <c r="M41" s="5">
        <v>3</v>
      </c>
      <c r="N41" s="5" t="s">
        <v>224</v>
      </c>
      <c r="O41" s="5">
        <v>-1</v>
      </c>
      <c r="P41" s="5">
        <v>39.731349999999999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474</v>
      </c>
      <c r="H42" s="5" t="s">
        <v>475</v>
      </c>
      <c r="I42" s="5"/>
      <c r="J42" s="5"/>
      <c r="K42" s="5">
        <v>209</v>
      </c>
      <c r="L42" s="5">
        <v>23</v>
      </c>
      <c r="M42" s="5">
        <v>3</v>
      </c>
      <c r="N42" s="5" t="s">
        <v>224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19403.189999999999</v>
      </c>
      <c r="G43" s="5" t="s">
        <v>476</v>
      </c>
      <c r="H43" s="5" t="s">
        <v>477</v>
      </c>
      <c r="I43" s="5"/>
      <c r="J43" s="5"/>
      <c r="K43" s="5">
        <v>210</v>
      </c>
      <c r="L43" s="5">
        <v>24</v>
      </c>
      <c r="M43" s="5">
        <v>3</v>
      </c>
      <c r="N43" s="5" t="s">
        <v>224</v>
      </c>
      <c r="O43" s="5">
        <v>2</v>
      </c>
      <c r="P43" s="5">
        <v>117971.19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10390.06</v>
      </c>
      <c r="G44" s="5" t="s">
        <v>478</v>
      </c>
      <c r="H44" s="5" t="s">
        <v>479</v>
      </c>
      <c r="I44" s="5"/>
      <c r="J44" s="5"/>
      <c r="K44" s="5">
        <v>211</v>
      </c>
      <c r="L44" s="5">
        <v>25</v>
      </c>
      <c r="M44" s="5">
        <v>3</v>
      </c>
      <c r="N44" s="5" t="s">
        <v>224</v>
      </c>
      <c r="O44" s="5">
        <v>2</v>
      </c>
      <c r="P44" s="5">
        <v>63171.44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193530.82</v>
      </c>
      <c r="G45" s="5" t="s">
        <v>480</v>
      </c>
      <c r="H45" s="5" t="s">
        <v>481</v>
      </c>
      <c r="I45" s="5"/>
      <c r="J45" s="5"/>
      <c r="K45" s="5">
        <v>224</v>
      </c>
      <c r="L45" s="5">
        <v>26</v>
      </c>
      <c r="M45" s="5">
        <v>3</v>
      </c>
      <c r="N45" s="5" t="s">
        <v>224</v>
      </c>
      <c r="O45" s="5">
        <v>2</v>
      </c>
      <c r="P45" s="5">
        <v>1176667.1100000001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193530.82</v>
      </c>
      <c r="G46" s="5" t="s">
        <v>482</v>
      </c>
      <c r="H46" s="5" t="s">
        <v>480</v>
      </c>
      <c r="I46" s="5"/>
      <c r="J46" s="5"/>
      <c r="K46" s="5">
        <v>212</v>
      </c>
      <c r="L46" s="5">
        <v>27</v>
      </c>
      <c r="M46" s="5">
        <v>0</v>
      </c>
      <c r="N46" s="5" t="s">
        <v>224</v>
      </c>
      <c r="O46" s="5">
        <v>2</v>
      </c>
      <c r="P46" s="5">
        <v>1176667.1100000001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34835.550000000003</v>
      </c>
      <c r="G47" s="5" t="s">
        <v>483</v>
      </c>
      <c r="H47" s="5" t="s">
        <v>484</v>
      </c>
      <c r="I47" s="5"/>
      <c r="J47" s="5"/>
      <c r="K47" s="5">
        <v>212</v>
      </c>
      <c r="L47" s="5">
        <v>28</v>
      </c>
      <c r="M47" s="5">
        <v>0</v>
      </c>
      <c r="N47" s="5" t="s">
        <v>224</v>
      </c>
      <c r="O47" s="5">
        <v>2</v>
      </c>
      <c r="P47" s="5">
        <v>211800.08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228366.37</v>
      </c>
      <c r="G48" s="5" t="s">
        <v>485</v>
      </c>
      <c r="H48" s="5" t="s">
        <v>486</v>
      </c>
      <c r="I48" s="5"/>
      <c r="J48" s="5"/>
      <c r="K48" s="5">
        <v>212</v>
      </c>
      <c r="L48" s="5">
        <v>29</v>
      </c>
      <c r="M48" s="5">
        <v>0</v>
      </c>
      <c r="N48" s="5" t="s">
        <v>224</v>
      </c>
      <c r="O48" s="5">
        <v>2</v>
      </c>
      <c r="P48" s="5">
        <v>1388467.19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622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16499835</v>
      </c>
      <c r="O53" s="4">
        <v>1</v>
      </c>
    </row>
    <row r="54" spans="1:34" x14ac:dyDescent="0.2">
      <c r="A54" s="4">
        <v>75</v>
      </c>
      <c r="B54" s="4" t="s">
        <v>623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16499878</v>
      </c>
      <c r="O54" s="4">
        <v>2</v>
      </c>
    </row>
    <row r="55" spans="1:34" x14ac:dyDescent="0.2">
      <c r="A55" s="6">
        <v>3</v>
      </c>
      <c r="B55" s="6" t="s">
        <v>624</v>
      </c>
      <c r="C55" s="6">
        <v>6.08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6.08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224</v>
      </c>
      <c r="T55" s="6" t="s">
        <v>224</v>
      </c>
      <c r="U55" s="6" t="s">
        <v>224</v>
      </c>
      <c r="V55" s="6" t="s">
        <v>224</v>
      </c>
      <c r="W55" s="6" t="s">
        <v>224</v>
      </c>
      <c r="X55" s="6" t="s">
        <v>224</v>
      </c>
      <c r="Y55" s="6" t="s">
        <v>224</v>
      </c>
      <c r="Z55" s="6" t="s">
        <v>224</v>
      </c>
      <c r="AA55" s="6" t="s">
        <v>224</v>
      </c>
      <c r="AB55" s="6" t="s">
        <v>224</v>
      </c>
      <c r="AC55" s="6" t="s">
        <v>224</v>
      </c>
      <c r="AD55" s="6" t="s">
        <v>224</v>
      </c>
      <c r="AE55" s="6" t="s">
        <v>224</v>
      </c>
      <c r="AF55" s="6" t="s">
        <v>224</v>
      </c>
      <c r="AG55" s="6" t="s">
        <v>224</v>
      </c>
      <c r="AH55" s="6" t="s">
        <v>224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80"/>
  <sheetViews>
    <sheetView workbookViewId="0"/>
  </sheetViews>
  <sheetFormatPr defaultRowHeight="12.75" x14ac:dyDescent="0.2"/>
  <sheetData>
    <row r="1" spans="1:106" x14ac:dyDescent="0.2">
      <c r="A1">
        <f>ROW(Source!A28)</f>
        <v>28</v>
      </c>
      <c r="B1">
        <v>16499835</v>
      </c>
      <c r="C1">
        <v>16499958</v>
      </c>
      <c r="D1">
        <v>15435099</v>
      </c>
      <c r="E1">
        <v>1</v>
      </c>
      <c r="F1">
        <v>1</v>
      </c>
      <c r="G1">
        <v>1</v>
      </c>
      <c r="H1">
        <v>1</v>
      </c>
      <c r="I1" t="s">
        <v>626</v>
      </c>
      <c r="J1" t="s">
        <v>224</v>
      </c>
      <c r="K1" t="s">
        <v>627</v>
      </c>
      <c r="L1">
        <v>1191</v>
      </c>
      <c r="N1">
        <v>1013</v>
      </c>
      <c r="O1" t="s">
        <v>628</v>
      </c>
      <c r="P1" t="s">
        <v>628</v>
      </c>
      <c r="Q1">
        <v>1</v>
      </c>
      <c r="W1">
        <v>0</v>
      </c>
      <c r="X1">
        <v>1010519658</v>
      </c>
      <c r="Y1">
        <v>50.024999999999999</v>
      </c>
      <c r="AA1">
        <v>0</v>
      </c>
      <c r="AB1">
        <v>0</v>
      </c>
      <c r="AC1">
        <v>0</v>
      </c>
      <c r="AD1">
        <v>8.64</v>
      </c>
      <c r="AE1">
        <v>0</v>
      </c>
      <c r="AF1">
        <v>0</v>
      </c>
      <c r="AG1">
        <v>0</v>
      </c>
      <c r="AH1">
        <v>8.64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224</v>
      </c>
      <c r="AT1">
        <v>43.5</v>
      </c>
      <c r="AU1" t="s">
        <v>240</v>
      </c>
      <c r="AV1">
        <v>1</v>
      </c>
      <c r="AW1">
        <v>2</v>
      </c>
      <c r="AX1">
        <v>16499967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145.57275000000001</v>
      </c>
      <c r="CY1">
        <f>AD1</f>
        <v>8.64</v>
      </c>
      <c r="CZ1">
        <f>AH1</f>
        <v>8.64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16499835</v>
      </c>
      <c r="C2">
        <v>16499958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629</v>
      </c>
      <c r="J2" t="s">
        <v>224</v>
      </c>
      <c r="K2" t="s">
        <v>630</v>
      </c>
      <c r="L2">
        <v>1191</v>
      </c>
      <c r="N2">
        <v>1013</v>
      </c>
      <c r="O2" t="s">
        <v>628</v>
      </c>
      <c r="P2" t="s">
        <v>628</v>
      </c>
      <c r="Q2">
        <v>1</v>
      </c>
      <c r="W2">
        <v>0</v>
      </c>
      <c r="X2">
        <v>-1417349443</v>
      </c>
      <c r="Y2">
        <v>7.0000000000000007E-2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224</v>
      </c>
      <c r="AT2">
        <v>7.0000000000000007E-2</v>
      </c>
      <c r="AU2" t="s">
        <v>224</v>
      </c>
      <c r="AV2">
        <v>2</v>
      </c>
      <c r="AW2">
        <v>2</v>
      </c>
      <c r="AX2">
        <v>16499968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0.20370000000000002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16499835</v>
      </c>
      <c r="C3">
        <v>16499958</v>
      </c>
      <c r="D3">
        <v>15249073</v>
      </c>
      <c r="E3">
        <v>1</v>
      </c>
      <c r="F3">
        <v>1</v>
      </c>
      <c r="G3">
        <v>1</v>
      </c>
      <c r="H3">
        <v>2</v>
      </c>
      <c r="I3" t="s">
        <v>631</v>
      </c>
      <c r="J3" t="s">
        <v>632</v>
      </c>
      <c r="K3" t="s">
        <v>633</v>
      </c>
      <c r="L3">
        <v>1368</v>
      </c>
      <c r="N3">
        <v>1011</v>
      </c>
      <c r="O3" t="s">
        <v>634</v>
      </c>
      <c r="P3" t="s">
        <v>634</v>
      </c>
      <c r="Q3">
        <v>1</v>
      </c>
      <c r="W3">
        <v>0</v>
      </c>
      <c r="X3">
        <v>1372534845</v>
      </c>
      <c r="Y3">
        <v>8.7500000000000008E-2</v>
      </c>
      <c r="AA3">
        <v>0</v>
      </c>
      <c r="AB3">
        <v>65.709999999999994</v>
      </c>
      <c r="AC3">
        <v>11.6</v>
      </c>
      <c r="AD3">
        <v>0</v>
      </c>
      <c r="AE3">
        <v>0</v>
      </c>
      <c r="AF3">
        <v>65.709999999999994</v>
      </c>
      <c r="AG3">
        <v>11.6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224</v>
      </c>
      <c r="AT3">
        <v>7.0000000000000007E-2</v>
      </c>
      <c r="AU3" t="s">
        <v>239</v>
      </c>
      <c r="AV3">
        <v>0</v>
      </c>
      <c r="AW3">
        <v>2</v>
      </c>
      <c r="AX3">
        <v>16499969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0.25462500000000005</v>
      </c>
      <c r="CY3">
        <f>AB3</f>
        <v>65.709999999999994</v>
      </c>
      <c r="CZ3">
        <f>AF3</f>
        <v>65.709999999999994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16499835</v>
      </c>
      <c r="C4">
        <v>16499958</v>
      </c>
      <c r="D4">
        <v>15197248</v>
      </c>
      <c r="E4">
        <v>1</v>
      </c>
      <c r="F4">
        <v>1</v>
      </c>
      <c r="G4">
        <v>1</v>
      </c>
      <c r="H4">
        <v>3</v>
      </c>
      <c r="I4" t="s">
        <v>635</v>
      </c>
      <c r="J4" t="s">
        <v>636</v>
      </c>
      <c r="K4" t="s">
        <v>637</v>
      </c>
      <c r="L4">
        <v>1327</v>
      </c>
      <c r="N4">
        <v>1005</v>
      </c>
      <c r="O4" t="s">
        <v>277</v>
      </c>
      <c r="P4" t="s">
        <v>277</v>
      </c>
      <c r="Q4">
        <v>1</v>
      </c>
      <c r="W4">
        <v>0</v>
      </c>
      <c r="X4">
        <v>-995787451</v>
      </c>
      <c r="Y4">
        <v>3.4</v>
      </c>
      <c r="AA4">
        <v>35.22</v>
      </c>
      <c r="AB4">
        <v>0</v>
      </c>
      <c r="AC4">
        <v>0</v>
      </c>
      <c r="AD4">
        <v>0</v>
      </c>
      <c r="AE4">
        <v>35.22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224</v>
      </c>
      <c r="AT4">
        <v>3.4</v>
      </c>
      <c r="AU4" t="s">
        <v>224</v>
      </c>
      <c r="AV4">
        <v>0</v>
      </c>
      <c r="AW4">
        <v>2</v>
      </c>
      <c r="AX4">
        <v>16499972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9.8940000000000001</v>
      </c>
      <c r="CY4">
        <f>AA4</f>
        <v>35.22</v>
      </c>
      <c r="CZ4">
        <f>AE4</f>
        <v>35.22</v>
      </c>
      <c r="DA4">
        <f>AI4</f>
        <v>1</v>
      </c>
      <c r="DB4">
        <v>0</v>
      </c>
    </row>
    <row r="5" spans="1:106" x14ac:dyDescent="0.2">
      <c r="A5">
        <f>ROW(Source!A29)</f>
        <v>29</v>
      </c>
      <c r="B5">
        <v>16499878</v>
      </c>
      <c r="C5">
        <v>16499958</v>
      </c>
      <c r="D5">
        <v>15435099</v>
      </c>
      <c r="E5">
        <v>1</v>
      </c>
      <c r="F5">
        <v>1</v>
      </c>
      <c r="G5">
        <v>1</v>
      </c>
      <c r="H5">
        <v>1</v>
      </c>
      <c r="I5" t="s">
        <v>626</v>
      </c>
      <c r="J5" t="s">
        <v>224</v>
      </c>
      <c r="K5" t="s">
        <v>627</v>
      </c>
      <c r="L5">
        <v>1191</v>
      </c>
      <c r="N5">
        <v>1013</v>
      </c>
      <c r="O5" t="s">
        <v>628</v>
      </c>
      <c r="P5" t="s">
        <v>628</v>
      </c>
      <c r="Q5">
        <v>1</v>
      </c>
      <c r="W5">
        <v>0</v>
      </c>
      <c r="X5">
        <v>1010519658</v>
      </c>
      <c r="Y5">
        <v>50.024999999999999</v>
      </c>
      <c r="AA5">
        <v>0</v>
      </c>
      <c r="AB5">
        <v>0</v>
      </c>
      <c r="AC5">
        <v>0</v>
      </c>
      <c r="AD5">
        <v>52.53</v>
      </c>
      <c r="AE5">
        <v>0</v>
      </c>
      <c r="AF5">
        <v>0</v>
      </c>
      <c r="AG5">
        <v>0</v>
      </c>
      <c r="AH5">
        <v>8.64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224</v>
      </c>
      <c r="AT5">
        <v>43.5</v>
      </c>
      <c r="AU5" t="s">
        <v>240</v>
      </c>
      <c r="AV5">
        <v>1</v>
      </c>
      <c r="AW5">
        <v>2</v>
      </c>
      <c r="AX5">
        <v>16499967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145.57275000000001</v>
      </c>
      <c r="CY5">
        <f>AD5</f>
        <v>52.53</v>
      </c>
      <c r="CZ5">
        <f>AH5</f>
        <v>8.64</v>
      </c>
      <c r="DA5">
        <f>AL5</f>
        <v>6.08</v>
      </c>
      <c r="DB5">
        <v>0</v>
      </c>
    </row>
    <row r="6" spans="1:106" x14ac:dyDescent="0.2">
      <c r="A6">
        <f>ROW(Source!A29)</f>
        <v>29</v>
      </c>
      <c r="B6">
        <v>16499878</v>
      </c>
      <c r="C6">
        <v>16499958</v>
      </c>
      <c r="D6">
        <v>15430395</v>
      </c>
      <c r="E6">
        <v>1</v>
      </c>
      <c r="F6">
        <v>1</v>
      </c>
      <c r="G6">
        <v>1</v>
      </c>
      <c r="H6">
        <v>1</v>
      </c>
      <c r="I6" t="s">
        <v>629</v>
      </c>
      <c r="J6" t="s">
        <v>224</v>
      </c>
      <c r="K6" t="s">
        <v>630</v>
      </c>
      <c r="L6">
        <v>1191</v>
      </c>
      <c r="N6">
        <v>1013</v>
      </c>
      <c r="O6" t="s">
        <v>628</v>
      </c>
      <c r="P6" t="s">
        <v>628</v>
      </c>
      <c r="Q6">
        <v>1</v>
      </c>
      <c r="W6">
        <v>0</v>
      </c>
      <c r="X6">
        <v>-1417349443</v>
      </c>
      <c r="Y6">
        <v>7.0000000000000007E-2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224</v>
      </c>
      <c r="AT6">
        <v>7.0000000000000007E-2</v>
      </c>
      <c r="AU6" t="s">
        <v>224</v>
      </c>
      <c r="AV6">
        <v>2</v>
      </c>
      <c r="AW6">
        <v>2</v>
      </c>
      <c r="AX6">
        <v>16499968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0.20370000000000002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ROW(Source!A29)</f>
        <v>29</v>
      </c>
      <c r="B7">
        <v>16499878</v>
      </c>
      <c r="C7">
        <v>16499958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631</v>
      </c>
      <c r="J7" t="s">
        <v>632</v>
      </c>
      <c r="K7" t="s">
        <v>633</v>
      </c>
      <c r="L7">
        <v>1368</v>
      </c>
      <c r="N7">
        <v>1011</v>
      </c>
      <c r="O7" t="s">
        <v>634</v>
      </c>
      <c r="P7" t="s">
        <v>634</v>
      </c>
      <c r="Q7">
        <v>1</v>
      </c>
      <c r="W7">
        <v>0</v>
      </c>
      <c r="X7">
        <v>1372534845</v>
      </c>
      <c r="Y7">
        <v>8.7500000000000008E-2</v>
      </c>
      <c r="AA7">
        <v>0</v>
      </c>
      <c r="AB7">
        <v>399.52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224</v>
      </c>
      <c r="AT7">
        <v>7.0000000000000007E-2</v>
      </c>
      <c r="AU7" t="s">
        <v>239</v>
      </c>
      <c r="AV7">
        <v>0</v>
      </c>
      <c r="AW7">
        <v>2</v>
      </c>
      <c r="AX7">
        <v>16499969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0.25462500000000005</v>
      </c>
      <c r="CY7">
        <f>AB7</f>
        <v>399.52</v>
      </c>
      <c r="CZ7">
        <f>AF7</f>
        <v>65.709999999999994</v>
      </c>
      <c r="DA7">
        <f>AJ7</f>
        <v>6.08</v>
      </c>
      <c r="DB7">
        <v>0</v>
      </c>
    </row>
    <row r="8" spans="1:106" x14ac:dyDescent="0.2">
      <c r="A8">
        <f>ROW(Source!A29)</f>
        <v>29</v>
      </c>
      <c r="B8">
        <v>16499878</v>
      </c>
      <c r="C8">
        <v>16499958</v>
      </c>
      <c r="D8">
        <v>15197248</v>
      </c>
      <c r="E8">
        <v>1</v>
      </c>
      <c r="F8">
        <v>1</v>
      </c>
      <c r="G8">
        <v>1</v>
      </c>
      <c r="H8">
        <v>3</v>
      </c>
      <c r="I8" t="s">
        <v>635</v>
      </c>
      <c r="J8" t="s">
        <v>636</v>
      </c>
      <c r="K8" t="s">
        <v>637</v>
      </c>
      <c r="L8">
        <v>1327</v>
      </c>
      <c r="N8">
        <v>1005</v>
      </c>
      <c r="O8" t="s">
        <v>277</v>
      </c>
      <c r="P8" t="s">
        <v>277</v>
      </c>
      <c r="Q8">
        <v>1</v>
      </c>
      <c r="W8">
        <v>0</v>
      </c>
      <c r="X8">
        <v>-995787451</v>
      </c>
      <c r="Y8">
        <v>3.4</v>
      </c>
      <c r="AA8">
        <v>214.14</v>
      </c>
      <c r="AB8">
        <v>0</v>
      </c>
      <c r="AC8">
        <v>0</v>
      </c>
      <c r="AD8">
        <v>0</v>
      </c>
      <c r="AE8">
        <v>35.22</v>
      </c>
      <c r="AF8">
        <v>0</v>
      </c>
      <c r="AG8">
        <v>0</v>
      </c>
      <c r="AH8">
        <v>0</v>
      </c>
      <c r="AI8">
        <v>6.08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224</v>
      </c>
      <c r="AT8">
        <v>3.4</v>
      </c>
      <c r="AU8" t="s">
        <v>224</v>
      </c>
      <c r="AV8">
        <v>0</v>
      </c>
      <c r="AW8">
        <v>2</v>
      </c>
      <c r="AX8">
        <v>16499972</v>
      </c>
      <c r="AY8">
        <v>1</v>
      </c>
      <c r="AZ8">
        <v>0</v>
      </c>
      <c r="BA8">
        <v>12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9.8940000000000001</v>
      </c>
      <c r="CY8">
        <f>AA8</f>
        <v>214.14</v>
      </c>
      <c r="CZ8">
        <f>AE8</f>
        <v>35.22</v>
      </c>
      <c r="DA8">
        <f>AI8</f>
        <v>6.08</v>
      </c>
      <c r="DB8">
        <v>0</v>
      </c>
    </row>
    <row r="9" spans="1:106" x14ac:dyDescent="0.2">
      <c r="A9">
        <f>ROW(Source!A30)</f>
        <v>30</v>
      </c>
      <c r="B9">
        <v>16499835</v>
      </c>
      <c r="C9">
        <v>16499975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638</v>
      </c>
      <c r="J9" t="s">
        <v>224</v>
      </c>
      <c r="K9" t="s">
        <v>639</v>
      </c>
      <c r="L9">
        <v>1191</v>
      </c>
      <c r="N9">
        <v>1013</v>
      </c>
      <c r="O9" t="s">
        <v>628</v>
      </c>
      <c r="P9" t="s">
        <v>628</v>
      </c>
      <c r="Q9">
        <v>1</v>
      </c>
      <c r="W9">
        <v>0</v>
      </c>
      <c r="X9">
        <v>735429535</v>
      </c>
      <c r="Y9">
        <v>11.39</v>
      </c>
      <c r="AA9">
        <v>0</v>
      </c>
      <c r="AB9">
        <v>0</v>
      </c>
      <c r="AC9">
        <v>0</v>
      </c>
      <c r="AD9">
        <v>7.8</v>
      </c>
      <c r="AE9">
        <v>0</v>
      </c>
      <c r="AF9">
        <v>0</v>
      </c>
      <c r="AG9">
        <v>0</v>
      </c>
      <c r="AH9">
        <v>7.8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224</v>
      </c>
      <c r="AT9">
        <v>11.39</v>
      </c>
      <c r="AU9" t="s">
        <v>224</v>
      </c>
      <c r="AV9">
        <v>1</v>
      </c>
      <c r="AW9">
        <v>2</v>
      </c>
      <c r="AX9">
        <v>16499976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2.3235600000000001</v>
      </c>
      <c r="CY9">
        <f>AD9</f>
        <v>7.8</v>
      </c>
      <c r="CZ9">
        <f>AH9</f>
        <v>7.8</v>
      </c>
      <c r="DA9">
        <f>AL9</f>
        <v>1</v>
      </c>
      <c r="DB9">
        <v>0</v>
      </c>
    </row>
    <row r="10" spans="1:106" x14ac:dyDescent="0.2">
      <c r="A10">
        <f>ROW(Source!A30)</f>
        <v>30</v>
      </c>
      <c r="B10">
        <v>16499835</v>
      </c>
      <c r="C10">
        <v>16499975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629</v>
      </c>
      <c r="J10" t="s">
        <v>224</v>
      </c>
      <c r="K10" t="s">
        <v>630</v>
      </c>
      <c r="L10">
        <v>1191</v>
      </c>
      <c r="N10">
        <v>1013</v>
      </c>
      <c r="O10" t="s">
        <v>628</v>
      </c>
      <c r="P10" t="s">
        <v>628</v>
      </c>
      <c r="Q10">
        <v>1</v>
      </c>
      <c r="W10">
        <v>0</v>
      </c>
      <c r="X10">
        <v>-1417349443</v>
      </c>
      <c r="Y10">
        <v>0.13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224</v>
      </c>
      <c r="AT10">
        <v>0.13</v>
      </c>
      <c r="AU10" t="s">
        <v>224</v>
      </c>
      <c r="AV10">
        <v>2</v>
      </c>
      <c r="AW10">
        <v>2</v>
      </c>
      <c r="AX10">
        <v>16499977</v>
      </c>
      <c r="AY10">
        <v>1</v>
      </c>
      <c r="AZ10">
        <v>0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2.6519999999999998E-2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ROW(Source!A30)</f>
        <v>30</v>
      </c>
      <c r="B11">
        <v>16499835</v>
      </c>
      <c r="C11">
        <v>16499975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640</v>
      </c>
      <c r="J11" t="s">
        <v>641</v>
      </c>
      <c r="K11" t="s">
        <v>642</v>
      </c>
      <c r="L11">
        <v>1368</v>
      </c>
      <c r="N11">
        <v>1011</v>
      </c>
      <c r="O11" t="s">
        <v>634</v>
      </c>
      <c r="P11" t="s">
        <v>634</v>
      </c>
      <c r="Q11">
        <v>1</v>
      </c>
      <c r="W11">
        <v>0</v>
      </c>
      <c r="X11">
        <v>1188625873</v>
      </c>
      <c r="Y11">
        <v>0.13</v>
      </c>
      <c r="AA11">
        <v>0</v>
      </c>
      <c r="AB11">
        <v>31.26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224</v>
      </c>
      <c r="AT11">
        <v>0.13</v>
      </c>
      <c r="AU11" t="s">
        <v>224</v>
      </c>
      <c r="AV11">
        <v>0</v>
      </c>
      <c r="AW11">
        <v>2</v>
      </c>
      <c r="AX11">
        <v>16499978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2.6519999999999998E-2</v>
      </c>
      <c r="CY11">
        <f>AB11</f>
        <v>31.26</v>
      </c>
      <c r="CZ11">
        <f>AF11</f>
        <v>31.26</v>
      </c>
      <c r="DA11">
        <f>AJ11</f>
        <v>1</v>
      </c>
      <c r="DB11">
        <v>0</v>
      </c>
    </row>
    <row r="12" spans="1:106" x14ac:dyDescent="0.2">
      <c r="A12">
        <f>ROW(Source!A31)</f>
        <v>31</v>
      </c>
      <c r="B12">
        <v>16499878</v>
      </c>
      <c r="C12">
        <v>16499975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638</v>
      </c>
      <c r="J12" t="s">
        <v>224</v>
      </c>
      <c r="K12" t="s">
        <v>639</v>
      </c>
      <c r="L12">
        <v>1191</v>
      </c>
      <c r="N12">
        <v>1013</v>
      </c>
      <c r="O12" t="s">
        <v>628</v>
      </c>
      <c r="P12" t="s">
        <v>628</v>
      </c>
      <c r="Q12">
        <v>1</v>
      </c>
      <c r="W12">
        <v>0</v>
      </c>
      <c r="X12">
        <v>735429535</v>
      </c>
      <c r="Y12">
        <v>11.39</v>
      </c>
      <c r="AA12">
        <v>0</v>
      </c>
      <c r="AB12">
        <v>0</v>
      </c>
      <c r="AC12">
        <v>0</v>
      </c>
      <c r="AD12">
        <v>47.42</v>
      </c>
      <c r="AE12">
        <v>0</v>
      </c>
      <c r="AF12">
        <v>0</v>
      </c>
      <c r="AG12">
        <v>0</v>
      </c>
      <c r="AH12">
        <v>7.8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224</v>
      </c>
      <c r="AT12">
        <v>11.39</v>
      </c>
      <c r="AU12" t="s">
        <v>224</v>
      </c>
      <c r="AV12">
        <v>1</v>
      </c>
      <c r="AW12">
        <v>2</v>
      </c>
      <c r="AX12">
        <v>16499976</v>
      </c>
      <c r="AY12">
        <v>1</v>
      </c>
      <c r="AZ12">
        <v>0</v>
      </c>
      <c r="BA12">
        <v>17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2.3235600000000001</v>
      </c>
      <c r="CY12">
        <f>AD12</f>
        <v>47.42</v>
      </c>
      <c r="CZ12">
        <f>AH12</f>
        <v>7.8</v>
      </c>
      <c r="DA12">
        <f>AL12</f>
        <v>6.08</v>
      </c>
      <c r="DB12">
        <v>0</v>
      </c>
    </row>
    <row r="13" spans="1:106" x14ac:dyDescent="0.2">
      <c r="A13">
        <f>ROW(Source!A31)</f>
        <v>31</v>
      </c>
      <c r="B13">
        <v>16499878</v>
      </c>
      <c r="C13">
        <v>16499975</v>
      </c>
      <c r="D13">
        <v>15430395</v>
      </c>
      <c r="E13">
        <v>1</v>
      </c>
      <c r="F13">
        <v>1</v>
      </c>
      <c r="G13">
        <v>1</v>
      </c>
      <c r="H13">
        <v>1</v>
      </c>
      <c r="I13" t="s">
        <v>629</v>
      </c>
      <c r="J13" t="s">
        <v>224</v>
      </c>
      <c r="K13" t="s">
        <v>630</v>
      </c>
      <c r="L13">
        <v>1191</v>
      </c>
      <c r="N13">
        <v>1013</v>
      </c>
      <c r="O13" t="s">
        <v>628</v>
      </c>
      <c r="P13" t="s">
        <v>628</v>
      </c>
      <c r="Q13">
        <v>1</v>
      </c>
      <c r="W13">
        <v>0</v>
      </c>
      <c r="X13">
        <v>-1417349443</v>
      </c>
      <c r="Y13">
        <v>0.13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224</v>
      </c>
      <c r="AT13">
        <v>0.13</v>
      </c>
      <c r="AU13" t="s">
        <v>224</v>
      </c>
      <c r="AV13">
        <v>2</v>
      </c>
      <c r="AW13">
        <v>2</v>
      </c>
      <c r="AX13">
        <v>16499977</v>
      </c>
      <c r="AY13">
        <v>1</v>
      </c>
      <c r="AZ13">
        <v>0</v>
      </c>
      <c r="BA13">
        <v>18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2.6519999999999998E-2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ROW(Source!A31)</f>
        <v>31</v>
      </c>
      <c r="B14">
        <v>16499878</v>
      </c>
      <c r="C14">
        <v>16499975</v>
      </c>
      <c r="D14">
        <v>15247974</v>
      </c>
      <c r="E14">
        <v>1</v>
      </c>
      <c r="F14">
        <v>1</v>
      </c>
      <c r="G14">
        <v>1</v>
      </c>
      <c r="H14">
        <v>2</v>
      </c>
      <c r="I14" t="s">
        <v>640</v>
      </c>
      <c r="J14" t="s">
        <v>641</v>
      </c>
      <c r="K14" t="s">
        <v>642</v>
      </c>
      <c r="L14">
        <v>1368</v>
      </c>
      <c r="N14">
        <v>1011</v>
      </c>
      <c r="O14" t="s">
        <v>634</v>
      </c>
      <c r="P14" t="s">
        <v>634</v>
      </c>
      <c r="Q14">
        <v>1</v>
      </c>
      <c r="W14">
        <v>0</v>
      </c>
      <c r="X14">
        <v>1188625873</v>
      </c>
      <c r="Y14">
        <v>0.13</v>
      </c>
      <c r="AA14">
        <v>0</v>
      </c>
      <c r="AB14">
        <v>190.06</v>
      </c>
      <c r="AC14">
        <v>13.5</v>
      </c>
      <c r="AD14">
        <v>0</v>
      </c>
      <c r="AE14">
        <v>0</v>
      </c>
      <c r="AF14">
        <v>31.26</v>
      </c>
      <c r="AG14">
        <v>13.5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224</v>
      </c>
      <c r="AT14">
        <v>0.13</v>
      </c>
      <c r="AU14" t="s">
        <v>224</v>
      </c>
      <c r="AV14">
        <v>0</v>
      </c>
      <c r="AW14">
        <v>2</v>
      </c>
      <c r="AX14">
        <v>16499978</v>
      </c>
      <c r="AY14">
        <v>1</v>
      </c>
      <c r="AZ14">
        <v>0</v>
      </c>
      <c r="BA14">
        <v>19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2.6519999999999998E-2</v>
      </c>
      <c r="CY14">
        <f>AB14</f>
        <v>190.06</v>
      </c>
      <c r="CZ14">
        <f>AF14</f>
        <v>31.26</v>
      </c>
      <c r="DA14">
        <f>AJ14</f>
        <v>6.08</v>
      </c>
      <c r="DB14">
        <v>0</v>
      </c>
    </row>
    <row r="15" spans="1:106" x14ac:dyDescent="0.2">
      <c r="A15">
        <f>ROW(Source!A32)</f>
        <v>32</v>
      </c>
      <c r="B15">
        <v>16499835</v>
      </c>
      <c r="C15">
        <v>16499981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638</v>
      </c>
      <c r="J15" t="s">
        <v>224</v>
      </c>
      <c r="K15" t="s">
        <v>639</v>
      </c>
      <c r="L15">
        <v>1191</v>
      </c>
      <c r="N15">
        <v>1013</v>
      </c>
      <c r="O15" t="s">
        <v>628</v>
      </c>
      <c r="P15" t="s">
        <v>628</v>
      </c>
      <c r="Q15">
        <v>1</v>
      </c>
      <c r="W15">
        <v>0</v>
      </c>
      <c r="X15">
        <v>735429535</v>
      </c>
      <c r="Y15">
        <v>3.77</v>
      </c>
      <c r="AA15">
        <v>0</v>
      </c>
      <c r="AB15">
        <v>0</v>
      </c>
      <c r="AC15">
        <v>0</v>
      </c>
      <c r="AD15">
        <v>7.8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224</v>
      </c>
      <c r="AT15">
        <v>3.77</v>
      </c>
      <c r="AU15" t="s">
        <v>224</v>
      </c>
      <c r="AV15">
        <v>1</v>
      </c>
      <c r="AW15">
        <v>2</v>
      </c>
      <c r="AX15">
        <v>16499982</v>
      </c>
      <c r="AY15">
        <v>1</v>
      </c>
      <c r="AZ15">
        <v>0</v>
      </c>
      <c r="BA15">
        <v>21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0.754</v>
      </c>
      <c r="CY15">
        <f>AD15</f>
        <v>7.8</v>
      </c>
      <c r="CZ15">
        <f>AH15</f>
        <v>7.8</v>
      </c>
      <c r="DA15">
        <f>AL15</f>
        <v>1</v>
      </c>
      <c r="DB15">
        <v>0</v>
      </c>
    </row>
    <row r="16" spans="1:106" x14ac:dyDescent="0.2">
      <c r="A16">
        <f>ROW(Source!A33)</f>
        <v>33</v>
      </c>
      <c r="B16">
        <v>16499878</v>
      </c>
      <c r="C16">
        <v>16499981</v>
      </c>
      <c r="D16">
        <v>15430517</v>
      </c>
      <c r="E16">
        <v>1</v>
      </c>
      <c r="F16">
        <v>1</v>
      </c>
      <c r="G16">
        <v>1</v>
      </c>
      <c r="H16">
        <v>1</v>
      </c>
      <c r="I16" t="s">
        <v>638</v>
      </c>
      <c r="J16" t="s">
        <v>224</v>
      </c>
      <c r="K16" t="s">
        <v>639</v>
      </c>
      <c r="L16">
        <v>1191</v>
      </c>
      <c r="N16">
        <v>1013</v>
      </c>
      <c r="O16" t="s">
        <v>628</v>
      </c>
      <c r="P16" t="s">
        <v>628</v>
      </c>
      <c r="Q16">
        <v>1</v>
      </c>
      <c r="W16">
        <v>0</v>
      </c>
      <c r="X16">
        <v>735429535</v>
      </c>
      <c r="Y16">
        <v>3.77</v>
      </c>
      <c r="AA16">
        <v>0</v>
      </c>
      <c r="AB16">
        <v>0</v>
      </c>
      <c r="AC16">
        <v>0</v>
      </c>
      <c r="AD16">
        <v>47.42</v>
      </c>
      <c r="AE16">
        <v>0</v>
      </c>
      <c r="AF16">
        <v>0</v>
      </c>
      <c r="AG16">
        <v>0</v>
      </c>
      <c r="AH16">
        <v>7.8</v>
      </c>
      <c r="AI16">
        <v>1</v>
      </c>
      <c r="AJ16">
        <v>1</v>
      </c>
      <c r="AK16">
        <v>1</v>
      </c>
      <c r="AL16">
        <v>6.08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224</v>
      </c>
      <c r="AT16">
        <v>3.77</v>
      </c>
      <c r="AU16" t="s">
        <v>224</v>
      </c>
      <c r="AV16">
        <v>1</v>
      </c>
      <c r="AW16">
        <v>2</v>
      </c>
      <c r="AX16">
        <v>16499982</v>
      </c>
      <c r="AY16">
        <v>1</v>
      </c>
      <c r="AZ16">
        <v>0</v>
      </c>
      <c r="BA16">
        <v>23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Y16*Source!I33</f>
        <v>0.754</v>
      </c>
      <c r="CY16">
        <f>AD16</f>
        <v>47.42</v>
      </c>
      <c r="CZ16">
        <f>AH16</f>
        <v>7.8</v>
      </c>
      <c r="DA16">
        <f>AL16</f>
        <v>6.08</v>
      </c>
      <c r="DB16">
        <v>0</v>
      </c>
    </row>
    <row r="17" spans="1:106" x14ac:dyDescent="0.2">
      <c r="A17">
        <f>ROW(Source!A34)</f>
        <v>34</v>
      </c>
      <c r="B17">
        <v>16499835</v>
      </c>
      <c r="C17">
        <v>16499985</v>
      </c>
      <c r="D17">
        <v>15430517</v>
      </c>
      <c r="E17">
        <v>1</v>
      </c>
      <c r="F17">
        <v>1</v>
      </c>
      <c r="G17">
        <v>1</v>
      </c>
      <c r="H17">
        <v>1</v>
      </c>
      <c r="I17" t="s">
        <v>638</v>
      </c>
      <c r="J17" t="s">
        <v>224</v>
      </c>
      <c r="K17" t="s">
        <v>639</v>
      </c>
      <c r="L17">
        <v>1191</v>
      </c>
      <c r="N17">
        <v>1013</v>
      </c>
      <c r="O17" t="s">
        <v>628</v>
      </c>
      <c r="P17" t="s">
        <v>628</v>
      </c>
      <c r="Q17">
        <v>1</v>
      </c>
      <c r="W17">
        <v>0</v>
      </c>
      <c r="X17">
        <v>735429535</v>
      </c>
      <c r="Y17">
        <v>55.52</v>
      </c>
      <c r="AA17">
        <v>0</v>
      </c>
      <c r="AB17">
        <v>0</v>
      </c>
      <c r="AC17">
        <v>0</v>
      </c>
      <c r="AD17">
        <v>7.8</v>
      </c>
      <c r="AE17">
        <v>0</v>
      </c>
      <c r="AF17">
        <v>0</v>
      </c>
      <c r="AG17">
        <v>0</v>
      </c>
      <c r="AH17">
        <v>7.8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224</v>
      </c>
      <c r="AT17">
        <v>55.52</v>
      </c>
      <c r="AU17" t="s">
        <v>224</v>
      </c>
      <c r="AV17">
        <v>1</v>
      </c>
      <c r="AW17">
        <v>2</v>
      </c>
      <c r="AX17">
        <v>16499986</v>
      </c>
      <c r="AY17">
        <v>1</v>
      </c>
      <c r="AZ17">
        <v>0</v>
      </c>
      <c r="BA17">
        <v>25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197.096</v>
      </c>
      <c r="CY17">
        <f>AD17</f>
        <v>7.8</v>
      </c>
      <c r="CZ17">
        <f>AH17</f>
        <v>7.8</v>
      </c>
      <c r="DA17">
        <f>AL17</f>
        <v>1</v>
      </c>
      <c r="DB17">
        <v>0</v>
      </c>
    </row>
    <row r="18" spans="1:106" x14ac:dyDescent="0.2">
      <c r="A18">
        <f>ROW(Source!A34)</f>
        <v>34</v>
      </c>
      <c r="B18">
        <v>16499835</v>
      </c>
      <c r="C18">
        <v>16499985</v>
      </c>
      <c r="D18">
        <v>15247873</v>
      </c>
      <c r="E18">
        <v>1</v>
      </c>
      <c r="F18">
        <v>1</v>
      </c>
      <c r="G18">
        <v>1</v>
      </c>
      <c r="H18">
        <v>2</v>
      </c>
      <c r="I18" t="s">
        <v>643</v>
      </c>
      <c r="J18" t="s">
        <v>644</v>
      </c>
      <c r="K18" t="s">
        <v>645</v>
      </c>
      <c r="L18">
        <v>1368</v>
      </c>
      <c r="N18">
        <v>1011</v>
      </c>
      <c r="O18" t="s">
        <v>634</v>
      </c>
      <c r="P18" t="s">
        <v>634</v>
      </c>
      <c r="Q18">
        <v>1</v>
      </c>
      <c r="W18">
        <v>0</v>
      </c>
      <c r="X18">
        <v>-1985289705</v>
      </c>
      <c r="Y18">
        <v>12.7</v>
      </c>
      <c r="AA18">
        <v>0</v>
      </c>
      <c r="AB18">
        <v>6.66</v>
      </c>
      <c r="AC18">
        <v>0</v>
      </c>
      <c r="AD18">
        <v>0</v>
      </c>
      <c r="AE18">
        <v>0</v>
      </c>
      <c r="AF18">
        <v>6.66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224</v>
      </c>
      <c r="AT18">
        <v>12.7</v>
      </c>
      <c r="AU18" t="s">
        <v>224</v>
      </c>
      <c r="AV18">
        <v>0</v>
      </c>
      <c r="AW18">
        <v>2</v>
      </c>
      <c r="AX18">
        <v>16499987</v>
      </c>
      <c r="AY18">
        <v>1</v>
      </c>
      <c r="AZ18">
        <v>0</v>
      </c>
      <c r="BA18">
        <v>26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45.084999999999994</v>
      </c>
      <c r="CY18">
        <f>AB18</f>
        <v>6.66</v>
      </c>
      <c r="CZ18">
        <f>AF18</f>
        <v>6.66</v>
      </c>
      <c r="DA18">
        <f>AJ18</f>
        <v>1</v>
      </c>
      <c r="DB18">
        <v>0</v>
      </c>
    </row>
    <row r="19" spans="1:106" x14ac:dyDescent="0.2">
      <c r="A19">
        <f>ROW(Source!A35)</f>
        <v>35</v>
      </c>
      <c r="B19">
        <v>16499878</v>
      </c>
      <c r="C19">
        <v>16499985</v>
      </c>
      <c r="D19">
        <v>15430517</v>
      </c>
      <c r="E19">
        <v>1</v>
      </c>
      <c r="F19">
        <v>1</v>
      </c>
      <c r="G19">
        <v>1</v>
      </c>
      <c r="H19">
        <v>1</v>
      </c>
      <c r="I19" t="s">
        <v>638</v>
      </c>
      <c r="J19" t="s">
        <v>224</v>
      </c>
      <c r="K19" t="s">
        <v>639</v>
      </c>
      <c r="L19">
        <v>1191</v>
      </c>
      <c r="N19">
        <v>1013</v>
      </c>
      <c r="O19" t="s">
        <v>628</v>
      </c>
      <c r="P19" t="s">
        <v>628</v>
      </c>
      <c r="Q19">
        <v>1</v>
      </c>
      <c r="W19">
        <v>0</v>
      </c>
      <c r="X19">
        <v>735429535</v>
      </c>
      <c r="Y19">
        <v>55.52</v>
      </c>
      <c r="AA19">
        <v>0</v>
      </c>
      <c r="AB19">
        <v>0</v>
      </c>
      <c r="AC19">
        <v>0</v>
      </c>
      <c r="AD19">
        <v>47.42</v>
      </c>
      <c r="AE19">
        <v>0</v>
      </c>
      <c r="AF19">
        <v>0</v>
      </c>
      <c r="AG19">
        <v>0</v>
      </c>
      <c r="AH19">
        <v>7.8</v>
      </c>
      <c r="AI19">
        <v>1</v>
      </c>
      <c r="AJ19">
        <v>1</v>
      </c>
      <c r="AK19">
        <v>1</v>
      </c>
      <c r="AL19">
        <v>6.08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224</v>
      </c>
      <c r="AT19">
        <v>55.52</v>
      </c>
      <c r="AU19" t="s">
        <v>224</v>
      </c>
      <c r="AV19">
        <v>1</v>
      </c>
      <c r="AW19">
        <v>2</v>
      </c>
      <c r="AX19">
        <v>16499986</v>
      </c>
      <c r="AY19">
        <v>1</v>
      </c>
      <c r="AZ19">
        <v>0</v>
      </c>
      <c r="BA19">
        <v>27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Y19*Source!I35</f>
        <v>197.096</v>
      </c>
      <c r="CY19">
        <f>AD19</f>
        <v>47.42</v>
      </c>
      <c r="CZ19">
        <f>AH19</f>
        <v>7.8</v>
      </c>
      <c r="DA19">
        <f>AL19</f>
        <v>6.08</v>
      </c>
      <c r="DB19">
        <v>0</v>
      </c>
    </row>
    <row r="20" spans="1:106" x14ac:dyDescent="0.2">
      <c r="A20">
        <f>ROW(Source!A35)</f>
        <v>35</v>
      </c>
      <c r="B20">
        <v>16499878</v>
      </c>
      <c r="C20">
        <v>16499985</v>
      </c>
      <c r="D20">
        <v>15247873</v>
      </c>
      <c r="E20">
        <v>1</v>
      </c>
      <c r="F20">
        <v>1</v>
      </c>
      <c r="G20">
        <v>1</v>
      </c>
      <c r="H20">
        <v>2</v>
      </c>
      <c r="I20" t="s">
        <v>643</v>
      </c>
      <c r="J20" t="s">
        <v>644</v>
      </c>
      <c r="K20" t="s">
        <v>645</v>
      </c>
      <c r="L20">
        <v>1368</v>
      </c>
      <c r="N20">
        <v>1011</v>
      </c>
      <c r="O20" t="s">
        <v>634</v>
      </c>
      <c r="P20" t="s">
        <v>634</v>
      </c>
      <c r="Q20">
        <v>1</v>
      </c>
      <c r="W20">
        <v>0</v>
      </c>
      <c r="X20">
        <v>-1985289705</v>
      </c>
      <c r="Y20">
        <v>12.7</v>
      </c>
      <c r="AA20">
        <v>0</v>
      </c>
      <c r="AB20">
        <v>40.49</v>
      </c>
      <c r="AC20">
        <v>0</v>
      </c>
      <c r="AD20">
        <v>0</v>
      </c>
      <c r="AE20">
        <v>0</v>
      </c>
      <c r="AF20">
        <v>6.66</v>
      </c>
      <c r="AG20">
        <v>0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224</v>
      </c>
      <c r="AT20">
        <v>12.7</v>
      </c>
      <c r="AU20" t="s">
        <v>224</v>
      </c>
      <c r="AV20">
        <v>0</v>
      </c>
      <c r="AW20">
        <v>2</v>
      </c>
      <c r="AX20">
        <v>16499987</v>
      </c>
      <c r="AY20">
        <v>1</v>
      </c>
      <c r="AZ20">
        <v>0</v>
      </c>
      <c r="BA20">
        <v>28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Y20*Source!I35</f>
        <v>45.084999999999994</v>
      </c>
      <c r="CY20">
        <f>AB20</f>
        <v>40.49</v>
      </c>
      <c r="CZ20">
        <f>AF20</f>
        <v>6.66</v>
      </c>
      <c r="DA20">
        <f>AJ20</f>
        <v>6.08</v>
      </c>
      <c r="DB20">
        <v>0</v>
      </c>
    </row>
    <row r="21" spans="1:106" x14ac:dyDescent="0.2">
      <c r="A21">
        <f>ROW(Source!A36)</f>
        <v>36</v>
      </c>
      <c r="B21">
        <v>16499835</v>
      </c>
      <c r="C21">
        <v>16499988</v>
      </c>
      <c r="D21">
        <v>15430517</v>
      </c>
      <c r="E21">
        <v>1</v>
      </c>
      <c r="F21">
        <v>1</v>
      </c>
      <c r="G21">
        <v>1</v>
      </c>
      <c r="H21">
        <v>1</v>
      </c>
      <c r="I21" t="s">
        <v>638</v>
      </c>
      <c r="J21" t="s">
        <v>224</v>
      </c>
      <c r="K21" t="s">
        <v>639</v>
      </c>
      <c r="L21">
        <v>1191</v>
      </c>
      <c r="N21">
        <v>1013</v>
      </c>
      <c r="O21" t="s">
        <v>628</v>
      </c>
      <c r="P21" t="s">
        <v>628</v>
      </c>
      <c r="Q21">
        <v>1</v>
      </c>
      <c r="W21">
        <v>0</v>
      </c>
      <c r="X21">
        <v>735429535</v>
      </c>
      <c r="Y21">
        <v>9.1</v>
      </c>
      <c r="AA21">
        <v>0</v>
      </c>
      <c r="AB21">
        <v>0</v>
      </c>
      <c r="AC21">
        <v>0</v>
      </c>
      <c r="AD21">
        <v>7.8</v>
      </c>
      <c r="AE21">
        <v>0</v>
      </c>
      <c r="AF21">
        <v>0</v>
      </c>
      <c r="AG21">
        <v>0</v>
      </c>
      <c r="AH21">
        <v>7.8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224</v>
      </c>
      <c r="AT21">
        <v>9.1</v>
      </c>
      <c r="AU21" t="s">
        <v>224</v>
      </c>
      <c r="AV21">
        <v>1</v>
      </c>
      <c r="AW21">
        <v>2</v>
      </c>
      <c r="AX21">
        <v>16499989</v>
      </c>
      <c r="AY21">
        <v>1</v>
      </c>
      <c r="AZ21">
        <v>0</v>
      </c>
      <c r="BA21">
        <v>29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Y21*Source!I36</f>
        <v>2.73</v>
      </c>
      <c r="CY21">
        <f>AD21</f>
        <v>7.8</v>
      </c>
      <c r="CZ21">
        <f>AH21</f>
        <v>7.8</v>
      </c>
      <c r="DA21">
        <f>AL21</f>
        <v>1</v>
      </c>
      <c r="DB21">
        <v>0</v>
      </c>
    </row>
    <row r="22" spans="1:106" x14ac:dyDescent="0.2">
      <c r="A22">
        <f>ROW(Source!A36)</f>
        <v>36</v>
      </c>
      <c r="B22">
        <v>16499835</v>
      </c>
      <c r="C22">
        <v>16499988</v>
      </c>
      <c r="D22">
        <v>15247878</v>
      </c>
      <c r="E22">
        <v>1</v>
      </c>
      <c r="F22">
        <v>1</v>
      </c>
      <c r="G22">
        <v>1</v>
      </c>
      <c r="H22">
        <v>2</v>
      </c>
      <c r="I22" t="s">
        <v>646</v>
      </c>
      <c r="J22" t="s">
        <v>647</v>
      </c>
      <c r="K22" t="s">
        <v>648</v>
      </c>
      <c r="L22">
        <v>1368</v>
      </c>
      <c r="N22">
        <v>1011</v>
      </c>
      <c r="O22" t="s">
        <v>634</v>
      </c>
      <c r="P22" t="s">
        <v>634</v>
      </c>
      <c r="Q22">
        <v>1</v>
      </c>
      <c r="W22">
        <v>0</v>
      </c>
      <c r="X22">
        <v>1047452784</v>
      </c>
      <c r="Y22">
        <v>0.12</v>
      </c>
      <c r="AA22">
        <v>0</v>
      </c>
      <c r="AB22">
        <v>1.7</v>
      </c>
      <c r="AC22">
        <v>0</v>
      </c>
      <c r="AD22">
        <v>0</v>
      </c>
      <c r="AE22">
        <v>0</v>
      </c>
      <c r="AF22">
        <v>1.7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224</v>
      </c>
      <c r="AT22">
        <v>0.12</v>
      </c>
      <c r="AU22" t="s">
        <v>224</v>
      </c>
      <c r="AV22">
        <v>0</v>
      </c>
      <c r="AW22">
        <v>2</v>
      </c>
      <c r="AX22">
        <v>16499990</v>
      </c>
      <c r="AY22">
        <v>1</v>
      </c>
      <c r="AZ22">
        <v>0</v>
      </c>
      <c r="BA22">
        <v>30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Y22*Source!I36</f>
        <v>3.5999999999999997E-2</v>
      </c>
      <c r="CY22">
        <f>AB22</f>
        <v>1.7</v>
      </c>
      <c r="CZ22">
        <f>AF22</f>
        <v>1.7</v>
      </c>
      <c r="DA22">
        <f>AJ22</f>
        <v>1</v>
      </c>
      <c r="DB22">
        <v>0</v>
      </c>
    </row>
    <row r="23" spans="1:106" x14ac:dyDescent="0.2">
      <c r="A23">
        <f>ROW(Source!A37)</f>
        <v>37</v>
      </c>
      <c r="B23">
        <v>16499878</v>
      </c>
      <c r="C23">
        <v>16499988</v>
      </c>
      <c r="D23">
        <v>15430517</v>
      </c>
      <c r="E23">
        <v>1</v>
      </c>
      <c r="F23">
        <v>1</v>
      </c>
      <c r="G23">
        <v>1</v>
      </c>
      <c r="H23">
        <v>1</v>
      </c>
      <c r="I23" t="s">
        <v>638</v>
      </c>
      <c r="J23" t="s">
        <v>224</v>
      </c>
      <c r="K23" t="s">
        <v>639</v>
      </c>
      <c r="L23">
        <v>1191</v>
      </c>
      <c r="N23">
        <v>1013</v>
      </c>
      <c r="O23" t="s">
        <v>628</v>
      </c>
      <c r="P23" t="s">
        <v>628</v>
      </c>
      <c r="Q23">
        <v>1</v>
      </c>
      <c r="W23">
        <v>0</v>
      </c>
      <c r="X23">
        <v>735429535</v>
      </c>
      <c r="Y23">
        <v>9.1</v>
      </c>
      <c r="AA23">
        <v>0</v>
      </c>
      <c r="AB23">
        <v>0</v>
      </c>
      <c r="AC23">
        <v>0</v>
      </c>
      <c r="AD23">
        <v>47.42</v>
      </c>
      <c r="AE23">
        <v>0</v>
      </c>
      <c r="AF23">
        <v>0</v>
      </c>
      <c r="AG23">
        <v>0</v>
      </c>
      <c r="AH23">
        <v>7.8</v>
      </c>
      <c r="AI23">
        <v>1</v>
      </c>
      <c r="AJ23">
        <v>1</v>
      </c>
      <c r="AK23">
        <v>1</v>
      </c>
      <c r="AL23">
        <v>6.08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224</v>
      </c>
      <c r="AT23">
        <v>9.1</v>
      </c>
      <c r="AU23" t="s">
        <v>224</v>
      </c>
      <c r="AV23">
        <v>1</v>
      </c>
      <c r="AW23">
        <v>2</v>
      </c>
      <c r="AX23">
        <v>16499989</v>
      </c>
      <c r="AY23">
        <v>1</v>
      </c>
      <c r="AZ23">
        <v>0</v>
      </c>
      <c r="BA23">
        <v>32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Y23*Source!I37</f>
        <v>2.73</v>
      </c>
      <c r="CY23">
        <f>AD23</f>
        <v>47.42</v>
      </c>
      <c r="CZ23">
        <f>AH23</f>
        <v>7.8</v>
      </c>
      <c r="DA23">
        <f>AL23</f>
        <v>6.08</v>
      </c>
      <c r="DB23">
        <v>0</v>
      </c>
    </row>
    <row r="24" spans="1:106" x14ac:dyDescent="0.2">
      <c r="A24">
        <f>ROW(Source!A37)</f>
        <v>37</v>
      </c>
      <c r="B24">
        <v>16499878</v>
      </c>
      <c r="C24">
        <v>16499988</v>
      </c>
      <c r="D24">
        <v>15247878</v>
      </c>
      <c r="E24">
        <v>1</v>
      </c>
      <c r="F24">
        <v>1</v>
      </c>
      <c r="G24">
        <v>1</v>
      </c>
      <c r="H24">
        <v>2</v>
      </c>
      <c r="I24" t="s">
        <v>646</v>
      </c>
      <c r="J24" t="s">
        <v>647</v>
      </c>
      <c r="K24" t="s">
        <v>648</v>
      </c>
      <c r="L24">
        <v>1368</v>
      </c>
      <c r="N24">
        <v>1011</v>
      </c>
      <c r="O24" t="s">
        <v>634</v>
      </c>
      <c r="P24" t="s">
        <v>634</v>
      </c>
      <c r="Q24">
        <v>1</v>
      </c>
      <c r="W24">
        <v>0</v>
      </c>
      <c r="X24">
        <v>1047452784</v>
      </c>
      <c r="Y24">
        <v>0.12</v>
      </c>
      <c r="AA24">
        <v>0</v>
      </c>
      <c r="AB24">
        <v>10.34</v>
      </c>
      <c r="AC24">
        <v>0</v>
      </c>
      <c r="AD24">
        <v>0</v>
      </c>
      <c r="AE24">
        <v>0</v>
      </c>
      <c r="AF24">
        <v>1.7</v>
      </c>
      <c r="AG24">
        <v>0</v>
      </c>
      <c r="AH24">
        <v>0</v>
      </c>
      <c r="AI24">
        <v>1</v>
      </c>
      <c r="AJ24">
        <v>6.08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224</v>
      </c>
      <c r="AT24">
        <v>0.12</v>
      </c>
      <c r="AU24" t="s">
        <v>224</v>
      </c>
      <c r="AV24">
        <v>0</v>
      </c>
      <c r="AW24">
        <v>2</v>
      </c>
      <c r="AX24">
        <v>16499990</v>
      </c>
      <c r="AY24">
        <v>1</v>
      </c>
      <c r="AZ24">
        <v>0</v>
      </c>
      <c r="BA24">
        <v>33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Y24*Source!I37</f>
        <v>3.5999999999999997E-2</v>
      </c>
      <c r="CY24">
        <f>AB24</f>
        <v>10.34</v>
      </c>
      <c r="CZ24">
        <f>AF24</f>
        <v>1.7</v>
      </c>
      <c r="DA24">
        <f>AJ24</f>
        <v>6.08</v>
      </c>
      <c r="DB24">
        <v>0</v>
      </c>
    </row>
    <row r="25" spans="1:106" x14ac:dyDescent="0.2">
      <c r="A25">
        <f>ROW(Source!A38)</f>
        <v>38</v>
      </c>
      <c r="B25">
        <v>16499835</v>
      </c>
      <c r="C25">
        <v>16499993</v>
      </c>
      <c r="D25">
        <v>15433667</v>
      </c>
      <c r="E25">
        <v>1</v>
      </c>
      <c r="F25">
        <v>1</v>
      </c>
      <c r="G25">
        <v>1</v>
      </c>
      <c r="H25">
        <v>1</v>
      </c>
      <c r="I25" t="s">
        <v>649</v>
      </c>
      <c r="J25" t="s">
        <v>224</v>
      </c>
      <c r="K25" t="s">
        <v>650</v>
      </c>
      <c r="L25">
        <v>1191</v>
      </c>
      <c r="N25">
        <v>1013</v>
      </c>
      <c r="O25" t="s">
        <v>628</v>
      </c>
      <c r="P25" t="s">
        <v>628</v>
      </c>
      <c r="Q25">
        <v>1</v>
      </c>
      <c r="W25">
        <v>0</v>
      </c>
      <c r="X25">
        <v>371339561</v>
      </c>
      <c r="Y25">
        <v>103.91</v>
      </c>
      <c r="AA25">
        <v>0</v>
      </c>
      <c r="AB25">
        <v>0</v>
      </c>
      <c r="AC25">
        <v>0</v>
      </c>
      <c r="AD25">
        <v>8.09</v>
      </c>
      <c r="AE25">
        <v>0</v>
      </c>
      <c r="AF25">
        <v>0</v>
      </c>
      <c r="AG25">
        <v>0</v>
      </c>
      <c r="AH25">
        <v>8.09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224</v>
      </c>
      <c r="AT25">
        <v>103.91</v>
      </c>
      <c r="AU25" t="s">
        <v>224</v>
      </c>
      <c r="AV25">
        <v>1</v>
      </c>
      <c r="AW25">
        <v>2</v>
      </c>
      <c r="AX25">
        <v>16499994</v>
      </c>
      <c r="AY25">
        <v>1</v>
      </c>
      <c r="AZ25">
        <v>0</v>
      </c>
      <c r="BA25">
        <v>35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7.9491149999999999</v>
      </c>
      <c r="CY25">
        <f>AD25</f>
        <v>8.09</v>
      </c>
      <c r="CZ25">
        <f>AH25</f>
        <v>8.09</v>
      </c>
      <c r="DA25">
        <f>AL25</f>
        <v>1</v>
      </c>
      <c r="DB25">
        <v>0</v>
      </c>
    </row>
    <row r="26" spans="1:106" x14ac:dyDescent="0.2">
      <c r="A26">
        <f>ROW(Source!A38)</f>
        <v>38</v>
      </c>
      <c r="B26">
        <v>16499835</v>
      </c>
      <c r="C26">
        <v>16499993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629</v>
      </c>
      <c r="J26" t="s">
        <v>224</v>
      </c>
      <c r="K26" t="s">
        <v>630</v>
      </c>
      <c r="L26">
        <v>1191</v>
      </c>
      <c r="N26">
        <v>1013</v>
      </c>
      <c r="O26" t="s">
        <v>628</v>
      </c>
      <c r="P26" t="s">
        <v>628</v>
      </c>
      <c r="Q26">
        <v>1</v>
      </c>
      <c r="W26">
        <v>0</v>
      </c>
      <c r="X26">
        <v>-1417349443</v>
      </c>
      <c r="Y26">
        <v>7.74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224</v>
      </c>
      <c r="AT26">
        <v>7.74</v>
      </c>
      <c r="AU26" t="s">
        <v>224</v>
      </c>
      <c r="AV26">
        <v>2</v>
      </c>
      <c r="AW26">
        <v>2</v>
      </c>
      <c r="AX26">
        <v>16499995</v>
      </c>
      <c r="AY26">
        <v>1</v>
      </c>
      <c r="AZ26">
        <v>0</v>
      </c>
      <c r="BA26">
        <v>36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0.59211000000000003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ROW(Source!A38)</f>
        <v>38</v>
      </c>
      <c r="B27">
        <v>16499835</v>
      </c>
      <c r="C27">
        <v>16499993</v>
      </c>
      <c r="D27">
        <v>15247974</v>
      </c>
      <c r="E27">
        <v>1</v>
      </c>
      <c r="F27">
        <v>1</v>
      </c>
      <c r="G27">
        <v>1</v>
      </c>
      <c r="H27">
        <v>2</v>
      </c>
      <c r="I27" t="s">
        <v>640</v>
      </c>
      <c r="J27" t="s">
        <v>641</v>
      </c>
      <c r="K27" t="s">
        <v>642</v>
      </c>
      <c r="L27">
        <v>1368</v>
      </c>
      <c r="N27">
        <v>1011</v>
      </c>
      <c r="O27" t="s">
        <v>634</v>
      </c>
      <c r="P27" t="s">
        <v>634</v>
      </c>
      <c r="Q27">
        <v>1</v>
      </c>
      <c r="W27">
        <v>0</v>
      </c>
      <c r="X27">
        <v>1188625873</v>
      </c>
      <c r="Y27">
        <v>7.74</v>
      </c>
      <c r="AA27">
        <v>0</v>
      </c>
      <c r="AB27">
        <v>31.26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224</v>
      </c>
      <c r="AT27">
        <v>7.74</v>
      </c>
      <c r="AU27" t="s">
        <v>224</v>
      </c>
      <c r="AV27">
        <v>0</v>
      </c>
      <c r="AW27">
        <v>2</v>
      </c>
      <c r="AX27">
        <v>16499996</v>
      </c>
      <c r="AY27">
        <v>1</v>
      </c>
      <c r="AZ27">
        <v>0</v>
      </c>
      <c r="BA27">
        <v>37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0.59211000000000003</v>
      </c>
      <c r="CY27">
        <f>AB27</f>
        <v>31.26</v>
      </c>
      <c r="CZ27">
        <f>AF27</f>
        <v>31.26</v>
      </c>
      <c r="DA27">
        <f>AJ27</f>
        <v>1</v>
      </c>
      <c r="DB27">
        <v>0</v>
      </c>
    </row>
    <row r="28" spans="1:106" x14ac:dyDescent="0.2">
      <c r="A28">
        <f>ROW(Source!A39)</f>
        <v>39</v>
      </c>
      <c r="B28">
        <v>16499878</v>
      </c>
      <c r="C28">
        <v>16499993</v>
      </c>
      <c r="D28">
        <v>15433667</v>
      </c>
      <c r="E28">
        <v>1</v>
      </c>
      <c r="F28">
        <v>1</v>
      </c>
      <c r="G28">
        <v>1</v>
      </c>
      <c r="H28">
        <v>1</v>
      </c>
      <c r="I28" t="s">
        <v>649</v>
      </c>
      <c r="J28" t="s">
        <v>224</v>
      </c>
      <c r="K28" t="s">
        <v>650</v>
      </c>
      <c r="L28">
        <v>1191</v>
      </c>
      <c r="N28">
        <v>1013</v>
      </c>
      <c r="O28" t="s">
        <v>628</v>
      </c>
      <c r="P28" t="s">
        <v>628</v>
      </c>
      <c r="Q28">
        <v>1</v>
      </c>
      <c r="W28">
        <v>0</v>
      </c>
      <c r="X28">
        <v>371339561</v>
      </c>
      <c r="Y28">
        <v>103.91</v>
      </c>
      <c r="AA28">
        <v>0</v>
      </c>
      <c r="AB28">
        <v>0</v>
      </c>
      <c r="AC28">
        <v>0</v>
      </c>
      <c r="AD28">
        <v>49.19</v>
      </c>
      <c r="AE28">
        <v>0</v>
      </c>
      <c r="AF28">
        <v>0</v>
      </c>
      <c r="AG28">
        <v>0</v>
      </c>
      <c r="AH28">
        <v>8.09</v>
      </c>
      <c r="AI28">
        <v>1</v>
      </c>
      <c r="AJ28">
        <v>1</v>
      </c>
      <c r="AK28">
        <v>1</v>
      </c>
      <c r="AL28">
        <v>6.08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224</v>
      </c>
      <c r="AT28">
        <v>103.91</v>
      </c>
      <c r="AU28" t="s">
        <v>224</v>
      </c>
      <c r="AV28">
        <v>1</v>
      </c>
      <c r="AW28">
        <v>2</v>
      </c>
      <c r="AX28">
        <v>16499994</v>
      </c>
      <c r="AY28">
        <v>1</v>
      </c>
      <c r="AZ28">
        <v>0</v>
      </c>
      <c r="BA28">
        <v>38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Y28*Source!I39</f>
        <v>7.9491149999999999</v>
      </c>
      <c r="CY28">
        <f>AD28</f>
        <v>49.19</v>
      </c>
      <c r="CZ28">
        <f>AH28</f>
        <v>8.09</v>
      </c>
      <c r="DA28">
        <f>AL28</f>
        <v>6.08</v>
      </c>
      <c r="DB28">
        <v>0</v>
      </c>
    </row>
    <row r="29" spans="1:106" x14ac:dyDescent="0.2">
      <c r="A29">
        <f>ROW(Source!A39)</f>
        <v>39</v>
      </c>
      <c r="B29">
        <v>16499878</v>
      </c>
      <c r="C29">
        <v>16499993</v>
      </c>
      <c r="D29">
        <v>15430395</v>
      </c>
      <c r="E29">
        <v>1</v>
      </c>
      <c r="F29">
        <v>1</v>
      </c>
      <c r="G29">
        <v>1</v>
      </c>
      <c r="H29">
        <v>1</v>
      </c>
      <c r="I29" t="s">
        <v>629</v>
      </c>
      <c r="J29" t="s">
        <v>224</v>
      </c>
      <c r="K29" t="s">
        <v>630</v>
      </c>
      <c r="L29">
        <v>1191</v>
      </c>
      <c r="N29">
        <v>1013</v>
      </c>
      <c r="O29" t="s">
        <v>628</v>
      </c>
      <c r="P29" t="s">
        <v>628</v>
      </c>
      <c r="Q29">
        <v>1</v>
      </c>
      <c r="W29">
        <v>0</v>
      </c>
      <c r="X29">
        <v>-1417349443</v>
      </c>
      <c r="Y29">
        <v>7.74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6.08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224</v>
      </c>
      <c r="AT29">
        <v>7.74</v>
      </c>
      <c r="AU29" t="s">
        <v>224</v>
      </c>
      <c r="AV29">
        <v>2</v>
      </c>
      <c r="AW29">
        <v>2</v>
      </c>
      <c r="AX29">
        <v>16499995</v>
      </c>
      <c r="AY29">
        <v>1</v>
      </c>
      <c r="AZ29">
        <v>0</v>
      </c>
      <c r="BA29">
        <v>39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Y29*Source!I39</f>
        <v>0.59211000000000003</v>
      </c>
      <c r="CY29">
        <f>AD29</f>
        <v>0</v>
      </c>
      <c r="CZ29">
        <f>AH29</f>
        <v>0</v>
      </c>
      <c r="DA29">
        <f>AL29</f>
        <v>1</v>
      </c>
      <c r="DB29">
        <v>0</v>
      </c>
    </row>
    <row r="30" spans="1:106" x14ac:dyDescent="0.2">
      <c r="A30">
        <f>ROW(Source!A39)</f>
        <v>39</v>
      </c>
      <c r="B30">
        <v>16499878</v>
      </c>
      <c r="C30">
        <v>16499993</v>
      </c>
      <c r="D30">
        <v>15247974</v>
      </c>
      <c r="E30">
        <v>1</v>
      </c>
      <c r="F30">
        <v>1</v>
      </c>
      <c r="G30">
        <v>1</v>
      </c>
      <c r="H30">
        <v>2</v>
      </c>
      <c r="I30" t="s">
        <v>640</v>
      </c>
      <c r="J30" t="s">
        <v>641</v>
      </c>
      <c r="K30" t="s">
        <v>642</v>
      </c>
      <c r="L30">
        <v>1368</v>
      </c>
      <c r="N30">
        <v>1011</v>
      </c>
      <c r="O30" t="s">
        <v>634</v>
      </c>
      <c r="P30" t="s">
        <v>634</v>
      </c>
      <c r="Q30">
        <v>1</v>
      </c>
      <c r="W30">
        <v>0</v>
      </c>
      <c r="X30">
        <v>1188625873</v>
      </c>
      <c r="Y30">
        <v>7.74</v>
      </c>
      <c r="AA30">
        <v>0</v>
      </c>
      <c r="AB30">
        <v>190.06</v>
      </c>
      <c r="AC30">
        <v>13.5</v>
      </c>
      <c r="AD30">
        <v>0</v>
      </c>
      <c r="AE30">
        <v>0</v>
      </c>
      <c r="AF30">
        <v>31.26</v>
      </c>
      <c r="AG30">
        <v>13.5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224</v>
      </c>
      <c r="AT30">
        <v>7.74</v>
      </c>
      <c r="AU30" t="s">
        <v>224</v>
      </c>
      <c r="AV30">
        <v>0</v>
      </c>
      <c r="AW30">
        <v>2</v>
      </c>
      <c r="AX30">
        <v>16499996</v>
      </c>
      <c r="AY30">
        <v>1</v>
      </c>
      <c r="AZ30">
        <v>0</v>
      </c>
      <c r="BA30">
        <v>40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Y30*Source!I39</f>
        <v>0.59211000000000003</v>
      </c>
      <c r="CY30">
        <f>AB30</f>
        <v>190.06</v>
      </c>
      <c r="CZ30">
        <f>AF30</f>
        <v>31.26</v>
      </c>
      <c r="DA30">
        <f>AJ30</f>
        <v>6.08</v>
      </c>
      <c r="DB30">
        <v>0</v>
      </c>
    </row>
    <row r="31" spans="1:106" x14ac:dyDescent="0.2">
      <c r="A31">
        <f>ROW(Source!A40)</f>
        <v>40</v>
      </c>
      <c r="B31">
        <v>16499835</v>
      </c>
      <c r="C31">
        <v>16499997</v>
      </c>
      <c r="D31">
        <v>15446300</v>
      </c>
      <c r="E31">
        <v>1</v>
      </c>
      <c r="F31">
        <v>1</v>
      </c>
      <c r="G31">
        <v>1</v>
      </c>
      <c r="H31">
        <v>1</v>
      </c>
      <c r="I31" t="s">
        <v>651</v>
      </c>
      <c r="J31" t="s">
        <v>224</v>
      </c>
      <c r="K31" t="s">
        <v>652</v>
      </c>
      <c r="L31">
        <v>1191</v>
      </c>
      <c r="N31">
        <v>1013</v>
      </c>
      <c r="O31" t="s">
        <v>628</v>
      </c>
      <c r="P31" t="s">
        <v>628</v>
      </c>
      <c r="Q31">
        <v>1</v>
      </c>
      <c r="W31">
        <v>0</v>
      </c>
      <c r="X31">
        <v>912892513</v>
      </c>
      <c r="Y31">
        <v>1.68</v>
      </c>
      <c r="AA31">
        <v>0</v>
      </c>
      <c r="AB31">
        <v>0</v>
      </c>
      <c r="AC31">
        <v>0</v>
      </c>
      <c r="AD31">
        <v>9.92</v>
      </c>
      <c r="AE31">
        <v>0</v>
      </c>
      <c r="AF31">
        <v>0</v>
      </c>
      <c r="AG31">
        <v>0</v>
      </c>
      <c r="AH31">
        <v>9.92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224</v>
      </c>
      <c r="AT31">
        <v>2.4</v>
      </c>
      <c r="AU31" t="s">
        <v>281</v>
      </c>
      <c r="AV31">
        <v>1</v>
      </c>
      <c r="AW31">
        <v>2</v>
      </c>
      <c r="AX31">
        <v>16499998</v>
      </c>
      <c r="AY31">
        <v>1</v>
      </c>
      <c r="AZ31">
        <v>0</v>
      </c>
      <c r="BA31">
        <v>41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Y31*Source!I40</f>
        <v>4.4687999999999999</v>
      </c>
      <c r="CY31">
        <f>AD31</f>
        <v>9.92</v>
      </c>
      <c r="CZ31">
        <f>AH31</f>
        <v>9.92</v>
      </c>
      <c r="DA31">
        <f>AL31</f>
        <v>1</v>
      </c>
      <c r="DB31">
        <v>0</v>
      </c>
    </row>
    <row r="32" spans="1:106" x14ac:dyDescent="0.2">
      <c r="A32">
        <f>ROW(Source!A40)</f>
        <v>40</v>
      </c>
      <c r="B32">
        <v>16499835</v>
      </c>
      <c r="C32">
        <v>16499997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629</v>
      </c>
      <c r="J32" t="s">
        <v>224</v>
      </c>
      <c r="K32" t="s">
        <v>630</v>
      </c>
      <c r="L32">
        <v>1191</v>
      </c>
      <c r="N32">
        <v>1013</v>
      </c>
      <c r="O32" t="s">
        <v>628</v>
      </c>
      <c r="P32" t="s">
        <v>628</v>
      </c>
      <c r="Q32">
        <v>1</v>
      </c>
      <c r="W32">
        <v>0</v>
      </c>
      <c r="X32">
        <v>-1417349443</v>
      </c>
      <c r="Y32">
        <v>0.17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224</v>
      </c>
      <c r="AT32">
        <v>0.17</v>
      </c>
      <c r="AU32" t="s">
        <v>224</v>
      </c>
      <c r="AV32">
        <v>2</v>
      </c>
      <c r="AW32">
        <v>2</v>
      </c>
      <c r="AX32">
        <v>16499999</v>
      </c>
      <c r="AY32">
        <v>1</v>
      </c>
      <c r="AZ32">
        <v>2048</v>
      </c>
      <c r="BA32">
        <v>42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Y32*Source!I40</f>
        <v>0.45220000000000005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ROW(Source!A40)</f>
        <v>40</v>
      </c>
      <c r="B33">
        <v>16499835</v>
      </c>
      <c r="C33">
        <v>16499997</v>
      </c>
      <c r="D33">
        <v>15249073</v>
      </c>
      <c r="E33">
        <v>1</v>
      </c>
      <c r="F33">
        <v>1</v>
      </c>
      <c r="G33">
        <v>1</v>
      </c>
      <c r="H33">
        <v>2</v>
      </c>
      <c r="I33" t="s">
        <v>631</v>
      </c>
      <c r="J33" t="s">
        <v>632</v>
      </c>
      <c r="K33" t="s">
        <v>633</v>
      </c>
      <c r="L33">
        <v>1368</v>
      </c>
      <c r="N33">
        <v>1011</v>
      </c>
      <c r="O33" t="s">
        <v>634</v>
      </c>
      <c r="P33" t="s">
        <v>634</v>
      </c>
      <c r="Q33">
        <v>1</v>
      </c>
      <c r="W33">
        <v>0</v>
      </c>
      <c r="X33">
        <v>1372534845</v>
      </c>
      <c r="Y33">
        <v>0.11899999999999999</v>
      </c>
      <c r="AA33">
        <v>0</v>
      </c>
      <c r="AB33">
        <v>65.709999999999994</v>
      </c>
      <c r="AC33">
        <v>11.6</v>
      </c>
      <c r="AD33">
        <v>0</v>
      </c>
      <c r="AE33">
        <v>0</v>
      </c>
      <c r="AF33">
        <v>65.709999999999994</v>
      </c>
      <c r="AG33">
        <v>11.6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224</v>
      </c>
      <c r="AT33">
        <v>0.17</v>
      </c>
      <c r="AU33" t="s">
        <v>281</v>
      </c>
      <c r="AV33">
        <v>0</v>
      </c>
      <c r="AW33">
        <v>2</v>
      </c>
      <c r="AX33">
        <v>16500000</v>
      </c>
      <c r="AY33">
        <v>1</v>
      </c>
      <c r="AZ33">
        <v>0</v>
      </c>
      <c r="BA33">
        <v>43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Y33*Source!I40</f>
        <v>0.31653999999999999</v>
      </c>
      <c r="CY33">
        <f>AB33</f>
        <v>65.709999999999994</v>
      </c>
      <c r="CZ33">
        <f>AF33</f>
        <v>65.709999999999994</v>
      </c>
      <c r="DA33">
        <f>AJ33</f>
        <v>1</v>
      </c>
      <c r="DB33">
        <v>0</v>
      </c>
    </row>
    <row r="34" spans="1:106" x14ac:dyDescent="0.2">
      <c r="A34">
        <f>ROW(Source!A40)</f>
        <v>40</v>
      </c>
      <c r="B34">
        <v>16499835</v>
      </c>
      <c r="C34">
        <v>16499997</v>
      </c>
      <c r="D34">
        <v>15249377</v>
      </c>
      <c r="E34">
        <v>1</v>
      </c>
      <c r="F34">
        <v>1</v>
      </c>
      <c r="G34">
        <v>1</v>
      </c>
      <c r="H34">
        <v>2</v>
      </c>
      <c r="I34" t="s">
        <v>653</v>
      </c>
      <c r="J34" t="s">
        <v>654</v>
      </c>
      <c r="K34" t="s">
        <v>655</v>
      </c>
      <c r="L34">
        <v>1368</v>
      </c>
      <c r="N34">
        <v>1011</v>
      </c>
      <c r="O34" t="s">
        <v>634</v>
      </c>
      <c r="P34" t="s">
        <v>634</v>
      </c>
      <c r="Q34">
        <v>1</v>
      </c>
      <c r="W34">
        <v>0</v>
      </c>
      <c r="X34">
        <v>-353815937</v>
      </c>
      <c r="Y34">
        <v>0.27999999999999997</v>
      </c>
      <c r="AA34">
        <v>0</v>
      </c>
      <c r="AB34">
        <v>8.1</v>
      </c>
      <c r="AC34">
        <v>0</v>
      </c>
      <c r="AD34">
        <v>0</v>
      </c>
      <c r="AE34">
        <v>0</v>
      </c>
      <c r="AF34">
        <v>8.1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224</v>
      </c>
      <c r="AT34">
        <v>0.4</v>
      </c>
      <c r="AU34" t="s">
        <v>281</v>
      </c>
      <c r="AV34">
        <v>0</v>
      </c>
      <c r="AW34">
        <v>2</v>
      </c>
      <c r="AX34">
        <v>16500001</v>
      </c>
      <c r="AY34">
        <v>1</v>
      </c>
      <c r="AZ34">
        <v>0</v>
      </c>
      <c r="BA34">
        <v>44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Y34*Source!I40</f>
        <v>0.74480000000000002</v>
      </c>
      <c r="CY34">
        <f>AB34</f>
        <v>8.1</v>
      </c>
      <c r="CZ34">
        <f>AF34</f>
        <v>8.1</v>
      </c>
      <c r="DA34">
        <f>AJ34</f>
        <v>1</v>
      </c>
      <c r="DB34">
        <v>0</v>
      </c>
    </row>
    <row r="35" spans="1:106" x14ac:dyDescent="0.2">
      <c r="A35">
        <f>ROW(Source!A40)</f>
        <v>40</v>
      </c>
      <c r="B35">
        <v>16499835</v>
      </c>
      <c r="C35">
        <v>16499997</v>
      </c>
      <c r="D35">
        <v>15168750</v>
      </c>
      <c r="E35">
        <v>1</v>
      </c>
      <c r="F35">
        <v>1</v>
      </c>
      <c r="G35">
        <v>1</v>
      </c>
      <c r="H35">
        <v>3</v>
      </c>
      <c r="I35" t="s">
        <v>656</v>
      </c>
      <c r="J35" t="s">
        <v>657</v>
      </c>
      <c r="K35" t="s">
        <v>658</v>
      </c>
      <c r="L35">
        <v>1348</v>
      </c>
      <c r="N35">
        <v>1009</v>
      </c>
      <c r="O35" t="s">
        <v>288</v>
      </c>
      <c r="P35" t="s">
        <v>288</v>
      </c>
      <c r="Q35">
        <v>1000</v>
      </c>
      <c r="W35">
        <v>0</v>
      </c>
      <c r="X35">
        <v>-714836380</v>
      </c>
      <c r="Y35">
        <v>0</v>
      </c>
      <c r="AA35">
        <v>10315.01</v>
      </c>
      <c r="AB35">
        <v>0</v>
      </c>
      <c r="AC35">
        <v>0</v>
      </c>
      <c r="AD35">
        <v>0</v>
      </c>
      <c r="AE35">
        <v>10315.01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224</v>
      </c>
      <c r="AT35">
        <v>1E-4</v>
      </c>
      <c r="AU35" t="s">
        <v>280</v>
      </c>
      <c r="AV35">
        <v>0</v>
      </c>
      <c r="AW35">
        <v>2</v>
      </c>
      <c r="AX35">
        <v>16500003</v>
      </c>
      <c r="AY35">
        <v>1</v>
      </c>
      <c r="AZ35">
        <v>0</v>
      </c>
      <c r="BA35">
        <v>46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Y35*Source!I40</f>
        <v>0</v>
      </c>
      <c r="CY35">
        <f>AA35</f>
        <v>10315.01</v>
      </c>
      <c r="CZ35">
        <f>AE35</f>
        <v>10315.01</v>
      </c>
      <c r="DA35">
        <f>AI35</f>
        <v>1</v>
      </c>
      <c r="DB35">
        <v>0</v>
      </c>
    </row>
    <row r="36" spans="1:106" x14ac:dyDescent="0.2">
      <c r="A36">
        <f>ROW(Source!A40)</f>
        <v>40</v>
      </c>
      <c r="B36">
        <v>16499835</v>
      </c>
      <c r="C36">
        <v>16499997</v>
      </c>
      <c r="D36">
        <v>15192019</v>
      </c>
      <c r="E36">
        <v>1</v>
      </c>
      <c r="F36">
        <v>1</v>
      </c>
      <c r="G36">
        <v>1</v>
      </c>
      <c r="H36">
        <v>3</v>
      </c>
      <c r="I36" t="s">
        <v>659</v>
      </c>
      <c r="J36" t="s">
        <v>660</v>
      </c>
      <c r="K36" t="s">
        <v>661</v>
      </c>
      <c r="L36">
        <v>1348</v>
      </c>
      <c r="N36">
        <v>1009</v>
      </c>
      <c r="O36" t="s">
        <v>288</v>
      </c>
      <c r="P36" t="s">
        <v>288</v>
      </c>
      <c r="Q36">
        <v>1000</v>
      </c>
      <c r="W36">
        <v>0</v>
      </c>
      <c r="X36">
        <v>-751617735</v>
      </c>
      <c r="Y36">
        <v>0</v>
      </c>
      <c r="AA36">
        <v>5804</v>
      </c>
      <c r="AB36">
        <v>0</v>
      </c>
      <c r="AC36">
        <v>0</v>
      </c>
      <c r="AD36">
        <v>0</v>
      </c>
      <c r="AE36">
        <v>5804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224</v>
      </c>
      <c r="AT36">
        <v>3.0000000000000001E-3</v>
      </c>
      <c r="AU36" t="s">
        <v>280</v>
      </c>
      <c r="AV36">
        <v>0</v>
      </c>
      <c r="AW36">
        <v>2</v>
      </c>
      <c r="AX36">
        <v>16500005</v>
      </c>
      <c r="AY36">
        <v>1</v>
      </c>
      <c r="AZ36">
        <v>0</v>
      </c>
      <c r="BA36">
        <v>48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Y36*Source!I40</f>
        <v>0</v>
      </c>
      <c r="CY36">
        <f>AA36</f>
        <v>5804</v>
      </c>
      <c r="CZ36">
        <f>AE36</f>
        <v>5804</v>
      </c>
      <c r="DA36">
        <f>AI36</f>
        <v>1</v>
      </c>
      <c r="DB36">
        <v>0</v>
      </c>
    </row>
    <row r="37" spans="1:106" x14ac:dyDescent="0.2">
      <c r="A37">
        <f>ROW(Source!A40)</f>
        <v>40</v>
      </c>
      <c r="B37">
        <v>16499835</v>
      </c>
      <c r="C37">
        <v>16499997</v>
      </c>
      <c r="D37">
        <v>15204330</v>
      </c>
      <c r="E37">
        <v>1</v>
      </c>
      <c r="F37">
        <v>1</v>
      </c>
      <c r="G37">
        <v>1</v>
      </c>
      <c r="H37">
        <v>3</v>
      </c>
      <c r="I37" t="s">
        <v>662</v>
      </c>
      <c r="J37" t="s">
        <v>663</v>
      </c>
      <c r="K37" t="s">
        <v>664</v>
      </c>
      <c r="L37">
        <v>1354</v>
      </c>
      <c r="N37">
        <v>1010</v>
      </c>
      <c r="O37" t="s">
        <v>413</v>
      </c>
      <c r="P37" t="s">
        <v>413</v>
      </c>
      <c r="Q37">
        <v>1</v>
      </c>
      <c r="W37">
        <v>0</v>
      </c>
      <c r="X37">
        <v>-1075270488</v>
      </c>
      <c r="Y37">
        <v>0</v>
      </c>
      <c r="AA37">
        <v>72.8</v>
      </c>
      <c r="AB37">
        <v>0</v>
      </c>
      <c r="AC37">
        <v>0</v>
      </c>
      <c r="AD37">
        <v>0</v>
      </c>
      <c r="AE37">
        <v>72.8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224</v>
      </c>
      <c r="AT37">
        <v>0.1</v>
      </c>
      <c r="AU37" t="s">
        <v>280</v>
      </c>
      <c r="AV37">
        <v>0</v>
      </c>
      <c r="AW37">
        <v>2</v>
      </c>
      <c r="AX37">
        <v>16500006</v>
      </c>
      <c r="AY37">
        <v>1</v>
      </c>
      <c r="AZ37">
        <v>0</v>
      </c>
      <c r="BA37">
        <v>49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Y37*Source!I40</f>
        <v>0</v>
      </c>
      <c r="CY37">
        <f>AA37</f>
        <v>72.8</v>
      </c>
      <c r="CZ37">
        <f>AE37</f>
        <v>72.8</v>
      </c>
      <c r="DA37">
        <f>AI37</f>
        <v>1</v>
      </c>
      <c r="DB37">
        <v>0</v>
      </c>
    </row>
    <row r="38" spans="1:106" x14ac:dyDescent="0.2">
      <c r="A38">
        <f>ROW(Source!A41)</f>
        <v>41</v>
      </c>
      <c r="B38">
        <v>16499878</v>
      </c>
      <c r="C38">
        <v>16499997</v>
      </c>
      <c r="D38">
        <v>15446300</v>
      </c>
      <c r="E38">
        <v>1</v>
      </c>
      <c r="F38">
        <v>1</v>
      </c>
      <c r="G38">
        <v>1</v>
      </c>
      <c r="H38">
        <v>1</v>
      </c>
      <c r="I38" t="s">
        <v>651</v>
      </c>
      <c r="J38" t="s">
        <v>224</v>
      </c>
      <c r="K38" t="s">
        <v>652</v>
      </c>
      <c r="L38">
        <v>1191</v>
      </c>
      <c r="N38">
        <v>1013</v>
      </c>
      <c r="O38" t="s">
        <v>628</v>
      </c>
      <c r="P38" t="s">
        <v>628</v>
      </c>
      <c r="Q38">
        <v>1</v>
      </c>
      <c r="W38">
        <v>0</v>
      </c>
      <c r="X38">
        <v>912892513</v>
      </c>
      <c r="Y38">
        <v>1.68</v>
      </c>
      <c r="AA38">
        <v>0</v>
      </c>
      <c r="AB38">
        <v>0</v>
      </c>
      <c r="AC38">
        <v>0</v>
      </c>
      <c r="AD38">
        <v>60.31</v>
      </c>
      <c r="AE38">
        <v>0</v>
      </c>
      <c r="AF38">
        <v>0</v>
      </c>
      <c r="AG38">
        <v>0</v>
      </c>
      <c r="AH38">
        <v>9.92</v>
      </c>
      <c r="AI38">
        <v>1</v>
      </c>
      <c r="AJ38">
        <v>1</v>
      </c>
      <c r="AK38">
        <v>1</v>
      </c>
      <c r="AL38">
        <v>6.08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224</v>
      </c>
      <c r="AT38">
        <v>2.4</v>
      </c>
      <c r="AU38" t="s">
        <v>281</v>
      </c>
      <c r="AV38">
        <v>1</v>
      </c>
      <c r="AW38">
        <v>2</v>
      </c>
      <c r="AX38">
        <v>16499998</v>
      </c>
      <c r="AY38">
        <v>1</v>
      </c>
      <c r="AZ38">
        <v>0</v>
      </c>
      <c r="BA38">
        <v>50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Y38*Source!I41</f>
        <v>4.4687999999999999</v>
      </c>
      <c r="CY38">
        <f>AD38</f>
        <v>60.31</v>
      </c>
      <c r="CZ38">
        <f>AH38</f>
        <v>9.92</v>
      </c>
      <c r="DA38">
        <f>AL38</f>
        <v>6.08</v>
      </c>
      <c r="DB38">
        <v>0</v>
      </c>
    </row>
    <row r="39" spans="1:106" x14ac:dyDescent="0.2">
      <c r="A39">
        <f>ROW(Source!A41)</f>
        <v>41</v>
      </c>
      <c r="B39">
        <v>16499878</v>
      </c>
      <c r="C39">
        <v>16499997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629</v>
      </c>
      <c r="J39" t="s">
        <v>224</v>
      </c>
      <c r="K39" t="s">
        <v>630</v>
      </c>
      <c r="L39">
        <v>1191</v>
      </c>
      <c r="N39">
        <v>1013</v>
      </c>
      <c r="O39" t="s">
        <v>628</v>
      </c>
      <c r="P39" t="s">
        <v>628</v>
      </c>
      <c r="Q39">
        <v>1</v>
      </c>
      <c r="W39">
        <v>0</v>
      </c>
      <c r="X39">
        <v>-1417349443</v>
      </c>
      <c r="Y39">
        <v>0.17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6.08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224</v>
      </c>
      <c r="AT39">
        <v>0.17</v>
      </c>
      <c r="AU39" t="s">
        <v>224</v>
      </c>
      <c r="AV39">
        <v>2</v>
      </c>
      <c r="AW39">
        <v>2</v>
      </c>
      <c r="AX39">
        <v>16499999</v>
      </c>
      <c r="AY39">
        <v>1</v>
      </c>
      <c r="AZ39">
        <v>2048</v>
      </c>
      <c r="BA39">
        <v>51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Y39*Source!I41</f>
        <v>0.45220000000000005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ROW(Source!A41)</f>
        <v>41</v>
      </c>
      <c r="B40">
        <v>16499878</v>
      </c>
      <c r="C40">
        <v>16499997</v>
      </c>
      <c r="D40">
        <v>15249073</v>
      </c>
      <c r="E40">
        <v>1</v>
      </c>
      <c r="F40">
        <v>1</v>
      </c>
      <c r="G40">
        <v>1</v>
      </c>
      <c r="H40">
        <v>2</v>
      </c>
      <c r="I40" t="s">
        <v>631</v>
      </c>
      <c r="J40" t="s">
        <v>632</v>
      </c>
      <c r="K40" t="s">
        <v>633</v>
      </c>
      <c r="L40">
        <v>1368</v>
      </c>
      <c r="N40">
        <v>1011</v>
      </c>
      <c r="O40" t="s">
        <v>634</v>
      </c>
      <c r="P40" t="s">
        <v>634</v>
      </c>
      <c r="Q40">
        <v>1</v>
      </c>
      <c r="W40">
        <v>0</v>
      </c>
      <c r="X40">
        <v>1372534845</v>
      </c>
      <c r="Y40">
        <v>0.11899999999999999</v>
      </c>
      <c r="AA40">
        <v>0</v>
      </c>
      <c r="AB40">
        <v>399.52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6.08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224</v>
      </c>
      <c r="AT40">
        <v>0.17</v>
      </c>
      <c r="AU40" t="s">
        <v>281</v>
      </c>
      <c r="AV40">
        <v>0</v>
      </c>
      <c r="AW40">
        <v>2</v>
      </c>
      <c r="AX40">
        <v>16500000</v>
      </c>
      <c r="AY40">
        <v>1</v>
      </c>
      <c r="AZ40">
        <v>0</v>
      </c>
      <c r="BA40">
        <v>52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Y40*Source!I41</f>
        <v>0.31653999999999999</v>
      </c>
      <c r="CY40">
        <f>AB40</f>
        <v>399.52</v>
      </c>
      <c r="CZ40">
        <f>AF40</f>
        <v>65.709999999999994</v>
      </c>
      <c r="DA40">
        <f>AJ40</f>
        <v>6.08</v>
      </c>
      <c r="DB40">
        <v>0</v>
      </c>
    </row>
    <row r="41" spans="1:106" x14ac:dyDescent="0.2">
      <c r="A41">
        <f>ROW(Source!A41)</f>
        <v>41</v>
      </c>
      <c r="B41">
        <v>16499878</v>
      </c>
      <c r="C41">
        <v>16499997</v>
      </c>
      <c r="D41">
        <v>15249377</v>
      </c>
      <c r="E41">
        <v>1</v>
      </c>
      <c r="F41">
        <v>1</v>
      </c>
      <c r="G41">
        <v>1</v>
      </c>
      <c r="H41">
        <v>2</v>
      </c>
      <c r="I41" t="s">
        <v>653</v>
      </c>
      <c r="J41" t="s">
        <v>654</v>
      </c>
      <c r="K41" t="s">
        <v>655</v>
      </c>
      <c r="L41">
        <v>1368</v>
      </c>
      <c r="N41">
        <v>1011</v>
      </c>
      <c r="O41" t="s">
        <v>634</v>
      </c>
      <c r="P41" t="s">
        <v>634</v>
      </c>
      <c r="Q41">
        <v>1</v>
      </c>
      <c r="W41">
        <v>0</v>
      </c>
      <c r="X41">
        <v>-353815937</v>
      </c>
      <c r="Y41">
        <v>0.27999999999999997</v>
      </c>
      <c r="AA41">
        <v>0</v>
      </c>
      <c r="AB41">
        <v>49.25</v>
      </c>
      <c r="AC41">
        <v>0</v>
      </c>
      <c r="AD41">
        <v>0</v>
      </c>
      <c r="AE41">
        <v>0</v>
      </c>
      <c r="AF41">
        <v>8.1</v>
      </c>
      <c r="AG41">
        <v>0</v>
      </c>
      <c r="AH41">
        <v>0</v>
      </c>
      <c r="AI41">
        <v>1</v>
      </c>
      <c r="AJ41">
        <v>6.08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224</v>
      </c>
      <c r="AT41">
        <v>0.4</v>
      </c>
      <c r="AU41" t="s">
        <v>281</v>
      </c>
      <c r="AV41">
        <v>0</v>
      </c>
      <c r="AW41">
        <v>2</v>
      </c>
      <c r="AX41">
        <v>16500001</v>
      </c>
      <c r="AY41">
        <v>1</v>
      </c>
      <c r="AZ41">
        <v>0</v>
      </c>
      <c r="BA41">
        <v>53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Y41*Source!I41</f>
        <v>0.74480000000000002</v>
      </c>
      <c r="CY41">
        <f>AB41</f>
        <v>49.25</v>
      </c>
      <c r="CZ41">
        <f>AF41</f>
        <v>8.1</v>
      </c>
      <c r="DA41">
        <f>AJ41</f>
        <v>6.08</v>
      </c>
      <c r="DB41">
        <v>0</v>
      </c>
    </row>
    <row r="42" spans="1:106" x14ac:dyDescent="0.2">
      <c r="A42">
        <f>ROW(Source!A41)</f>
        <v>41</v>
      </c>
      <c r="B42">
        <v>16499878</v>
      </c>
      <c r="C42">
        <v>16499997</v>
      </c>
      <c r="D42">
        <v>15168750</v>
      </c>
      <c r="E42">
        <v>1</v>
      </c>
      <c r="F42">
        <v>1</v>
      </c>
      <c r="G42">
        <v>1</v>
      </c>
      <c r="H42">
        <v>3</v>
      </c>
      <c r="I42" t="s">
        <v>656</v>
      </c>
      <c r="J42" t="s">
        <v>657</v>
      </c>
      <c r="K42" t="s">
        <v>658</v>
      </c>
      <c r="L42">
        <v>1348</v>
      </c>
      <c r="N42">
        <v>1009</v>
      </c>
      <c r="O42" t="s">
        <v>288</v>
      </c>
      <c r="P42" t="s">
        <v>288</v>
      </c>
      <c r="Q42">
        <v>1000</v>
      </c>
      <c r="W42">
        <v>0</v>
      </c>
      <c r="X42">
        <v>-714836380</v>
      </c>
      <c r="Y42">
        <v>0</v>
      </c>
      <c r="AA42">
        <v>62715.26</v>
      </c>
      <c r="AB42">
        <v>0</v>
      </c>
      <c r="AC42">
        <v>0</v>
      </c>
      <c r="AD42">
        <v>0</v>
      </c>
      <c r="AE42">
        <v>10315.01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224</v>
      </c>
      <c r="AT42">
        <v>1E-4</v>
      </c>
      <c r="AU42" t="s">
        <v>280</v>
      </c>
      <c r="AV42">
        <v>0</v>
      </c>
      <c r="AW42">
        <v>2</v>
      </c>
      <c r="AX42">
        <v>16500003</v>
      </c>
      <c r="AY42">
        <v>1</v>
      </c>
      <c r="AZ42">
        <v>0</v>
      </c>
      <c r="BA42">
        <v>55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Y42*Source!I41</f>
        <v>0</v>
      </c>
      <c r="CY42">
        <f>AA42</f>
        <v>62715.26</v>
      </c>
      <c r="CZ42">
        <f>AE42</f>
        <v>10315.01</v>
      </c>
      <c r="DA42">
        <f>AI42</f>
        <v>6.08</v>
      </c>
      <c r="DB42">
        <v>0</v>
      </c>
    </row>
    <row r="43" spans="1:106" x14ac:dyDescent="0.2">
      <c r="A43">
        <f>ROW(Source!A41)</f>
        <v>41</v>
      </c>
      <c r="B43">
        <v>16499878</v>
      </c>
      <c r="C43">
        <v>16499997</v>
      </c>
      <c r="D43">
        <v>15192019</v>
      </c>
      <c r="E43">
        <v>1</v>
      </c>
      <c r="F43">
        <v>1</v>
      </c>
      <c r="G43">
        <v>1</v>
      </c>
      <c r="H43">
        <v>3</v>
      </c>
      <c r="I43" t="s">
        <v>659</v>
      </c>
      <c r="J43" t="s">
        <v>660</v>
      </c>
      <c r="K43" t="s">
        <v>661</v>
      </c>
      <c r="L43">
        <v>1348</v>
      </c>
      <c r="N43">
        <v>1009</v>
      </c>
      <c r="O43" t="s">
        <v>288</v>
      </c>
      <c r="P43" t="s">
        <v>288</v>
      </c>
      <c r="Q43">
        <v>1000</v>
      </c>
      <c r="W43">
        <v>0</v>
      </c>
      <c r="X43">
        <v>-751617735</v>
      </c>
      <c r="Y43">
        <v>0</v>
      </c>
      <c r="AA43">
        <v>35288.32</v>
      </c>
      <c r="AB43">
        <v>0</v>
      </c>
      <c r="AC43">
        <v>0</v>
      </c>
      <c r="AD43">
        <v>0</v>
      </c>
      <c r="AE43">
        <v>5804</v>
      </c>
      <c r="AF43">
        <v>0</v>
      </c>
      <c r="AG43">
        <v>0</v>
      </c>
      <c r="AH43">
        <v>0</v>
      </c>
      <c r="AI43">
        <v>6.08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224</v>
      </c>
      <c r="AT43">
        <v>3.0000000000000001E-3</v>
      </c>
      <c r="AU43" t="s">
        <v>280</v>
      </c>
      <c r="AV43">
        <v>0</v>
      </c>
      <c r="AW43">
        <v>2</v>
      </c>
      <c r="AX43">
        <v>16500005</v>
      </c>
      <c r="AY43">
        <v>1</v>
      </c>
      <c r="AZ43">
        <v>0</v>
      </c>
      <c r="BA43">
        <v>57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Y43*Source!I41</f>
        <v>0</v>
      </c>
      <c r="CY43">
        <f>AA43</f>
        <v>35288.32</v>
      </c>
      <c r="CZ43">
        <f>AE43</f>
        <v>5804</v>
      </c>
      <c r="DA43">
        <f>AI43</f>
        <v>6.08</v>
      </c>
      <c r="DB43">
        <v>0</v>
      </c>
    </row>
    <row r="44" spans="1:106" x14ac:dyDescent="0.2">
      <c r="A44">
        <f>ROW(Source!A41)</f>
        <v>41</v>
      </c>
      <c r="B44">
        <v>16499878</v>
      </c>
      <c r="C44">
        <v>16499997</v>
      </c>
      <c r="D44">
        <v>15204330</v>
      </c>
      <c r="E44">
        <v>1</v>
      </c>
      <c r="F44">
        <v>1</v>
      </c>
      <c r="G44">
        <v>1</v>
      </c>
      <c r="H44">
        <v>3</v>
      </c>
      <c r="I44" t="s">
        <v>662</v>
      </c>
      <c r="J44" t="s">
        <v>663</v>
      </c>
      <c r="K44" t="s">
        <v>664</v>
      </c>
      <c r="L44">
        <v>1354</v>
      </c>
      <c r="N44">
        <v>1010</v>
      </c>
      <c r="O44" t="s">
        <v>413</v>
      </c>
      <c r="P44" t="s">
        <v>413</v>
      </c>
      <c r="Q44">
        <v>1</v>
      </c>
      <c r="W44">
        <v>0</v>
      </c>
      <c r="X44">
        <v>-1075270488</v>
      </c>
      <c r="Y44">
        <v>0</v>
      </c>
      <c r="AA44">
        <v>442.62</v>
      </c>
      <c r="AB44">
        <v>0</v>
      </c>
      <c r="AC44">
        <v>0</v>
      </c>
      <c r="AD44">
        <v>0</v>
      </c>
      <c r="AE44">
        <v>72.8</v>
      </c>
      <c r="AF44">
        <v>0</v>
      </c>
      <c r="AG44">
        <v>0</v>
      </c>
      <c r="AH44">
        <v>0</v>
      </c>
      <c r="AI44">
        <v>6.08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224</v>
      </c>
      <c r="AT44">
        <v>0.1</v>
      </c>
      <c r="AU44" t="s">
        <v>280</v>
      </c>
      <c r="AV44">
        <v>0</v>
      </c>
      <c r="AW44">
        <v>2</v>
      </c>
      <c r="AX44">
        <v>16500006</v>
      </c>
      <c r="AY44">
        <v>1</v>
      </c>
      <c r="AZ44">
        <v>0</v>
      </c>
      <c r="BA44">
        <v>58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Y44*Source!I41</f>
        <v>0</v>
      </c>
      <c r="CY44">
        <f>AA44</f>
        <v>442.62</v>
      </c>
      <c r="CZ44">
        <f>AE44</f>
        <v>72.8</v>
      </c>
      <c r="DA44">
        <f>AI44</f>
        <v>6.08</v>
      </c>
      <c r="DB44">
        <v>0</v>
      </c>
    </row>
    <row r="45" spans="1:106" x14ac:dyDescent="0.2">
      <c r="A45">
        <f>ROW(Source!A42)</f>
        <v>42</v>
      </c>
      <c r="B45">
        <v>16499835</v>
      </c>
      <c r="C45">
        <v>16500009</v>
      </c>
      <c r="D45">
        <v>15441047</v>
      </c>
      <c r="E45">
        <v>1</v>
      </c>
      <c r="F45">
        <v>1</v>
      </c>
      <c r="G45">
        <v>1</v>
      </c>
      <c r="H45">
        <v>1</v>
      </c>
      <c r="I45" t="s">
        <v>665</v>
      </c>
      <c r="J45" t="s">
        <v>224</v>
      </c>
      <c r="K45" t="s">
        <v>666</v>
      </c>
      <c r="L45">
        <v>1191</v>
      </c>
      <c r="N45">
        <v>1013</v>
      </c>
      <c r="O45" t="s">
        <v>628</v>
      </c>
      <c r="P45" t="s">
        <v>628</v>
      </c>
      <c r="Q45">
        <v>1</v>
      </c>
      <c r="W45">
        <v>0</v>
      </c>
      <c r="X45">
        <v>687044855</v>
      </c>
      <c r="Y45">
        <v>32.458999999999996</v>
      </c>
      <c r="AA45">
        <v>0</v>
      </c>
      <c r="AB45">
        <v>0</v>
      </c>
      <c r="AC45">
        <v>0</v>
      </c>
      <c r="AD45">
        <v>10.06</v>
      </c>
      <c r="AE45">
        <v>0</v>
      </c>
      <c r="AF45">
        <v>0</v>
      </c>
      <c r="AG45">
        <v>0</v>
      </c>
      <c r="AH45">
        <v>10.06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224</v>
      </c>
      <c r="AT45">
        <v>46.37</v>
      </c>
      <c r="AU45" t="s">
        <v>281</v>
      </c>
      <c r="AV45">
        <v>1</v>
      </c>
      <c r="AW45">
        <v>2</v>
      </c>
      <c r="AX45">
        <v>16500010</v>
      </c>
      <c r="AY45">
        <v>1</v>
      </c>
      <c r="AZ45">
        <v>0</v>
      </c>
      <c r="BA45">
        <v>59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Y45*Source!I42</f>
        <v>4.8688499999999992</v>
      </c>
      <c r="CY45">
        <f>AD45</f>
        <v>10.06</v>
      </c>
      <c r="CZ45">
        <f>AH45</f>
        <v>10.06</v>
      </c>
      <c r="DA45">
        <f>AL45</f>
        <v>1</v>
      </c>
      <c r="DB45">
        <v>0</v>
      </c>
    </row>
    <row r="46" spans="1:106" x14ac:dyDescent="0.2">
      <c r="A46">
        <f>ROW(Source!A42)</f>
        <v>42</v>
      </c>
      <c r="B46">
        <v>16499835</v>
      </c>
      <c r="C46">
        <v>16500009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629</v>
      </c>
      <c r="J46" t="s">
        <v>224</v>
      </c>
      <c r="K46" t="s">
        <v>630</v>
      </c>
      <c r="L46">
        <v>1191</v>
      </c>
      <c r="N46">
        <v>1013</v>
      </c>
      <c r="O46" t="s">
        <v>628</v>
      </c>
      <c r="P46" t="s">
        <v>628</v>
      </c>
      <c r="Q46">
        <v>1</v>
      </c>
      <c r="W46">
        <v>0</v>
      </c>
      <c r="X46">
        <v>-1417349443</v>
      </c>
      <c r="Y46">
        <v>8.8699999999999992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224</v>
      </c>
      <c r="AT46">
        <v>8.8699999999999992</v>
      </c>
      <c r="AU46" t="s">
        <v>224</v>
      </c>
      <c r="AV46">
        <v>2</v>
      </c>
      <c r="AW46">
        <v>2</v>
      </c>
      <c r="AX46">
        <v>16500011</v>
      </c>
      <c r="AY46">
        <v>1</v>
      </c>
      <c r="AZ46">
        <v>2048</v>
      </c>
      <c r="BA46">
        <v>60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Y46*Source!I42</f>
        <v>1.3304999999999998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ROW(Source!A42)</f>
        <v>42</v>
      </c>
      <c r="B47">
        <v>16499835</v>
      </c>
      <c r="C47">
        <v>16500009</v>
      </c>
      <c r="D47">
        <v>15247600</v>
      </c>
      <c r="E47">
        <v>1</v>
      </c>
      <c r="F47">
        <v>1</v>
      </c>
      <c r="G47">
        <v>1</v>
      </c>
      <c r="H47">
        <v>2</v>
      </c>
      <c r="I47" t="s">
        <v>667</v>
      </c>
      <c r="J47" t="s">
        <v>668</v>
      </c>
      <c r="K47" t="s">
        <v>669</v>
      </c>
      <c r="L47">
        <v>1368</v>
      </c>
      <c r="N47">
        <v>1011</v>
      </c>
      <c r="O47" t="s">
        <v>634</v>
      </c>
      <c r="P47" t="s">
        <v>634</v>
      </c>
      <c r="Q47">
        <v>1</v>
      </c>
      <c r="W47">
        <v>0</v>
      </c>
      <c r="X47">
        <v>641541266</v>
      </c>
      <c r="Y47">
        <v>0.29399999999999998</v>
      </c>
      <c r="AA47">
        <v>0</v>
      </c>
      <c r="AB47">
        <v>120.24</v>
      </c>
      <c r="AC47">
        <v>15.42</v>
      </c>
      <c r="AD47">
        <v>0</v>
      </c>
      <c r="AE47">
        <v>0</v>
      </c>
      <c r="AF47">
        <v>120.24</v>
      </c>
      <c r="AG47">
        <v>15.42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224</v>
      </c>
      <c r="AT47">
        <v>0.42</v>
      </c>
      <c r="AU47" t="s">
        <v>281</v>
      </c>
      <c r="AV47">
        <v>0</v>
      </c>
      <c r="AW47">
        <v>2</v>
      </c>
      <c r="AX47">
        <v>16500012</v>
      </c>
      <c r="AY47">
        <v>1</v>
      </c>
      <c r="AZ47">
        <v>0</v>
      </c>
      <c r="BA47">
        <v>61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Y47*Source!I42</f>
        <v>4.4099999999999993E-2</v>
      </c>
      <c r="CY47">
        <f t="shared" ref="CY47:CY55" si="0">AB47</f>
        <v>120.24</v>
      </c>
      <c r="CZ47">
        <f t="shared" ref="CZ47:CZ55" si="1">AF47</f>
        <v>120.24</v>
      </c>
      <c r="DA47">
        <f t="shared" ref="DA47:DA55" si="2">AJ47</f>
        <v>1</v>
      </c>
      <c r="DB47">
        <v>0</v>
      </c>
    </row>
    <row r="48" spans="1:106" x14ac:dyDescent="0.2">
      <c r="A48">
        <f>ROW(Source!A42)</f>
        <v>42</v>
      </c>
      <c r="B48">
        <v>16499835</v>
      </c>
      <c r="C48">
        <v>16500009</v>
      </c>
      <c r="D48">
        <v>15247680</v>
      </c>
      <c r="E48">
        <v>1</v>
      </c>
      <c r="F48">
        <v>1</v>
      </c>
      <c r="G48">
        <v>1</v>
      </c>
      <c r="H48">
        <v>2</v>
      </c>
      <c r="I48" t="s">
        <v>670</v>
      </c>
      <c r="J48" t="s">
        <v>671</v>
      </c>
      <c r="K48" t="s">
        <v>672</v>
      </c>
      <c r="L48">
        <v>1368</v>
      </c>
      <c r="N48">
        <v>1011</v>
      </c>
      <c r="O48" t="s">
        <v>634</v>
      </c>
      <c r="P48" t="s">
        <v>634</v>
      </c>
      <c r="Q48">
        <v>1</v>
      </c>
      <c r="W48">
        <v>0</v>
      </c>
      <c r="X48">
        <v>-1718674368</v>
      </c>
      <c r="Y48">
        <v>8.3999999999999991E-2</v>
      </c>
      <c r="AA48">
        <v>0</v>
      </c>
      <c r="AB48">
        <v>111.99</v>
      </c>
      <c r="AC48">
        <v>13.5</v>
      </c>
      <c r="AD48">
        <v>0</v>
      </c>
      <c r="AE48">
        <v>0</v>
      </c>
      <c r="AF48">
        <v>111.99</v>
      </c>
      <c r="AG48">
        <v>13.5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224</v>
      </c>
      <c r="AT48">
        <v>0.12</v>
      </c>
      <c r="AU48" t="s">
        <v>281</v>
      </c>
      <c r="AV48">
        <v>0</v>
      </c>
      <c r="AW48">
        <v>2</v>
      </c>
      <c r="AX48">
        <v>16500013</v>
      </c>
      <c r="AY48">
        <v>1</v>
      </c>
      <c r="AZ48">
        <v>0</v>
      </c>
      <c r="BA48">
        <v>62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Y48*Source!I42</f>
        <v>1.2599999999999998E-2</v>
      </c>
      <c r="CY48">
        <f t="shared" si="0"/>
        <v>111.99</v>
      </c>
      <c r="CZ48">
        <f t="shared" si="1"/>
        <v>111.99</v>
      </c>
      <c r="DA48">
        <f t="shared" si="2"/>
        <v>1</v>
      </c>
      <c r="DB48">
        <v>0</v>
      </c>
    </row>
    <row r="49" spans="1:106" x14ac:dyDescent="0.2">
      <c r="A49">
        <f>ROW(Source!A42)</f>
        <v>42</v>
      </c>
      <c r="B49">
        <v>16499835</v>
      </c>
      <c r="C49">
        <v>16500009</v>
      </c>
      <c r="D49">
        <v>15247698</v>
      </c>
      <c r="E49">
        <v>1</v>
      </c>
      <c r="F49">
        <v>1</v>
      </c>
      <c r="G49">
        <v>1</v>
      </c>
      <c r="H49">
        <v>2</v>
      </c>
      <c r="I49" t="s">
        <v>673</v>
      </c>
      <c r="J49" t="s">
        <v>674</v>
      </c>
      <c r="K49" t="s">
        <v>675</v>
      </c>
      <c r="L49">
        <v>1368</v>
      </c>
      <c r="N49">
        <v>1011</v>
      </c>
      <c r="O49" t="s">
        <v>634</v>
      </c>
      <c r="P49" t="s">
        <v>634</v>
      </c>
      <c r="Q49">
        <v>1</v>
      </c>
      <c r="W49">
        <v>0</v>
      </c>
      <c r="X49">
        <v>-891972751</v>
      </c>
      <c r="Y49">
        <v>2.8490000000000002</v>
      </c>
      <c r="AA49">
        <v>0</v>
      </c>
      <c r="AB49">
        <v>533.27</v>
      </c>
      <c r="AC49">
        <v>27.9</v>
      </c>
      <c r="AD49">
        <v>0</v>
      </c>
      <c r="AE49">
        <v>0</v>
      </c>
      <c r="AF49">
        <v>533.27</v>
      </c>
      <c r="AG49">
        <v>27.9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224</v>
      </c>
      <c r="AT49">
        <v>4.07</v>
      </c>
      <c r="AU49" t="s">
        <v>281</v>
      </c>
      <c r="AV49">
        <v>0</v>
      </c>
      <c r="AW49">
        <v>2</v>
      </c>
      <c r="AX49">
        <v>16500014</v>
      </c>
      <c r="AY49">
        <v>1</v>
      </c>
      <c r="AZ49">
        <v>0</v>
      </c>
      <c r="BA49">
        <v>63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Y49*Source!I42</f>
        <v>0.42735000000000001</v>
      </c>
      <c r="CY49">
        <f t="shared" si="0"/>
        <v>533.27</v>
      </c>
      <c r="CZ49">
        <f t="shared" si="1"/>
        <v>533.27</v>
      </c>
      <c r="DA49">
        <f t="shared" si="2"/>
        <v>1</v>
      </c>
      <c r="DB49">
        <v>0</v>
      </c>
    </row>
    <row r="50" spans="1:106" x14ac:dyDescent="0.2">
      <c r="A50">
        <f>ROW(Source!A42)</f>
        <v>42</v>
      </c>
      <c r="B50">
        <v>16499835</v>
      </c>
      <c r="C50">
        <v>16500009</v>
      </c>
      <c r="D50">
        <v>15247814</v>
      </c>
      <c r="E50">
        <v>1</v>
      </c>
      <c r="F50">
        <v>1</v>
      </c>
      <c r="G50">
        <v>1</v>
      </c>
      <c r="H50">
        <v>2</v>
      </c>
      <c r="I50" t="s">
        <v>676</v>
      </c>
      <c r="J50" t="s">
        <v>677</v>
      </c>
      <c r="K50" t="s">
        <v>678</v>
      </c>
      <c r="L50">
        <v>1368</v>
      </c>
      <c r="N50">
        <v>1011</v>
      </c>
      <c r="O50" t="s">
        <v>634</v>
      </c>
      <c r="P50" t="s">
        <v>634</v>
      </c>
      <c r="Q50">
        <v>1</v>
      </c>
      <c r="W50">
        <v>0</v>
      </c>
      <c r="X50">
        <v>-1692889495</v>
      </c>
      <c r="Y50">
        <v>6.9999999999999993E-2</v>
      </c>
      <c r="AA50">
        <v>0</v>
      </c>
      <c r="AB50">
        <v>0.9</v>
      </c>
      <c r="AC50">
        <v>0</v>
      </c>
      <c r="AD50">
        <v>0</v>
      </c>
      <c r="AE50">
        <v>0</v>
      </c>
      <c r="AF50">
        <v>0.9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224</v>
      </c>
      <c r="AT50">
        <v>0.1</v>
      </c>
      <c r="AU50" t="s">
        <v>281</v>
      </c>
      <c r="AV50">
        <v>0</v>
      </c>
      <c r="AW50">
        <v>2</v>
      </c>
      <c r="AX50">
        <v>16500015</v>
      </c>
      <c r="AY50">
        <v>1</v>
      </c>
      <c r="AZ50">
        <v>0</v>
      </c>
      <c r="BA50">
        <v>64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Y50*Source!I42</f>
        <v>1.0499999999999999E-2</v>
      </c>
      <c r="CY50">
        <f t="shared" si="0"/>
        <v>0.9</v>
      </c>
      <c r="CZ50">
        <f t="shared" si="1"/>
        <v>0.9</v>
      </c>
      <c r="DA50">
        <f t="shared" si="2"/>
        <v>1</v>
      </c>
      <c r="DB50">
        <v>0</v>
      </c>
    </row>
    <row r="51" spans="1:106" x14ac:dyDescent="0.2">
      <c r="A51">
        <f>ROW(Source!A42)</f>
        <v>42</v>
      </c>
      <c r="B51">
        <v>16499835</v>
      </c>
      <c r="C51">
        <v>16500009</v>
      </c>
      <c r="D51">
        <v>15247878</v>
      </c>
      <c r="E51">
        <v>1</v>
      </c>
      <c r="F51">
        <v>1</v>
      </c>
      <c r="G51">
        <v>1</v>
      </c>
      <c r="H51">
        <v>2</v>
      </c>
      <c r="I51" t="s">
        <v>646</v>
      </c>
      <c r="J51" t="s">
        <v>647</v>
      </c>
      <c r="K51" t="s">
        <v>648</v>
      </c>
      <c r="L51">
        <v>1368</v>
      </c>
      <c r="N51">
        <v>1011</v>
      </c>
      <c r="O51" t="s">
        <v>634</v>
      </c>
      <c r="P51" t="s">
        <v>634</v>
      </c>
      <c r="Q51">
        <v>1</v>
      </c>
      <c r="W51">
        <v>0</v>
      </c>
      <c r="X51">
        <v>1047452784</v>
      </c>
      <c r="Y51">
        <v>0.23799999999999999</v>
      </c>
      <c r="AA51">
        <v>0</v>
      </c>
      <c r="AB51">
        <v>1.7</v>
      </c>
      <c r="AC51">
        <v>0</v>
      </c>
      <c r="AD51">
        <v>0</v>
      </c>
      <c r="AE51">
        <v>0</v>
      </c>
      <c r="AF51">
        <v>1.7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224</v>
      </c>
      <c r="AT51">
        <v>0.34</v>
      </c>
      <c r="AU51" t="s">
        <v>281</v>
      </c>
      <c r="AV51">
        <v>0</v>
      </c>
      <c r="AW51">
        <v>2</v>
      </c>
      <c r="AX51">
        <v>16500016</v>
      </c>
      <c r="AY51">
        <v>1</v>
      </c>
      <c r="AZ51">
        <v>0</v>
      </c>
      <c r="BA51">
        <v>65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Y51*Source!I42</f>
        <v>3.5699999999999996E-2</v>
      </c>
      <c r="CY51">
        <f t="shared" si="0"/>
        <v>1.7</v>
      </c>
      <c r="CZ51">
        <f t="shared" si="1"/>
        <v>1.7</v>
      </c>
      <c r="DA51">
        <f t="shared" si="2"/>
        <v>1</v>
      </c>
      <c r="DB51">
        <v>0</v>
      </c>
    </row>
    <row r="52" spans="1:106" x14ac:dyDescent="0.2">
      <c r="A52">
        <f>ROW(Source!A42)</f>
        <v>42</v>
      </c>
      <c r="B52">
        <v>16499835</v>
      </c>
      <c r="C52">
        <v>16500009</v>
      </c>
      <c r="D52">
        <v>15247880</v>
      </c>
      <c r="E52">
        <v>1</v>
      </c>
      <c r="F52">
        <v>1</v>
      </c>
      <c r="G52">
        <v>1</v>
      </c>
      <c r="H52">
        <v>2</v>
      </c>
      <c r="I52" t="s">
        <v>679</v>
      </c>
      <c r="J52" t="s">
        <v>680</v>
      </c>
      <c r="K52" t="s">
        <v>681</v>
      </c>
      <c r="L52">
        <v>1368</v>
      </c>
      <c r="N52">
        <v>1011</v>
      </c>
      <c r="O52" t="s">
        <v>634</v>
      </c>
      <c r="P52" t="s">
        <v>634</v>
      </c>
      <c r="Q52">
        <v>1</v>
      </c>
      <c r="W52">
        <v>0</v>
      </c>
      <c r="X52">
        <v>1544661785</v>
      </c>
      <c r="Y52">
        <v>6.3E-2</v>
      </c>
      <c r="AA52">
        <v>0</v>
      </c>
      <c r="AB52">
        <v>6.9</v>
      </c>
      <c r="AC52">
        <v>0</v>
      </c>
      <c r="AD52">
        <v>0</v>
      </c>
      <c r="AE52">
        <v>0</v>
      </c>
      <c r="AF52">
        <v>6.9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224</v>
      </c>
      <c r="AT52">
        <v>0.09</v>
      </c>
      <c r="AU52" t="s">
        <v>281</v>
      </c>
      <c r="AV52">
        <v>0</v>
      </c>
      <c r="AW52">
        <v>2</v>
      </c>
      <c r="AX52">
        <v>16500017</v>
      </c>
      <c r="AY52">
        <v>1</v>
      </c>
      <c r="AZ52">
        <v>0</v>
      </c>
      <c r="BA52">
        <v>66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Y52*Source!I42</f>
        <v>9.4500000000000001E-3</v>
      </c>
      <c r="CY52">
        <f t="shared" si="0"/>
        <v>6.9</v>
      </c>
      <c r="CZ52">
        <f t="shared" si="1"/>
        <v>6.9</v>
      </c>
      <c r="DA52">
        <f t="shared" si="2"/>
        <v>1</v>
      </c>
      <c r="DB52">
        <v>0</v>
      </c>
    </row>
    <row r="53" spans="1:106" x14ac:dyDescent="0.2">
      <c r="A53">
        <f>ROW(Source!A42)</f>
        <v>42</v>
      </c>
      <c r="B53">
        <v>16499835</v>
      </c>
      <c r="C53">
        <v>16500009</v>
      </c>
      <c r="D53">
        <v>15249073</v>
      </c>
      <c r="E53">
        <v>1</v>
      </c>
      <c r="F53">
        <v>1</v>
      </c>
      <c r="G53">
        <v>1</v>
      </c>
      <c r="H53">
        <v>2</v>
      </c>
      <c r="I53" t="s">
        <v>631</v>
      </c>
      <c r="J53" t="s">
        <v>632</v>
      </c>
      <c r="K53" t="s">
        <v>633</v>
      </c>
      <c r="L53">
        <v>1368</v>
      </c>
      <c r="N53">
        <v>1011</v>
      </c>
      <c r="O53" t="s">
        <v>634</v>
      </c>
      <c r="P53" t="s">
        <v>634</v>
      </c>
      <c r="Q53">
        <v>1</v>
      </c>
      <c r="W53">
        <v>0</v>
      </c>
      <c r="X53">
        <v>1372534845</v>
      </c>
      <c r="Y53">
        <v>0.13299999999999998</v>
      </c>
      <c r="AA53">
        <v>0</v>
      </c>
      <c r="AB53">
        <v>65.709999999999994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224</v>
      </c>
      <c r="AT53">
        <v>0.19</v>
      </c>
      <c r="AU53" t="s">
        <v>281</v>
      </c>
      <c r="AV53">
        <v>0</v>
      </c>
      <c r="AW53">
        <v>2</v>
      </c>
      <c r="AX53">
        <v>16500018</v>
      </c>
      <c r="AY53">
        <v>1</v>
      </c>
      <c r="AZ53">
        <v>0</v>
      </c>
      <c r="BA53">
        <v>67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Y53*Source!I42</f>
        <v>1.9949999999999996E-2</v>
      </c>
      <c r="CY53">
        <f t="shared" si="0"/>
        <v>65.709999999999994</v>
      </c>
      <c r="CZ53">
        <f t="shared" si="1"/>
        <v>65.709999999999994</v>
      </c>
      <c r="DA53">
        <f t="shared" si="2"/>
        <v>1</v>
      </c>
      <c r="DB53">
        <v>0</v>
      </c>
    </row>
    <row r="54" spans="1:106" x14ac:dyDescent="0.2">
      <c r="A54">
        <f>ROW(Source!A42)</f>
        <v>42</v>
      </c>
      <c r="B54">
        <v>16499835</v>
      </c>
      <c r="C54">
        <v>16500009</v>
      </c>
      <c r="D54">
        <v>15249308</v>
      </c>
      <c r="E54">
        <v>1</v>
      </c>
      <c r="F54">
        <v>1</v>
      </c>
      <c r="G54">
        <v>1</v>
      </c>
      <c r="H54">
        <v>2</v>
      </c>
      <c r="I54" t="s">
        <v>682</v>
      </c>
      <c r="J54" t="s">
        <v>683</v>
      </c>
      <c r="K54" t="s">
        <v>684</v>
      </c>
      <c r="L54">
        <v>1368</v>
      </c>
      <c r="N54">
        <v>1011</v>
      </c>
      <c r="O54" t="s">
        <v>634</v>
      </c>
      <c r="P54" t="s">
        <v>634</v>
      </c>
      <c r="Q54">
        <v>1</v>
      </c>
      <c r="W54">
        <v>0</v>
      </c>
      <c r="X54">
        <v>792402865</v>
      </c>
      <c r="Y54">
        <v>1.5680000000000001</v>
      </c>
      <c r="AA54">
        <v>0</v>
      </c>
      <c r="AB54">
        <v>1.2</v>
      </c>
      <c r="AC54">
        <v>0</v>
      </c>
      <c r="AD54">
        <v>0</v>
      </c>
      <c r="AE54">
        <v>0</v>
      </c>
      <c r="AF54">
        <v>1.2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224</v>
      </c>
      <c r="AT54">
        <v>2.2400000000000002</v>
      </c>
      <c r="AU54" t="s">
        <v>281</v>
      </c>
      <c r="AV54">
        <v>0</v>
      </c>
      <c r="AW54">
        <v>2</v>
      </c>
      <c r="AX54">
        <v>16500019</v>
      </c>
      <c r="AY54">
        <v>1</v>
      </c>
      <c r="AZ54">
        <v>0</v>
      </c>
      <c r="BA54">
        <v>68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Y54*Source!I42</f>
        <v>0.23519999999999999</v>
      </c>
      <c r="CY54">
        <f t="shared" si="0"/>
        <v>1.2</v>
      </c>
      <c r="CZ54">
        <f t="shared" si="1"/>
        <v>1.2</v>
      </c>
      <c r="DA54">
        <f t="shared" si="2"/>
        <v>1</v>
      </c>
      <c r="DB54">
        <v>0</v>
      </c>
    </row>
    <row r="55" spans="1:106" x14ac:dyDescent="0.2">
      <c r="A55">
        <f>ROW(Source!A42)</f>
        <v>42</v>
      </c>
      <c r="B55">
        <v>16499835</v>
      </c>
      <c r="C55">
        <v>16500009</v>
      </c>
      <c r="D55">
        <v>15249355</v>
      </c>
      <c r="E55">
        <v>1</v>
      </c>
      <c r="F55">
        <v>1</v>
      </c>
      <c r="G55">
        <v>1</v>
      </c>
      <c r="H55">
        <v>2</v>
      </c>
      <c r="I55" t="s">
        <v>685</v>
      </c>
      <c r="J55" t="s">
        <v>686</v>
      </c>
      <c r="K55" t="s">
        <v>687</v>
      </c>
      <c r="L55">
        <v>1368</v>
      </c>
      <c r="N55">
        <v>1011</v>
      </c>
      <c r="O55" t="s">
        <v>634</v>
      </c>
      <c r="P55" t="s">
        <v>634</v>
      </c>
      <c r="Q55">
        <v>1</v>
      </c>
      <c r="W55">
        <v>0</v>
      </c>
      <c r="X55">
        <v>1323835807</v>
      </c>
      <c r="Y55">
        <v>10.507</v>
      </c>
      <c r="AA55">
        <v>0</v>
      </c>
      <c r="AB55">
        <v>12.31</v>
      </c>
      <c r="AC55">
        <v>0</v>
      </c>
      <c r="AD55">
        <v>0</v>
      </c>
      <c r="AE55">
        <v>0</v>
      </c>
      <c r="AF55">
        <v>12.31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224</v>
      </c>
      <c r="AT55">
        <v>15.01</v>
      </c>
      <c r="AU55" t="s">
        <v>281</v>
      </c>
      <c r="AV55">
        <v>0</v>
      </c>
      <c r="AW55">
        <v>2</v>
      </c>
      <c r="AX55">
        <v>16500020</v>
      </c>
      <c r="AY55">
        <v>1</v>
      </c>
      <c r="AZ55">
        <v>0</v>
      </c>
      <c r="BA55">
        <v>69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Y55*Source!I42</f>
        <v>1.57605</v>
      </c>
      <c r="CY55">
        <f t="shared" si="0"/>
        <v>12.31</v>
      </c>
      <c r="CZ55">
        <f t="shared" si="1"/>
        <v>12.31</v>
      </c>
      <c r="DA55">
        <f t="shared" si="2"/>
        <v>1</v>
      </c>
      <c r="DB55">
        <v>0</v>
      </c>
    </row>
    <row r="56" spans="1:106" x14ac:dyDescent="0.2">
      <c r="A56">
        <f>ROW(Source!A42)</f>
        <v>42</v>
      </c>
      <c r="B56">
        <v>16499835</v>
      </c>
      <c r="C56">
        <v>16500009</v>
      </c>
      <c r="D56">
        <v>15165653</v>
      </c>
      <c r="E56">
        <v>1</v>
      </c>
      <c r="F56">
        <v>1</v>
      </c>
      <c r="G56">
        <v>1</v>
      </c>
      <c r="H56">
        <v>3</v>
      </c>
      <c r="I56" t="s">
        <v>688</v>
      </c>
      <c r="J56" t="s">
        <v>689</v>
      </c>
      <c r="K56" t="s">
        <v>690</v>
      </c>
      <c r="L56">
        <v>1339</v>
      </c>
      <c r="N56">
        <v>1007</v>
      </c>
      <c r="O56" t="s">
        <v>691</v>
      </c>
      <c r="P56" t="s">
        <v>691</v>
      </c>
      <c r="Q56">
        <v>1</v>
      </c>
      <c r="W56">
        <v>0</v>
      </c>
      <c r="X56">
        <v>1262771840</v>
      </c>
      <c r="Y56">
        <v>0</v>
      </c>
      <c r="AA56">
        <v>6.22</v>
      </c>
      <c r="AB56">
        <v>0</v>
      </c>
      <c r="AC56">
        <v>0</v>
      </c>
      <c r="AD56">
        <v>0</v>
      </c>
      <c r="AE56">
        <v>6.22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224</v>
      </c>
      <c r="AT56">
        <v>1.95</v>
      </c>
      <c r="AU56" t="s">
        <v>280</v>
      </c>
      <c r="AV56">
        <v>0</v>
      </c>
      <c r="AW56">
        <v>2</v>
      </c>
      <c r="AX56">
        <v>16500021</v>
      </c>
      <c r="AY56">
        <v>1</v>
      </c>
      <c r="AZ56">
        <v>0</v>
      </c>
      <c r="BA56">
        <v>70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Y56*Source!I42</f>
        <v>0</v>
      </c>
      <c r="CY56">
        <f t="shared" ref="CY56:CY67" si="3">AA56</f>
        <v>6.22</v>
      </c>
      <c r="CZ56">
        <f t="shared" ref="CZ56:CZ67" si="4">AE56</f>
        <v>6.22</v>
      </c>
      <c r="DA56">
        <f t="shared" ref="DA56:DA67" si="5">AI56</f>
        <v>1</v>
      </c>
      <c r="DB56">
        <v>0</v>
      </c>
    </row>
    <row r="57" spans="1:106" x14ac:dyDescent="0.2">
      <c r="A57">
        <f>ROW(Source!A42)</f>
        <v>42</v>
      </c>
      <c r="B57">
        <v>16499835</v>
      </c>
      <c r="C57">
        <v>16500009</v>
      </c>
      <c r="D57">
        <v>15165660</v>
      </c>
      <c r="E57">
        <v>1</v>
      </c>
      <c r="F57">
        <v>1</v>
      </c>
      <c r="G57">
        <v>1</v>
      </c>
      <c r="H57">
        <v>3</v>
      </c>
      <c r="I57" t="s">
        <v>692</v>
      </c>
      <c r="J57" t="s">
        <v>693</v>
      </c>
      <c r="K57" t="s">
        <v>694</v>
      </c>
      <c r="L57">
        <v>1346</v>
      </c>
      <c r="N57">
        <v>1009</v>
      </c>
      <c r="O57" t="s">
        <v>303</v>
      </c>
      <c r="P57" t="s">
        <v>303</v>
      </c>
      <c r="Q57">
        <v>1</v>
      </c>
      <c r="W57">
        <v>0</v>
      </c>
      <c r="X57">
        <v>1721895514</v>
      </c>
      <c r="Y57">
        <v>0</v>
      </c>
      <c r="AA57">
        <v>6.09</v>
      </c>
      <c r="AB57">
        <v>0</v>
      </c>
      <c r="AC57">
        <v>0</v>
      </c>
      <c r="AD57">
        <v>0</v>
      </c>
      <c r="AE57">
        <v>6.09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224</v>
      </c>
      <c r="AT57">
        <v>0.59</v>
      </c>
      <c r="AU57" t="s">
        <v>280</v>
      </c>
      <c r="AV57">
        <v>0</v>
      </c>
      <c r="AW57">
        <v>2</v>
      </c>
      <c r="AX57">
        <v>16500022</v>
      </c>
      <c r="AY57">
        <v>1</v>
      </c>
      <c r="AZ57">
        <v>0</v>
      </c>
      <c r="BA57">
        <v>71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Y57*Source!I42</f>
        <v>0</v>
      </c>
      <c r="CY57">
        <f t="shared" si="3"/>
        <v>6.09</v>
      </c>
      <c r="CZ57">
        <f t="shared" si="4"/>
        <v>6.09</v>
      </c>
      <c r="DA57">
        <f t="shared" si="5"/>
        <v>1</v>
      </c>
      <c r="DB57">
        <v>0</v>
      </c>
    </row>
    <row r="58" spans="1:106" x14ac:dyDescent="0.2">
      <c r="A58">
        <f>ROW(Source!A42)</f>
        <v>42</v>
      </c>
      <c r="B58">
        <v>16499835</v>
      </c>
      <c r="C58">
        <v>16500009</v>
      </c>
      <c r="D58">
        <v>15168753</v>
      </c>
      <c r="E58">
        <v>1</v>
      </c>
      <c r="F58">
        <v>1</v>
      </c>
      <c r="G58">
        <v>1</v>
      </c>
      <c r="H58">
        <v>3</v>
      </c>
      <c r="I58" t="s">
        <v>695</v>
      </c>
      <c r="J58" t="s">
        <v>696</v>
      </c>
      <c r="K58" t="s">
        <v>697</v>
      </c>
      <c r="L58">
        <v>1348</v>
      </c>
      <c r="N58">
        <v>1009</v>
      </c>
      <c r="O58" t="s">
        <v>288</v>
      </c>
      <c r="P58" t="s">
        <v>288</v>
      </c>
      <c r="Q58">
        <v>1000</v>
      </c>
      <c r="W58">
        <v>0</v>
      </c>
      <c r="X58">
        <v>1225357214</v>
      </c>
      <c r="Y58">
        <v>0</v>
      </c>
      <c r="AA58">
        <v>10749</v>
      </c>
      <c r="AB58">
        <v>0</v>
      </c>
      <c r="AC58">
        <v>0</v>
      </c>
      <c r="AD58">
        <v>0</v>
      </c>
      <c r="AE58">
        <v>10749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224</v>
      </c>
      <c r="AT58">
        <v>2.3E-2</v>
      </c>
      <c r="AU58" t="s">
        <v>280</v>
      </c>
      <c r="AV58">
        <v>0</v>
      </c>
      <c r="AW58">
        <v>2</v>
      </c>
      <c r="AX58">
        <v>16500023</v>
      </c>
      <c r="AY58">
        <v>1</v>
      </c>
      <c r="AZ58">
        <v>0</v>
      </c>
      <c r="BA58">
        <v>72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Y58*Source!I42</f>
        <v>0</v>
      </c>
      <c r="CY58">
        <f t="shared" si="3"/>
        <v>10749</v>
      </c>
      <c r="CZ58">
        <f t="shared" si="4"/>
        <v>10749</v>
      </c>
      <c r="DA58">
        <f t="shared" si="5"/>
        <v>1</v>
      </c>
      <c r="DB58">
        <v>0</v>
      </c>
    </row>
    <row r="59" spans="1:106" x14ac:dyDescent="0.2">
      <c r="A59">
        <f>ROW(Source!A42)</f>
        <v>42</v>
      </c>
      <c r="B59">
        <v>16499835</v>
      </c>
      <c r="C59">
        <v>16500009</v>
      </c>
      <c r="D59">
        <v>15170039</v>
      </c>
      <c r="E59">
        <v>1</v>
      </c>
      <c r="F59">
        <v>1</v>
      </c>
      <c r="G59">
        <v>1</v>
      </c>
      <c r="H59">
        <v>3</v>
      </c>
      <c r="I59" t="s">
        <v>698</v>
      </c>
      <c r="J59" t="s">
        <v>699</v>
      </c>
      <c r="K59" t="s">
        <v>700</v>
      </c>
      <c r="L59">
        <v>1348</v>
      </c>
      <c r="N59">
        <v>1009</v>
      </c>
      <c r="O59" t="s">
        <v>288</v>
      </c>
      <c r="P59" t="s">
        <v>288</v>
      </c>
      <c r="Q59">
        <v>1000</v>
      </c>
      <c r="W59">
        <v>0</v>
      </c>
      <c r="X59">
        <v>1174701286</v>
      </c>
      <c r="Y59">
        <v>0</v>
      </c>
      <c r="AA59">
        <v>11978</v>
      </c>
      <c r="AB59">
        <v>0</v>
      </c>
      <c r="AC59">
        <v>0</v>
      </c>
      <c r="AD59">
        <v>0</v>
      </c>
      <c r="AE59">
        <v>11978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224</v>
      </c>
      <c r="AT59">
        <v>1.0000000000000001E-5</v>
      </c>
      <c r="AU59" t="s">
        <v>280</v>
      </c>
      <c r="AV59">
        <v>0</v>
      </c>
      <c r="AW59">
        <v>2</v>
      </c>
      <c r="AX59">
        <v>16500025</v>
      </c>
      <c r="AY59">
        <v>1</v>
      </c>
      <c r="AZ59">
        <v>0</v>
      </c>
      <c r="BA59">
        <v>74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Y59*Source!I42</f>
        <v>0</v>
      </c>
      <c r="CY59">
        <f t="shared" si="3"/>
        <v>11978</v>
      </c>
      <c r="CZ59">
        <f t="shared" si="4"/>
        <v>11978</v>
      </c>
      <c r="DA59">
        <f t="shared" si="5"/>
        <v>1</v>
      </c>
      <c r="DB59">
        <v>0</v>
      </c>
    </row>
    <row r="60" spans="1:106" x14ac:dyDescent="0.2">
      <c r="A60">
        <f>ROW(Source!A42)</f>
        <v>42</v>
      </c>
      <c r="B60">
        <v>16499835</v>
      </c>
      <c r="C60">
        <v>16500009</v>
      </c>
      <c r="D60">
        <v>15171021</v>
      </c>
      <c r="E60">
        <v>1</v>
      </c>
      <c r="F60">
        <v>1</v>
      </c>
      <c r="G60">
        <v>1</v>
      </c>
      <c r="H60">
        <v>3</v>
      </c>
      <c r="I60" t="s">
        <v>701</v>
      </c>
      <c r="J60" t="s">
        <v>702</v>
      </c>
      <c r="K60" t="s">
        <v>703</v>
      </c>
      <c r="L60">
        <v>1348</v>
      </c>
      <c r="N60">
        <v>1009</v>
      </c>
      <c r="O60" t="s">
        <v>288</v>
      </c>
      <c r="P60" t="s">
        <v>288</v>
      </c>
      <c r="Q60">
        <v>1000</v>
      </c>
      <c r="W60">
        <v>0</v>
      </c>
      <c r="X60">
        <v>-2116243625</v>
      </c>
      <c r="Y60">
        <v>0</v>
      </c>
      <c r="AA60">
        <v>37900</v>
      </c>
      <c r="AB60">
        <v>0</v>
      </c>
      <c r="AC60">
        <v>0</v>
      </c>
      <c r="AD60">
        <v>0</v>
      </c>
      <c r="AE60">
        <v>37900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224</v>
      </c>
      <c r="AT60">
        <v>1E-4</v>
      </c>
      <c r="AU60" t="s">
        <v>280</v>
      </c>
      <c r="AV60">
        <v>0</v>
      </c>
      <c r="AW60">
        <v>2</v>
      </c>
      <c r="AX60">
        <v>16500026</v>
      </c>
      <c r="AY60">
        <v>1</v>
      </c>
      <c r="AZ60">
        <v>0</v>
      </c>
      <c r="BA60">
        <v>75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Y60*Source!I42</f>
        <v>0</v>
      </c>
      <c r="CY60">
        <f t="shared" si="3"/>
        <v>37900</v>
      </c>
      <c r="CZ60">
        <f t="shared" si="4"/>
        <v>37900</v>
      </c>
      <c r="DA60">
        <f t="shared" si="5"/>
        <v>1</v>
      </c>
      <c r="DB60">
        <v>0</v>
      </c>
    </row>
    <row r="61" spans="1:106" x14ac:dyDescent="0.2">
      <c r="A61">
        <f>ROW(Source!A42)</f>
        <v>42</v>
      </c>
      <c r="B61">
        <v>16499835</v>
      </c>
      <c r="C61">
        <v>16500009</v>
      </c>
      <c r="D61">
        <v>15188765</v>
      </c>
      <c r="E61">
        <v>1</v>
      </c>
      <c r="F61">
        <v>1</v>
      </c>
      <c r="G61">
        <v>1</v>
      </c>
      <c r="H61">
        <v>3</v>
      </c>
      <c r="I61" t="s">
        <v>704</v>
      </c>
      <c r="J61" t="s">
        <v>705</v>
      </c>
      <c r="K61" t="s">
        <v>706</v>
      </c>
      <c r="L61">
        <v>1348</v>
      </c>
      <c r="N61">
        <v>1009</v>
      </c>
      <c r="O61" t="s">
        <v>288</v>
      </c>
      <c r="P61" t="s">
        <v>288</v>
      </c>
      <c r="Q61">
        <v>1000</v>
      </c>
      <c r="W61">
        <v>0</v>
      </c>
      <c r="X61">
        <v>299819930</v>
      </c>
      <c r="Y61">
        <v>0</v>
      </c>
      <c r="AA61">
        <v>7712</v>
      </c>
      <c r="AB61">
        <v>0</v>
      </c>
      <c r="AC61">
        <v>0</v>
      </c>
      <c r="AD61">
        <v>0</v>
      </c>
      <c r="AE61">
        <v>7712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224</v>
      </c>
      <c r="AT61">
        <v>2.5999999999999999E-2</v>
      </c>
      <c r="AU61" t="s">
        <v>280</v>
      </c>
      <c r="AV61">
        <v>0</v>
      </c>
      <c r="AW61">
        <v>2</v>
      </c>
      <c r="AX61">
        <v>16500027</v>
      </c>
      <c r="AY61">
        <v>1</v>
      </c>
      <c r="AZ61">
        <v>0</v>
      </c>
      <c r="BA61">
        <v>76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0</v>
      </c>
      <c r="CY61">
        <f t="shared" si="3"/>
        <v>7712</v>
      </c>
      <c r="CZ61">
        <f t="shared" si="4"/>
        <v>7712</v>
      </c>
      <c r="DA61">
        <f t="shared" si="5"/>
        <v>1</v>
      </c>
      <c r="DB61">
        <v>0</v>
      </c>
    </row>
    <row r="62" spans="1:106" x14ac:dyDescent="0.2">
      <c r="A62">
        <f>ROW(Source!A42)</f>
        <v>42</v>
      </c>
      <c r="B62">
        <v>16499835</v>
      </c>
      <c r="C62">
        <v>16500009</v>
      </c>
      <c r="D62">
        <v>15190794</v>
      </c>
      <c r="E62">
        <v>1</v>
      </c>
      <c r="F62">
        <v>1</v>
      </c>
      <c r="G62">
        <v>1</v>
      </c>
      <c r="H62">
        <v>3</v>
      </c>
      <c r="I62" t="s">
        <v>707</v>
      </c>
      <c r="J62" t="s">
        <v>708</v>
      </c>
      <c r="K62" t="s">
        <v>709</v>
      </c>
      <c r="L62">
        <v>1302</v>
      </c>
      <c r="N62">
        <v>1003</v>
      </c>
      <c r="O62" t="s">
        <v>710</v>
      </c>
      <c r="P62" t="s">
        <v>710</v>
      </c>
      <c r="Q62">
        <v>10</v>
      </c>
      <c r="W62">
        <v>0</v>
      </c>
      <c r="X62">
        <v>-1640127157</v>
      </c>
      <c r="Y62">
        <v>0</v>
      </c>
      <c r="AA62">
        <v>50.24</v>
      </c>
      <c r="AB62">
        <v>0</v>
      </c>
      <c r="AC62">
        <v>0</v>
      </c>
      <c r="AD62">
        <v>0</v>
      </c>
      <c r="AE62">
        <v>50.24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224</v>
      </c>
      <c r="AT62">
        <v>1.8700000000000001E-2</v>
      </c>
      <c r="AU62" t="s">
        <v>280</v>
      </c>
      <c r="AV62">
        <v>0</v>
      </c>
      <c r="AW62">
        <v>2</v>
      </c>
      <c r="AX62">
        <v>16500029</v>
      </c>
      <c r="AY62">
        <v>1</v>
      </c>
      <c r="AZ62">
        <v>0</v>
      </c>
      <c r="BA62">
        <v>78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Y62*Source!I42</f>
        <v>0</v>
      </c>
      <c r="CY62">
        <f t="shared" si="3"/>
        <v>50.24</v>
      </c>
      <c r="CZ62">
        <f t="shared" si="4"/>
        <v>50.24</v>
      </c>
      <c r="DA62">
        <f t="shared" si="5"/>
        <v>1</v>
      </c>
      <c r="DB62">
        <v>0</v>
      </c>
    </row>
    <row r="63" spans="1:106" x14ac:dyDescent="0.2">
      <c r="A63">
        <f>ROW(Source!A42)</f>
        <v>42</v>
      </c>
      <c r="B63">
        <v>16499835</v>
      </c>
      <c r="C63">
        <v>16500009</v>
      </c>
      <c r="D63">
        <v>15191153</v>
      </c>
      <c r="E63">
        <v>1</v>
      </c>
      <c r="F63">
        <v>1</v>
      </c>
      <c r="G63">
        <v>1</v>
      </c>
      <c r="H63">
        <v>3</v>
      </c>
      <c r="I63" t="s">
        <v>711</v>
      </c>
      <c r="J63" t="s">
        <v>712</v>
      </c>
      <c r="K63" t="s">
        <v>713</v>
      </c>
      <c r="L63">
        <v>1348</v>
      </c>
      <c r="N63">
        <v>1009</v>
      </c>
      <c r="O63" t="s">
        <v>288</v>
      </c>
      <c r="P63" t="s">
        <v>288</v>
      </c>
      <c r="Q63">
        <v>1000</v>
      </c>
      <c r="W63">
        <v>0</v>
      </c>
      <c r="X63">
        <v>-1396314973</v>
      </c>
      <c r="Y63">
        <v>0</v>
      </c>
      <c r="AA63">
        <v>4455.2</v>
      </c>
      <c r="AB63">
        <v>0</v>
      </c>
      <c r="AC63">
        <v>0</v>
      </c>
      <c r="AD63">
        <v>0</v>
      </c>
      <c r="AE63">
        <v>4455.2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224</v>
      </c>
      <c r="AT63">
        <v>3.0000000000000001E-5</v>
      </c>
      <c r="AU63" t="s">
        <v>280</v>
      </c>
      <c r="AV63">
        <v>0</v>
      </c>
      <c r="AW63">
        <v>2</v>
      </c>
      <c r="AX63">
        <v>16500030</v>
      </c>
      <c r="AY63">
        <v>1</v>
      </c>
      <c r="AZ63">
        <v>0</v>
      </c>
      <c r="BA63">
        <v>79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Y63*Source!I42</f>
        <v>0</v>
      </c>
      <c r="CY63">
        <f t="shared" si="3"/>
        <v>4455.2</v>
      </c>
      <c r="CZ63">
        <f t="shared" si="4"/>
        <v>4455.2</v>
      </c>
      <c r="DA63">
        <f t="shared" si="5"/>
        <v>1</v>
      </c>
      <c r="DB63">
        <v>0</v>
      </c>
    </row>
    <row r="64" spans="1:106" x14ac:dyDescent="0.2">
      <c r="A64">
        <f>ROW(Source!A42)</f>
        <v>42</v>
      </c>
      <c r="B64">
        <v>16499835</v>
      </c>
      <c r="C64">
        <v>16500009</v>
      </c>
      <c r="D64">
        <v>15191913</v>
      </c>
      <c r="E64">
        <v>1</v>
      </c>
      <c r="F64">
        <v>1</v>
      </c>
      <c r="G64">
        <v>1</v>
      </c>
      <c r="H64">
        <v>3</v>
      </c>
      <c r="I64" t="s">
        <v>714</v>
      </c>
      <c r="J64" t="s">
        <v>715</v>
      </c>
      <c r="K64" t="s">
        <v>716</v>
      </c>
      <c r="L64">
        <v>1348</v>
      </c>
      <c r="N64">
        <v>1009</v>
      </c>
      <c r="O64" t="s">
        <v>288</v>
      </c>
      <c r="P64" t="s">
        <v>288</v>
      </c>
      <c r="Q64">
        <v>1000</v>
      </c>
      <c r="W64">
        <v>0</v>
      </c>
      <c r="X64">
        <v>900832145</v>
      </c>
      <c r="Y64">
        <v>0</v>
      </c>
      <c r="AA64">
        <v>4920</v>
      </c>
      <c r="AB64">
        <v>0</v>
      </c>
      <c r="AC64">
        <v>0</v>
      </c>
      <c r="AD64">
        <v>0</v>
      </c>
      <c r="AE64">
        <v>4920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224</v>
      </c>
      <c r="AT64">
        <v>1.9400000000000001E-3</v>
      </c>
      <c r="AU64" t="s">
        <v>280</v>
      </c>
      <c r="AV64">
        <v>0</v>
      </c>
      <c r="AW64">
        <v>2</v>
      </c>
      <c r="AX64">
        <v>16500031</v>
      </c>
      <c r="AY64">
        <v>1</v>
      </c>
      <c r="AZ64">
        <v>0</v>
      </c>
      <c r="BA64">
        <v>80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Y64*Source!I42</f>
        <v>0</v>
      </c>
      <c r="CY64">
        <f t="shared" si="3"/>
        <v>4920</v>
      </c>
      <c r="CZ64">
        <f t="shared" si="4"/>
        <v>4920</v>
      </c>
      <c r="DA64">
        <f t="shared" si="5"/>
        <v>1</v>
      </c>
      <c r="DB64">
        <v>0</v>
      </c>
    </row>
    <row r="65" spans="1:106" x14ac:dyDescent="0.2">
      <c r="A65">
        <f>ROW(Source!A42)</f>
        <v>42</v>
      </c>
      <c r="B65">
        <v>16499835</v>
      </c>
      <c r="C65">
        <v>16500009</v>
      </c>
      <c r="D65">
        <v>15195820</v>
      </c>
      <c r="E65">
        <v>1</v>
      </c>
      <c r="F65">
        <v>1</v>
      </c>
      <c r="G65">
        <v>1</v>
      </c>
      <c r="H65">
        <v>3</v>
      </c>
      <c r="I65" t="s">
        <v>717</v>
      </c>
      <c r="J65" t="s">
        <v>718</v>
      </c>
      <c r="K65" t="s">
        <v>719</v>
      </c>
      <c r="L65">
        <v>1339</v>
      </c>
      <c r="N65">
        <v>1007</v>
      </c>
      <c r="O65" t="s">
        <v>691</v>
      </c>
      <c r="P65" t="s">
        <v>691</v>
      </c>
      <c r="Q65">
        <v>1</v>
      </c>
      <c r="W65">
        <v>0</v>
      </c>
      <c r="X65">
        <v>1283004816</v>
      </c>
      <c r="Y65">
        <v>0</v>
      </c>
      <c r="AA65">
        <v>1700</v>
      </c>
      <c r="AB65">
        <v>0</v>
      </c>
      <c r="AC65">
        <v>0</v>
      </c>
      <c r="AD65">
        <v>0</v>
      </c>
      <c r="AE65">
        <v>1700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224</v>
      </c>
      <c r="AT65">
        <v>1.0300000000000001E-3</v>
      </c>
      <c r="AU65" t="s">
        <v>280</v>
      </c>
      <c r="AV65">
        <v>0</v>
      </c>
      <c r="AW65">
        <v>2</v>
      </c>
      <c r="AX65">
        <v>16500032</v>
      </c>
      <c r="AY65">
        <v>1</v>
      </c>
      <c r="AZ65">
        <v>0</v>
      </c>
      <c r="BA65">
        <v>81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Y65*Source!I42</f>
        <v>0</v>
      </c>
      <c r="CY65">
        <f t="shared" si="3"/>
        <v>1700</v>
      </c>
      <c r="CZ65">
        <f t="shared" si="4"/>
        <v>1700</v>
      </c>
      <c r="DA65">
        <f t="shared" si="5"/>
        <v>1</v>
      </c>
      <c r="DB65">
        <v>0</v>
      </c>
    </row>
    <row r="66" spans="1:106" x14ac:dyDescent="0.2">
      <c r="A66">
        <f>ROW(Source!A42)</f>
        <v>42</v>
      </c>
      <c r="B66">
        <v>16499835</v>
      </c>
      <c r="C66">
        <v>16500009</v>
      </c>
      <c r="D66">
        <v>15203461</v>
      </c>
      <c r="E66">
        <v>1</v>
      </c>
      <c r="F66">
        <v>1</v>
      </c>
      <c r="G66">
        <v>1</v>
      </c>
      <c r="H66">
        <v>3</v>
      </c>
      <c r="I66" t="s">
        <v>720</v>
      </c>
      <c r="J66" t="s">
        <v>721</v>
      </c>
      <c r="K66" t="s">
        <v>722</v>
      </c>
      <c r="L66">
        <v>1348</v>
      </c>
      <c r="N66">
        <v>1009</v>
      </c>
      <c r="O66" t="s">
        <v>288</v>
      </c>
      <c r="P66" t="s">
        <v>288</v>
      </c>
      <c r="Q66">
        <v>1000</v>
      </c>
      <c r="W66">
        <v>0</v>
      </c>
      <c r="X66">
        <v>-1655298345</v>
      </c>
      <c r="Y66">
        <v>0</v>
      </c>
      <c r="AA66">
        <v>15620</v>
      </c>
      <c r="AB66">
        <v>0</v>
      </c>
      <c r="AC66">
        <v>0</v>
      </c>
      <c r="AD66">
        <v>0</v>
      </c>
      <c r="AE66">
        <v>15620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224</v>
      </c>
      <c r="AT66">
        <v>3.1E-4</v>
      </c>
      <c r="AU66" t="s">
        <v>280</v>
      </c>
      <c r="AV66">
        <v>0</v>
      </c>
      <c r="AW66">
        <v>2</v>
      </c>
      <c r="AX66">
        <v>16500033</v>
      </c>
      <c r="AY66">
        <v>1</v>
      </c>
      <c r="AZ66">
        <v>0</v>
      </c>
      <c r="BA66">
        <v>82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Y66*Source!I42</f>
        <v>0</v>
      </c>
      <c r="CY66">
        <f t="shared" si="3"/>
        <v>15620</v>
      </c>
      <c r="CZ66">
        <f t="shared" si="4"/>
        <v>15620</v>
      </c>
      <c r="DA66">
        <f t="shared" si="5"/>
        <v>1</v>
      </c>
      <c r="DB66">
        <v>0</v>
      </c>
    </row>
    <row r="67" spans="1:106" x14ac:dyDescent="0.2">
      <c r="A67">
        <f>ROW(Source!A42)</f>
        <v>42</v>
      </c>
      <c r="B67">
        <v>16499835</v>
      </c>
      <c r="C67">
        <v>16500009</v>
      </c>
      <c r="D67">
        <v>15204663</v>
      </c>
      <c r="E67">
        <v>1</v>
      </c>
      <c r="F67">
        <v>1</v>
      </c>
      <c r="G67">
        <v>1</v>
      </c>
      <c r="H67">
        <v>3</v>
      </c>
      <c r="I67" t="s">
        <v>723</v>
      </c>
      <c r="J67" t="s">
        <v>724</v>
      </c>
      <c r="K67" t="s">
        <v>725</v>
      </c>
      <c r="L67">
        <v>1348</v>
      </c>
      <c r="N67">
        <v>1009</v>
      </c>
      <c r="O67" t="s">
        <v>288</v>
      </c>
      <c r="P67" t="s">
        <v>288</v>
      </c>
      <c r="Q67">
        <v>1000</v>
      </c>
      <c r="W67">
        <v>0</v>
      </c>
      <c r="X67">
        <v>-639604785</v>
      </c>
      <c r="Y67">
        <v>0</v>
      </c>
      <c r="AA67">
        <v>9420</v>
      </c>
      <c r="AB67">
        <v>0</v>
      </c>
      <c r="AC67">
        <v>0</v>
      </c>
      <c r="AD67">
        <v>0</v>
      </c>
      <c r="AE67">
        <v>9420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224</v>
      </c>
      <c r="AT67">
        <v>5.9999999999999995E-4</v>
      </c>
      <c r="AU67" t="s">
        <v>280</v>
      </c>
      <c r="AV67">
        <v>0</v>
      </c>
      <c r="AW67">
        <v>2</v>
      </c>
      <c r="AX67">
        <v>16500034</v>
      </c>
      <c r="AY67">
        <v>1</v>
      </c>
      <c r="AZ67">
        <v>0</v>
      </c>
      <c r="BA67">
        <v>83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Y67*Source!I42</f>
        <v>0</v>
      </c>
      <c r="CY67">
        <f t="shared" si="3"/>
        <v>9420</v>
      </c>
      <c r="CZ67">
        <f t="shared" si="4"/>
        <v>9420</v>
      </c>
      <c r="DA67">
        <f t="shared" si="5"/>
        <v>1</v>
      </c>
      <c r="DB67">
        <v>0</v>
      </c>
    </row>
    <row r="68" spans="1:106" x14ac:dyDescent="0.2">
      <c r="A68">
        <f>ROW(Source!A43)</f>
        <v>43</v>
      </c>
      <c r="B68">
        <v>16499878</v>
      </c>
      <c r="C68">
        <v>16500009</v>
      </c>
      <c r="D68">
        <v>15441047</v>
      </c>
      <c r="E68">
        <v>1</v>
      </c>
      <c r="F68">
        <v>1</v>
      </c>
      <c r="G68">
        <v>1</v>
      </c>
      <c r="H68">
        <v>1</v>
      </c>
      <c r="I68" t="s">
        <v>665</v>
      </c>
      <c r="J68" t="s">
        <v>224</v>
      </c>
      <c r="K68" t="s">
        <v>666</v>
      </c>
      <c r="L68">
        <v>1191</v>
      </c>
      <c r="N68">
        <v>1013</v>
      </c>
      <c r="O68" t="s">
        <v>628</v>
      </c>
      <c r="P68" t="s">
        <v>628</v>
      </c>
      <c r="Q68">
        <v>1</v>
      </c>
      <c r="W68">
        <v>0</v>
      </c>
      <c r="X68">
        <v>687044855</v>
      </c>
      <c r="Y68">
        <v>32.458999999999996</v>
      </c>
      <c r="AA68">
        <v>0</v>
      </c>
      <c r="AB68">
        <v>0</v>
      </c>
      <c r="AC68">
        <v>0</v>
      </c>
      <c r="AD68">
        <v>61.16</v>
      </c>
      <c r="AE68">
        <v>0</v>
      </c>
      <c r="AF68">
        <v>0</v>
      </c>
      <c r="AG68">
        <v>0</v>
      </c>
      <c r="AH68">
        <v>10.06</v>
      </c>
      <c r="AI68">
        <v>1</v>
      </c>
      <c r="AJ68">
        <v>1</v>
      </c>
      <c r="AK68">
        <v>1</v>
      </c>
      <c r="AL68">
        <v>6.08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224</v>
      </c>
      <c r="AT68">
        <v>46.37</v>
      </c>
      <c r="AU68" t="s">
        <v>281</v>
      </c>
      <c r="AV68">
        <v>1</v>
      </c>
      <c r="AW68">
        <v>2</v>
      </c>
      <c r="AX68">
        <v>16500010</v>
      </c>
      <c r="AY68">
        <v>1</v>
      </c>
      <c r="AZ68">
        <v>0</v>
      </c>
      <c r="BA68">
        <v>84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Y68*Source!I43</f>
        <v>4.8688499999999992</v>
      </c>
      <c r="CY68">
        <f>AD68</f>
        <v>61.16</v>
      </c>
      <c r="CZ68">
        <f>AH68</f>
        <v>10.06</v>
      </c>
      <c r="DA68">
        <f>AL68</f>
        <v>6.08</v>
      </c>
      <c r="DB68">
        <v>0</v>
      </c>
    </row>
    <row r="69" spans="1:106" x14ac:dyDescent="0.2">
      <c r="A69">
        <f>ROW(Source!A43)</f>
        <v>43</v>
      </c>
      <c r="B69">
        <v>16499878</v>
      </c>
      <c r="C69">
        <v>16500009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629</v>
      </c>
      <c r="J69" t="s">
        <v>224</v>
      </c>
      <c r="K69" t="s">
        <v>630</v>
      </c>
      <c r="L69">
        <v>1191</v>
      </c>
      <c r="N69">
        <v>1013</v>
      </c>
      <c r="O69" t="s">
        <v>628</v>
      </c>
      <c r="P69" t="s">
        <v>628</v>
      </c>
      <c r="Q69">
        <v>1</v>
      </c>
      <c r="W69">
        <v>0</v>
      </c>
      <c r="X69">
        <v>-1417349443</v>
      </c>
      <c r="Y69">
        <v>8.8699999999999992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6.08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224</v>
      </c>
      <c r="AT69">
        <v>8.8699999999999992</v>
      </c>
      <c r="AU69" t="s">
        <v>224</v>
      </c>
      <c r="AV69">
        <v>2</v>
      </c>
      <c r="AW69">
        <v>2</v>
      </c>
      <c r="AX69">
        <v>16500011</v>
      </c>
      <c r="AY69">
        <v>1</v>
      </c>
      <c r="AZ69">
        <v>2048</v>
      </c>
      <c r="BA69">
        <v>85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Y69*Source!I43</f>
        <v>1.3304999999999998</v>
      </c>
      <c r="CY69">
        <f>AD69</f>
        <v>0</v>
      </c>
      <c r="CZ69">
        <f>AH69</f>
        <v>0</v>
      </c>
      <c r="DA69">
        <f>AL69</f>
        <v>1</v>
      </c>
      <c r="DB69">
        <v>0</v>
      </c>
    </row>
    <row r="70" spans="1:106" x14ac:dyDescent="0.2">
      <c r="A70">
        <f>ROW(Source!A43)</f>
        <v>43</v>
      </c>
      <c r="B70">
        <v>16499878</v>
      </c>
      <c r="C70">
        <v>16500009</v>
      </c>
      <c r="D70">
        <v>15247600</v>
      </c>
      <c r="E70">
        <v>1</v>
      </c>
      <c r="F70">
        <v>1</v>
      </c>
      <c r="G70">
        <v>1</v>
      </c>
      <c r="H70">
        <v>2</v>
      </c>
      <c r="I70" t="s">
        <v>667</v>
      </c>
      <c r="J70" t="s">
        <v>668</v>
      </c>
      <c r="K70" t="s">
        <v>669</v>
      </c>
      <c r="L70">
        <v>1368</v>
      </c>
      <c r="N70">
        <v>1011</v>
      </c>
      <c r="O70" t="s">
        <v>634</v>
      </c>
      <c r="P70" t="s">
        <v>634</v>
      </c>
      <c r="Q70">
        <v>1</v>
      </c>
      <c r="W70">
        <v>0</v>
      </c>
      <c r="X70">
        <v>641541266</v>
      </c>
      <c r="Y70">
        <v>0.29399999999999998</v>
      </c>
      <c r="AA70">
        <v>0</v>
      </c>
      <c r="AB70">
        <v>731.06</v>
      </c>
      <c r="AC70">
        <v>15.42</v>
      </c>
      <c r="AD70">
        <v>0</v>
      </c>
      <c r="AE70">
        <v>0</v>
      </c>
      <c r="AF70">
        <v>120.24</v>
      </c>
      <c r="AG70">
        <v>15.42</v>
      </c>
      <c r="AH70">
        <v>0</v>
      </c>
      <c r="AI70">
        <v>1</v>
      </c>
      <c r="AJ70">
        <v>6.08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224</v>
      </c>
      <c r="AT70">
        <v>0.42</v>
      </c>
      <c r="AU70" t="s">
        <v>281</v>
      </c>
      <c r="AV70">
        <v>0</v>
      </c>
      <c r="AW70">
        <v>2</v>
      </c>
      <c r="AX70">
        <v>16500012</v>
      </c>
      <c r="AY70">
        <v>1</v>
      </c>
      <c r="AZ70">
        <v>0</v>
      </c>
      <c r="BA70">
        <v>86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Y70*Source!I43</f>
        <v>4.4099999999999993E-2</v>
      </c>
      <c r="CY70">
        <f t="shared" ref="CY70:CY78" si="6">AB70</f>
        <v>731.06</v>
      </c>
      <c r="CZ70">
        <f t="shared" ref="CZ70:CZ78" si="7">AF70</f>
        <v>120.24</v>
      </c>
      <c r="DA70">
        <f t="shared" ref="DA70:DA78" si="8">AJ70</f>
        <v>6.08</v>
      </c>
      <c r="DB70">
        <v>0</v>
      </c>
    </row>
    <row r="71" spans="1:106" x14ac:dyDescent="0.2">
      <c r="A71">
        <f>ROW(Source!A43)</f>
        <v>43</v>
      </c>
      <c r="B71">
        <v>16499878</v>
      </c>
      <c r="C71">
        <v>16500009</v>
      </c>
      <c r="D71">
        <v>15247680</v>
      </c>
      <c r="E71">
        <v>1</v>
      </c>
      <c r="F71">
        <v>1</v>
      </c>
      <c r="G71">
        <v>1</v>
      </c>
      <c r="H71">
        <v>2</v>
      </c>
      <c r="I71" t="s">
        <v>670</v>
      </c>
      <c r="J71" t="s">
        <v>671</v>
      </c>
      <c r="K71" t="s">
        <v>672</v>
      </c>
      <c r="L71">
        <v>1368</v>
      </c>
      <c r="N71">
        <v>1011</v>
      </c>
      <c r="O71" t="s">
        <v>634</v>
      </c>
      <c r="P71" t="s">
        <v>634</v>
      </c>
      <c r="Q71">
        <v>1</v>
      </c>
      <c r="W71">
        <v>0</v>
      </c>
      <c r="X71">
        <v>-1718674368</v>
      </c>
      <c r="Y71">
        <v>8.3999999999999991E-2</v>
      </c>
      <c r="AA71">
        <v>0</v>
      </c>
      <c r="AB71">
        <v>680.9</v>
      </c>
      <c r="AC71">
        <v>13.5</v>
      </c>
      <c r="AD71">
        <v>0</v>
      </c>
      <c r="AE71">
        <v>0</v>
      </c>
      <c r="AF71">
        <v>111.99</v>
      </c>
      <c r="AG71">
        <v>13.5</v>
      </c>
      <c r="AH71">
        <v>0</v>
      </c>
      <c r="AI71">
        <v>1</v>
      </c>
      <c r="AJ71">
        <v>6.08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224</v>
      </c>
      <c r="AT71">
        <v>0.12</v>
      </c>
      <c r="AU71" t="s">
        <v>281</v>
      </c>
      <c r="AV71">
        <v>0</v>
      </c>
      <c r="AW71">
        <v>2</v>
      </c>
      <c r="AX71">
        <v>16500013</v>
      </c>
      <c r="AY71">
        <v>1</v>
      </c>
      <c r="AZ71">
        <v>0</v>
      </c>
      <c r="BA71">
        <v>87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Y71*Source!I43</f>
        <v>1.2599999999999998E-2</v>
      </c>
      <c r="CY71">
        <f t="shared" si="6"/>
        <v>680.9</v>
      </c>
      <c r="CZ71">
        <f t="shared" si="7"/>
        <v>111.99</v>
      </c>
      <c r="DA71">
        <f t="shared" si="8"/>
        <v>6.08</v>
      </c>
      <c r="DB71">
        <v>0</v>
      </c>
    </row>
    <row r="72" spans="1:106" x14ac:dyDescent="0.2">
      <c r="A72">
        <f>ROW(Source!A43)</f>
        <v>43</v>
      </c>
      <c r="B72">
        <v>16499878</v>
      </c>
      <c r="C72">
        <v>16500009</v>
      </c>
      <c r="D72">
        <v>15247698</v>
      </c>
      <c r="E72">
        <v>1</v>
      </c>
      <c r="F72">
        <v>1</v>
      </c>
      <c r="G72">
        <v>1</v>
      </c>
      <c r="H72">
        <v>2</v>
      </c>
      <c r="I72" t="s">
        <v>673</v>
      </c>
      <c r="J72" t="s">
        <v>674</v>
      </c>
      <c r="K72" t="s">
        <v>675</v>
      </c>
      <c r="L72">
        <v>1368</v>
      </c>
      <c r="N72">
        <v>1011</v>
      </c>
      <c r="O72" t="s">
        <v>634</v>
      </c>
      <c r="P72" t="s">
        <v>634</v>
      </c>
      <c r="Q72">
        <v>1</v>
      </c>
      <c r="W72">
        <v>0</v>
      </c>
      <c r="X72">
        <v>-891972751</v>
      </c>
      <c r="Y72">
        <v>2.8490000000000002</v>
      </c>
      <c r="AA72">
        <v>0</v>
      </c>
      <c r="AB72">
        <v>3242.28</v>
      </c>
      <c r="AC72">
        <v>27.9</v>
      </c>
      <c r="AD72">
        <v>0</v>
      </c>
      <c r="AE72">
        <v>0</v>
      </c>
      <c r="AF72">
        <v>533.27</v>
      </c>
      <c r="AG72">
        <v>27.9</v>
      </c>
      <c r="AH72">
        <v>0</v>
      </c>
      <c r="AI72">
        <v>1</v>
      </c>
      <c r="AJ72">
        <v>6.08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224</v>
      </c>
      <c r="AT72">
        <v>4.07</v>
      </c>
      <c r="AU72" t="s">
        <v>281</v>
      </c>
      <c r="AV72">
        <v>0</v>
      </c>
      <c r="AW72">
        <v>2</v>
      </c>
      <c r="AX72">
        <v>16500014</v>
      </c>
      <c r="AY72">
        <v>1</v>
      </c>
      <c r="AZ72">
        <v>0</v>
      </c>
      <c r="BA72">
        <v>88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Y72*Source!I43</f>
        <v>0.42735000000000001</v>
      </c>
      <c r="CY72">
        <f t="shared" si="6"/>
        <v>3242.28</v>
      </c>
      <c r="CZ72">
        <f t="shared" si="7"/>
        <v>533.27</v>
      </c>
      <c r="DA72">
        <f t="shared" si="8"/>
        <v>6.08</v>
      </c>
      <c r="DB72">
        <v>0</v>
      </c>
    </row>
    <row r="73" spans="1:106" x14ac:dyDescent="0.2">
      <c r="A73">
        <f>ROW(Source!A43)</f>
        <v>43</v>
      </c>
      <c r="B73">
        <v>16499878</v>
      </c>
      <c r="C73">
        <v>16500009</v>
      </c>
      <c r="D73">
        <v>15247814</v>
      </c>
      <c r="E73">
        <v>1</v>
      </c>
      <c r="F73">
        <v>1</v>
      </c>
      <c r="G73">
        <v>1</v>
      </c>
      <c r="H73">
        <v>2</v>
      </c>
      <c r="I73" t="s">
        <v>676</v>
      </c>
      <c r="J73" t="s">
        <v>677</v>
      </c>
      <c r="K73" t="s">
        <v>678</v>
      </c>
      <c r="L73">
        <v>1368</v>
      </c>
      <c r="N73">
        <v>1011</v>
      </c>
      <c r="O73" t="s">
        <v>634</v>
      </c>
      <c r="P73" t="s">
        <v>634</v>
      </c>
      <c r="Q73">
        <v>1</v>
      </c>
      <c r="W73">
        <v>0</v>
      </c>
      <c r="X73">
        <v>-1692889495</v>
      </c>
      <c r="Y73">
        <v>6.9999999999999993E-2</v>
      </c>
      <c r="AA73">
        <v>0</v>
      </c>
      <c r="AB73">
        <v>5.47</v>
      </c>
      <c r="AC73">
        <v>0</v>
      </c>
      <c r="AD73">
        <v>0</v>
      </c>
      <c r="AE73">
        <v>0</v>
      </c>
      <c r="AF73">
        <v>0.9</v>
      </c>
      <c r="AG73">
        <v>0</v>
      </c>
      <c r="AH73">
        <v>0</v>
      </c>
      <c r="AI73">
        <v>1</v>
      </c>
      <c r="AJ73">
        <v>6.08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224</v>
      </c>
      <c r="AT73">
        <v>0.1</v>
      </c>
      <c r="AU73" t="s">
        <v>281</v>
      </c>
      <c r="AV73">
        <v>0</v>
      </c>
      <c r="AW73">
        <v>2</v>
      </c>
      <c r="AX73">
        <v>16500015</v>
      </c>
      <c r="AY73">
        <v>1</v>
      </c>
      <c r="AZ73">
        <v>0</v>
      </c>
      <c r="BA73">
        <v>89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Y73*Source!I43</f>
        <v>1.0499999999999999E-2</v>
      </c>
      <c r="CY73">
        <f t="shared" si="6"/>
        <v>5.47</v>
      </c>
      <c r="CZ73">
        <f t="shared" si="7"/>
        <v>0.9</v>
      </c>
      <c r="DA73">
        <f t="shared" si="8"/>
        <v>6.08</v>
      </c>
      <c r="DB73">
        <v>0</v>
      </c>
    </row>
    <row r="74" spans="1:106" x14ac:dyDescent="0.2">
      <c r="A74">
        <f>ROW(Source!A43)</f>
        <v>43</v>
      </c>
      <c r="B74">
        <v>16499878</v>
      </c>
      <c r="C74">
        <v>16500009</v>
      </c>
      <c r="D74">
        <v>15247878</v>
      </c>
      <c r="E74">
        <v>1</v>
      </c>
      <c r="F74">
        <v>1</v>
      </c>
      <c r="G74">
        <v>1</v>
      </c>
      <c r="H74">
        <v>2</v>
      </c>
      <c r="I74" t="s">
        <v>646</v>
      </c>
      <c r="J74" t="s">
        <v>647</v>
      </c>
      <c r="K74" t="s">
        <v>648</v>
      </c>
      <c r="L74">
        <v>1368</v>
      </c>
      <c r="N74">
        <v>1011</v>
      </c>
      <c r="O74" t="s">
        <v>634</v>
      </c>
      <c r="P74" t="s">
        <v>634</v>
      </c>
      <c r="Q74">
        <v>1</v>
      </c>
      <c r="W74">
        <v>0</v>
      </c>
      <c r="X74">
        <v>1047452784</v>
      </c>
      <c r="Y74">
        <v>0.23799999999999999</v>
      </c>
      <c r="AA74">
        <v>0</v>
      </c>
      <c r="AB74">
        <v>10.34</v>
      </c>
      <c r="AC74">
        <v>0</v>
      </c>
      <c r="AD74">
        <v>0</v>
      </c>
      <c r="AE74">
        <v>0</v>
      </c>
      <c r="AF74">
        <v>1.7</v>
      </c>
      <c r="AG74">
        <v>0</v>
      </c>
      <c r="AH74">
        <v>0</v>
      </c>
      <c r="AI74">
        <v>1</v>
      </c>
      <c r="AJ74">
        <v>6.08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224</v>
      </c>
      <c r="AT74">
        <v>0.34</v>
      </c>
      <c r="AU74" t="s">
        <v>281</v>
      </c>
      <c r="AV74">
        <v>0</v>
      </c>
      <c r="AW74">
        <v>2</v>
      </c>
      <c r="AX74">
        <v>16500016</v>
      </c>
      <c r="AY74">
        <v>1</v>
      </c>
      <c r="AZ74">
        <v>0</v>
      </c>
      <c r="BA74">
        <v>90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Y74*Source!I43</f>
        <v>3.5699999999999996E-2</v>
      </c>
      <c r="CY74">
        <f t="shared" si="6"/>
        <v>10.34</v>
      </c>
      <c r="CZ74">
        <f t="shared" si="7"/>
        <v>1.7</v>
      </c>
      <c r="DA74">
        <f t="shared" si="8"/>
        <v>6.08</v>
      </c>
      <c r="DB74">
        <v>0</v>
      </c>
    </row>
    <row r="75" spans="1:106" x14ac:dyDescent="0.2">
      <c r="A75">
        <f>ROW(Source!A43)</f>
        <v>43</v>
      </c>
      <c r="B75">
        <v>16499878</v>
      </c>
      <c r="C75">
        <v>16500009</v>
      </c>
      <c r="D75">
        <v>15247880</v>
      </c>
      <c r="E75">
        <v>1</v>
      </c>
      <c r="F75">
        <v>1</v>
      </c>
      <c r="G75">
        <v>1</v>
      </c>
      <c r="H75">
        <v>2</v>
      </c>
      <c r="I75" t="s">
        <v>679</v>
      </c>
      <c r="J75" t="s">
        <v>680</v>
      </c>
      <c r="K75" t="s">
        <v>681</v>
      </c>
      <c r="L75">
        <v>1368</v>
      </c>
      <c r="N75">
        <v>1011</v>
      </c>
      <c r="O75" t="s">
        <v>634</v>
      </c>
      <c r="P75" t="s">
        <v>634</v>
      </c>
      <c r="Q75">
        <v>1</v>
      </c>
      <c r="W75">
        <v>0</v>
      </c>
      <c r="X75">
        <v>1544661785</v>
      </c>
      <c r="Y75">
        <v>6.3E-2</v>
      </c>
      <c r="AA75">
        <v>0</v>
      </c>
      <c r="AB75">
        <v>41.95</v>
      </c>
      <c r="AC75">
        <v>0</v>
      </c>
      <c r="AD75">
        <v>0</v>
      </c>
      <c r="AE75">
        <v>0</v>
      </c>
      <c r="AF75">
        <v>6.9</v>
      </c>
      <c r="AG75">
        <v>0</v>
      </c>
      <c r="AH75">
        <v>0</v>
      </c>
      <c r="AI75">
        <v>1</v>
      </c>
      <c r="AJ75">
        <v>6.08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224</v>
      </c>
      <c r="AT75">
        <v>0.09</v>
      </c>
      <c r="AU75" t="s">
        <v>281</v>
      </c>
      <c r="AV75">
        <v>0</v>
      </c>
      <c r="AW75">
        <v>2</v>
      </c>
      <c r="AX75">
        <v>16500017</v>
      </c>
      <c r="AY75">
        <v>1</v>
      </c>
      <c r="AZ75">
        <v>0</v>
      </c>
      <c r="BA75">
        <v>91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Y75*Source!I43</f>
        <v>9.4500000000000001E-3</v>
      </c>
      <c r="CY75">
        <f t="shared" si="6"/>
        <v>41.95</v>
      </c>
      <c r="CZ75">
        <f t="shared" si="7"/>
        <v>6.9</v>
      </c>
      <c r="DA75">
        <f t="shared" si="8"/>
        <v>6.08</v>
      </c>
      <c r="DB75">
        <v>0</v>
      </c>
    </row>
    <row r="76" spans="1:106" x14ac:dyDescent="0.2">
      <c r="A76">
        <f>ROW(Source!A43)</f>
        <v>43</v>
      </c>
      <c r="B76">
        <v>16499878</v>
      </c>
      <c r="C76">
        <v>16500009</v>
      </c>
      <c r="D76">
        <v>15249073</v>
      </c>
      <c r="E76">
        <v>1</v>
      </c>
      <c r="F76">
        <v>1</v>
      </c>
      <c r="G76">
        <v>1</v>
      </c>
      <c r="H76">
        <v>2</v>
      </c>
      <c r="I76" t="s">
        <v>631</v>
      </c>
      <c r="J76" t="s">
        <v>632</v>
      </c>
      <c r="K76" t="s">
        <v>633</v>
      </c>
      <c r="L76">
        <v>1368</v>
      </c>
      <c r="N76">
        <v>1011</v>
      </c>
      <c r="O76" t="s">
        <v>634</v>
      </c>
      <c r="P76" t="s">
        <v>634</v>
      </c>
      <c r="Q76">
        <v>1</v>
      </c>
      <c r="W76">
        <v>0</v>
      </c>
      <c r="X76">
        <v>1372534845</v>
      </c>
      <c r="Y76">
        <v>0.13299999999999998</v>
      </c>
      <c r="AA76">
        <v>0</v>
      </c>
      <c r="AB76">
        <v>399.52</v>
      </c>
      <c r="AC76">
        <v>11.6</v>
      </c>
      <c r="AD76">
        <v>0</v>
      </c>
      <c r="AE76">
        <v>0</v>
      </c>
      <c r="AF76">
        <v>65.709999999999994</v>
      </c>
      <c r="AG76">
        <v>11.6</v>
      </c>
      <c r="AH76">
        <v>0</v>
      </c>
      <c r="AI76">
        <v>1</v>
      </c>
      <c r="AJ76">
        <v>6.08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224</v>
      </c>
      <c r="AT76">
        <v>0.19</v>
      </c>
      <c r="AU76" t="s">
        <v>281</v>
      </c>
      <c r="AV76">
        <v>0</v>
      </c>
      <c r="AW76">
        <v>2</v>
      </c>
      <c r="AX76">
        <v>16500018</v>
      </c>
      <c r="AY76">
        <v>1</v>
      </c>
      <c r="AZ76">
        <v>0</v>
      </c>
      <c r="BA76">
        <v>92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Y76*Source!I43</f>
        <v>1.9949999999999996E-2</v>
      </c>
      <c r="CY76">
        <f t="shared" si="6"/>
        <v>399.52</v>
      </c>
      <c r="CZ76">
        <f t="shared" si="7"/>
        <v>65.709999999999994</v>
      </c>
      <c r="DA76">
        <f t="shared" si="8"/>
        <v>6.08</v>
      </c>
      <c r="DB76">
        <v>0</v>
      </c>
    </row>
    <row r="77" spans="1:106" x14ac:dyDescent="0.2">
      <c r="A77">
        <f>ROW(Source!A43)</f>
        <v>43</v>
      </c>
      <c r="B77">
        <v>16499878</v>
      </c>
      <c r="C77">
        <v>16500009</v>
      </c>
      <c r="D77">
        <v>15249308</v>
      </c>
      <c r="E77">
        <v>1</v>
      </c>
      <c r="F77">
        <v>1</v>
      </c>
      <c r="G77">
        <v>1</v>
      </c>
      <c r="H77">
        <v>2</v>
      </c>
      <c r="I77" t="s">
        <v>682</v>
      </c>
      <c r="J77" t="s">
        <v>683</v>
      </c>
      <c r="K77" t="s">
        <v>684</v>
      </c>
      <c r="L77">
        <v>1368</v>
      </c>
      <c r="N77">
        <v>1011</v>
      </c>
      <c r="O77" t="s">
        <v>634</v>
      </c>
      <c r="P77" t="s">
        <v>634</v>
      </c>
      <c r="Q77">
        <v>1</v>
      </c>
      <c r="W77">
        <v>0</v>
      </c>
      <c r="X77">
        <v>792402865</v>
      </c>
      <c r="Y77">
        <v>1.5680000000000001</v>
      </c>
      <c r="AA77">
        <v>0</v>
      </c>
      <c r="AB77">
        <v>7.3</v>
      </c>
      <c r="AC77">
        <v>0</v>
      </c>
      <c r="AD77">
        <v>0</v>
      </c>
      <c r="AE77">
        <v>0</v>
      </c>
      <c r="AF77">
        <v>1.2</v>
      </c>
      <c r="AG77">
        <v>0</v>
      </c>
      <c r="AH77">
        <v>0</v>
      </c>
      <c r="AI77">
        <v>1</v>
      </c>
      <c r="AJ77">
        <v>6.08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224</v>
      </c>
      <c r="AT77">
        <v>2.2400000000000002</v>
      </c>
      <c r="AU77" t="s">
        <v>281</v>
      </c>
      <c r="AV77">
        <v>0</v>
      </c>
      <c r="AW77">
        <v>2</v>
      </c>
      <c r="AX77">
        <v>16500019</v>
      </c>
      <c r="AY77">
        <v>1</v>
      </c>
      <c r="AZ77">
        <v>0</v>
      </c>
      <c r="BA77">
        <v>93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Y77*Source!I43</f>
        <v>0.23519999999999999</v>
      </c>
      <c r="CY77">
        <f t="shared" si="6"/>
        <v>7.3</v>
      </c>
      <c r="CZ77">
        <f t="shared" si="7"/>
        <v>1.2</v>
      </c>
      <c r="DA77">
        <f t="shared" si="8"/>
        <v>6.08</v>
      </c>
      <c r="DB77">
        <v>0</v>
      </c>
    </row>
    <row r="78" spans="1:106" x14ac:dyDescent="0.2">
      <c r="A78">
        <f>ROW(Source!A43)</f>
        <v>43</v>
      </c>
      <c r="B78">
        <v>16499878</v>
      </c>
      <c r="C78">
        <v>16500009</v>
      </c>
      <c r="D78">
        <v>15249355</v>
      </c>
      <c r="E78">
        <v>1</v>
      </c>
      <c r="F78">
        <v>1</v>
      </c>
      <c r="G78">
        <v>1</v>
      </c>
      <c r="H78">
        <v>2</v>
      </c>
      <c r="I78" t="s">
        <v>685</v>
      </c>
      <c r="J78" t="s">
        <v>686</v>
      </c>
      <c r="K78" t="s">
        <v>687</v>
      </c>
      <c r="L78">
        <v>1368</v>
      </c>
      <c r="N78">
        <v>1011</v>
      </c>
      <c r="O78" t="s">
        <v>634</v>
      </c>
      <c r="P78" t="s">
        <v>634</v>
      </c>
      <c r="Q78">
        <v>1</v>
      </c>
      <c r="W78">
        <v>0</v>
      </c>
      <c r="X78">
        <v>1323835807</v>
      </c>
      <c r="Y78">
        <v>10.507</v>
      </c>
      <c r="AA78">
        <v>0</v>
      </c>
      <c r="AB78">
        <v>74.84</v>
      </c>
      <c r="AC78">
        <v>0</v>
      </c>
      <c r="AD78">
        <v>0</v>
      </c>
      <c r="AE78">
        <v>0</v>
      </c>
      <c r="AF78">
        <v>12.31</v>
      </c>
      <c r="AG78">
        <v>0</v>
      </c>
      <c r="AH78">
        <v>0</v>
      </c>
      <c r="AI78">
        <v>1</v>
      </c>
      <c r="AJ78">
        <v>6.08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224</v>
      </c>
      <c r="AT78">
        <v>15.01</v>
      </c>
      <c r="AU78" t="s">
        <v>281</v>
      </c>
      <c r="AV78">
        <v>0</v>
      </c>
      <c r="AW78">
        <v>2</v>
      </c>
      <c r="AX78">
        <v>16500020</v>
      </c>
      <c r="AY78">
        <v>1</v>
      </c>
      <c r="AZ78">
        <v>0</v>
      </c>
      <c r="BA78">
        <v>94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Y78*Source!I43</f>
        <v>1.57605</v>
      </c>
      <c r="CY78">
        <f t="shared" si="6"/>
        <v>74.84</v>
      </c>
      <c r="CZ78">
        <f t="shared" si="7"/>
        <v>12.31</v>
      </c>
      <c r="DA78">
        <f t="shared" si="8"/>
        <v>6.08</v>
      </c>
      <c r="DB78">
        <v>0</v>
      </c>
    </row>
    <row r="79" spans="1:106" x14ac:dyDescent="0.2">
      <c r="A79">
        <f>ROW(Source!A43)</f>
        <v>43</v>
      </c>
      <c r="B79">
        <v>16499878</v>
      </c>
      <c r="C79">
        <v>16500009</v>
      </c>
      <c r="D79">
        <v>15165653</v>
      </c>
      <c r="E79">
        <v>1</v>
      </c>
      <c r="F79">
        <v>1</v>
      </c>
      <c r="G79">
        <v>1</v>
      </c>
      <c r="H79">
        <v>3</v>
      </c>
      <c r="I79" t="s">
        <v>688</v>
      </c>
      <c r="J79" t="s">
        <v>689</v>
      </c>
      <c r="K79" t="s">
        <v>690</v>
      </c>
      <c r="L79">
        <v>1339</v>
      </c>
      <c r="N79">
        <v>1007</v>
      </c>
      <c r="O79" t="s">
        <v>691</v>
      </c>
      <c r="P79" t="s">
        <v>691</v>
      </c>
      <c r="Q79">
        <v>1</v>
      </c>
      <c r="W79">
        <v>0</v>
      </c>
      <c r="X79">
        <v>1262771840</v>
      </c>
      <c r="Y79">
        <v>0</v>
      </c>
      <c r="AA79">
        <v>37.82</v>
      </c>
      <c r="AB79">
        <v>0</v>
      </c>
      <c r="AC79">
        <v>0</v>
      </c>
      <c r="AD79">
        <v>0</v>
      </c>
      <c r="AE79">
        <v>6.22</v>
      </c>
      <c r="AF79">
        <v>0</v>
      </c>
      <c r="AG79">
        <v>0</v>
      </c>
      <c r="AH79">
        <v>0</v>
      </c>
      <c r="AI79">
        <v>6.08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224</v>
      </c>
      <c r="AT79">
        <v>1.95</v>
      </c>
      <c r="AU79" t="s">
        <v>280</v>
      </c>
      <c r="AV79">
        <v>0</v>
      </c>
      <c r="AW79">
        <v>2</v>
      </c>
      <c r="AX79">
        <v>16500021</v>
      </c>
      <c r="AY79">
        <v>1</v>
      </c>
      <c r="AZ79">
        <v>0</v>
      </c>
      <c r="BA79">
        <v>95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Y79*Source!I43</f>
        <v>0</v>
      </c>
      <c r="CY79">
        <f t="shared" ref="CY79:CY90" si="9">AA79</f>
        <v>37.82</v>
      </c>
      <c r="CZ79">
        <f t="shared" ref="CZ79:CZ90" si="10">AE79</f>
        <v>6.22</v>
      </c>
      <c r="DA79">
        <f t="shared" ref="DA79:DA90" si="11">AI79</f>
        <v>6.08</v>
      </c>
      <c r="DB79">
        <v>0</v>
      </c>
    </row>
    <row r="80" spans="1:106" x14ac:dyDescent="0.2">
      <c r="A80">
        <f>ROW(Source!A43)</f>
        <v>43</v>
      </c>
      <c r="B80">
        <v>16499878</v>
      </c>
      <c r="C80">
        <v>16500009</v>
      </c>
      <c r="D80">
        <v>15165660</v>
      </c>
      <c r="E80">
        <v>1</v>
      </c>
      <c r="F80">
        <v>1</v>
      </c>
      <c r="G80">
        <v>1</v>
      </c>
      <c r="H80">
        <v>3</v>
      </c>
      <c r="I80" t="s">
        <v>692</v>
      </c>
      <c r="J80" t="s">
        <v>693</v>
      </c>
      <c r="K80" t="s">
        <v>694</v>
      </c>
      <c r="L80">
        <v>1346</v>
      </c>
      <c r="N80">
        <v>1009</v>
      </c>
      <c r="O80" t="s">
        <v>303</v>
      </c>
      <c r="P80" t="s">
        <v>303</v>
      </c>
      <c r="Q80">
        <v>1</v>
      </c>
      <c r="W80">
        <v>0</v>
      </c>
      <c r="X80">
        <v>1721895514</v>
      </c>
      <c r="Y80">
        <v>0</v>
      </c>
      <c r="AA80">
        <v>37.03</v>
      </c>
      <c r="AB80">
        <v>0</v>
      </c>
      <c r="AC80">
        <v>0</v>
      </c>
      <c r="AD80">
        <v>0</v>
      </c>
      <c r="AE80">
        <v>6.09</v>
      </c>
      <c r="AF80">
        <v>0</v>
      </c>
      <c r="AG80">
        <v>0</v>
      </c>
      <c r="AH80">
        <v>0</v>
      </c>
      <c r="AI80">
        <v>6.08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224</v>
      </c>
      <c r="AT80">
        <v>0.59</v>
      </c>
      <c r="AU80" t="s">
        <v>280</v>
      </c>
      <c r="AV80">
        <v>0</v>
      </c>
      <c r="AW80">
        <v>2</v>
      </c>
      <c r="AX80">
        <v>16500022</v>
      </c>
      <c r="AY80">
        <v>1</v>
      </c>
      <c r="AZ80">
        <v>0</v>
      </c>
      <c r="BA80">
        <v>96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Y80*Source!I43</f>
        <v>0</v>
      </c>
      <c r="CY80">
        <f t="shared" si="9"/>
        <v>37.03</v>
      </c>
      <c r="CZ80">
        <f t="shared" si="10"/>
        <v>6.09</v>
      </c>
      <c r="DA80">
        <f t="shared" si="11"/>
        <v>6.08</v>
      </c>
      <c r="DB80">
        <v>0</v>
      </c>
    </row>
    <row r="81" spans="1:106" x14ac:dyDescent="0.2">
      <c r="A81">
        <f>ROW(Source!A43)</f>
        <v>43</v>
      </c>
      <c r="B81">
        <v>16499878</v>
      </c>
      <c r="C81">
        <v>16500009</v>
      </c>
      <c r="D81">
        <v>15168753</v>
      </c>
      <c r="E81">
        <v>1</v>
      </c>
      <c r="F81">
        <v>1</v>
      </c>
      <c r="G81">
        <v>1</v>
      </c>
      <c r="H81">
        <v>3</v>
      </c>
      <c r="I81" t="s">
        <v>695</v>
      </c>
      <c r="J81" t="s">
        <v>696</v>
      </c>
      <c r="K81" t="s">
        <v>697</v>
      </c>
      <c r="L81">
        <v>1348</v>
      </c>
      <c r="N81">
        <v>1009</v>
      </c>
      <c r="O81" t="s">
        <v>288</v>
      </c>
      <c r="P81" t="s">
        <v>288</v>
      </c>
      <c r="Q81">
        <v>1000</v>
      </c>
      <c r="W81">
        <v>0</v>
      </c>
      <c r="X81">
        <v>1225357214</v>
      </c>
      <c r="Y81">
        <v>0</v>
      </c>
      <c r="AA81">
        <v>65353.919999999998</v>
      </c>
      <c r="AB81">
        <v>0</v>
      </c>
      <c r="AC81">
        <v>0</v>
      </c>
      <c r="AD81">
        <v>0</v>
      </c>
      <c r="AE81">
        <v>10749</v>
      </c>
      <c r="AF81">
        <v>0</v>
      </c>
      <c r="AG81">
        <v>0</v>
      </c>
      <c r="AH81">
        <v>0</v>
      </c>
      <c r="AI81">
        <v>6.08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224</v>
      </c>
      <c r="AT81">
        <v>2.3E-2</v>
      </c>
      <c r="AU81" t="s">
        <v>280</v>
      </c>
      <c r="AV81">
        <v>0</v>
      </c>
      <c r="AW81">
        <v>2</v>
      </c>
      <c r="AX81">
        <v>16500023</v>
      </c>
      <c r="AY81">
        <v>1</v>
      </c>
      <c r="AZ81">
        <v>0</v>
      </c>
      <c r="BA81">
        <v>97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0</v>
      </c>
      <c r="CY81">
        <f t="shared" si="9"/>
        <v>65353.919999999998</v>
      </c>
      <c r="CZ81">
        <f t="shared" si="10"/>
        <v>10749</v>
      </c>
      <c r="DA81">
        <f t="shared" si="11"/>
        <v>6.08</v>
      </c>
      <c r="DB81">
        <v>0</v>
      </c>
    </row>
    <row r="82" spans="1:106" x14ac:dyDescent="0.2">
      <c r="A82">
        <f>ROW(Source!A43)</f>
        <v>43</v>
      </c>
      <c r="B82">
        <v>16499878</v>
      </c>
      <c r="C82">
        <v>16500009</v>
      </c>
      <c r="D82">
        <v>15170039</v>
      </c>
      <c r="E82">
        <v>1</v>
      </c>
      <c r="F82">
        <v>1</v>
      </c>
      <c r="G82">
        <v>1</v>
      </c>
      <c r="H82">
        <v>3</v>
      </c>
      <c r="I82" t="s">
        <v>698</v>
      </c>
      <c r="J82" t="s">
        <v>699</v>
      </c>
      <c r="K82" t="s">
        <v>700</v>
      </c>
      <c r="L82">
        <v>1348</v>
      </c>
      <c r="N82">
        <v>1009</v>
      </c>
      <c r="O82" t="s">
        <v>288</v>
      </c>
      <c r="P82" t="s">
        <v>288</v>
      </c>
      <c r="Q82">
        <v>1000</v>
      </c>
      <c r="W82">
        <v>0</v>
      </c>
      <c r="X82">
        <v>1174701286</v>
      </c>
      <c r="Y82">
        <v>0</v>
      </c>
      <c r="AA82">
        <v>72826.240000000005</v>
      </c>
      <c r="AB82">
        <v>0</v>
      </c>
      <c r="AC82">
        <v>0</v>
      </c>
      <c r="AD82">
        <v>0</v>
      </c>
      <c r="AE82">
        <v>11978</v>
      </c>
      <c r="AF82">
        <v>0</v>
      </c>
      <c r="AG82">
        <v>0</v>
      </c>
      <c r="AH82">
        <v>0</v>
      </c>
      <c r="AI82">
        <v>6.08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224</v>
      </c>
      <c r="AT82">
        <v>1.0000000000000001E-5</v>
      </c>
      <c r="AU82" t="s">
        <v>280</v>
      </c>
      <c r="AV82">
        <v>0</v>
      </c>
      <c r="AW82">
        <v>2</v>
      </c>
      <c r="AX82">
        <v>16500025</v>
      </c>
      <c r="AY82">
        <v>1</v>
      </c>
      <c r="AZ82">
        <v>0</v>
      </c>
      <c r="BA82">
        <v>99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0</v>
      </c>
      <c r="CY82">
        <f t="shared" si="9"/>
        <v>72826.240000000005</v>
      </c>
      <c r="CZ82">
        <f t="shared" si="10"/>
        <v>11978</v>
      </c>
      <c r="DA82">
        <f t="shared" si="11"/>
        <v>6.08</v>
      </c>
      <c r="DB82">
        <v>0</v>
      </c>
    </row>
    <row r="83" spans="1:106" x14ac:dyDescent="0.2">
      <c r="A83">
        <f>ROW(Source!A43)</f>
        <v>43</v>
      </c>
      <c r="B83">
        <v>16499878</v>
      </c>
      <c r="C83">
        <v>16500009</v>
      </c>
      <c r="D83">
        <v>15171021</v>
      </c>
      <c r="E83">
        <v>1</v>
      </c>
      <c r="F83">
        <v>1</v>
      </c>
      <c r="G83">
        <v>1</v>
      </c>
      <c r="H83">
        <v>3</v>
      </c>
      <c r="I83" t="s">
        <v>701</v>
      </c>
      <c r="J83" t="s">
        <v>702</v>
      </c>
      <c r="K83" t="s">
        <v>703</v>
      </c>
      <c r="L83">
        <v>1348</v>
      </c>
      <c r="N83">
        <v>1009</v>
      </c>
      <c r="O83" t="s">
        <v>288</v>
      </c>
      <c r="P83" t="s">
        <v>288</v>
      </c>
      <c r="Q83">
        <v>1000</v>
      </c>
      <c r="W83">
        <v>0</v>
      </c>
      <c r="X83">
        <v>-2116243625</v>
      </c>
      <c r="Y83">
        <v>0</v>
      </c>
      <c r="AA83">
        <v>230432</v>
      </c>
      <c r="AB83">
        <v>0</v>
      </c>
      <c r="AC83">
        <v>0</v>
      </c>
      <c r="AD83">
        <v>0</v>
      </c>
      <c r="AE83">
        <v>37900</v>
      </c>
      <c r="AF83">
        <v>0</v>
      </c>
      <c r="AG83">
        <v>0</v>
      </c>
      <c r="AH83">
        <v>0</v>
      </c>
      <c r="AI83">
        <v>6.08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224</v>
      </c>
      <c r="AT83">
        <v>1E-4</v>
      </c>
      <c r="AU83" t="s">
        <v>280</v>
      </c>
      <c r="AV83">
        <v>0</v>
      </c>
      <c r="AW83">
        <v>2</v>
      </c>
      <c r="AX83">
        <v>16500026</v>
      </c>
      <c r="AY83">
        <v>1</v>
      </c>
      <c r="AZ83">
        <v>0</v>
      </c>
      <c r="BA83">
        <v>100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Y83*Source!I43</f>
        <v>0</v>
      </c>
      <c r="CY83">
        <f t="shared" si="9"/>
        <v>230432</v>
      </c>
      <c r="CZ83">
        <f t="shared" si="10"/>
        <v>37900</v>
      </c>
      <c r="DA83">
        <f t="shared" si="11"/>
        <v>6.08</v>
      </c>
      <c r="DB83">
        <v>0</v>
      </c>
    </row>
    <row r="84" spans="1:106" x14ac:dyDescent="0.2">
      <c r="A84">
        <f>ROW(Source!A43)</f>
        <v>43</v>
      </c>
      <c r="B84">
        <v>16499878</v>
      </c>
      <c r="C84">
        <v>16500009</v>
      </c>
      <c r="D84">
        <v>15188765</v>
      </c>
      <c r="E84">
        <v>1</v>
      </c>
      <c r="F84">
        <v>1</v>
      </c>
      <c r="G84">
        <v>1</v>
      </c>
      <c r="H84">
        <v>3</v>
      </c>
      <c r="I84" t="s">
        <v>704</v>
      </c>
      <c r="J84" t="s">
        <v>705</v>
      </c>
      <c r="K84" t="s">
        <v>706</v>
      </c>
      <c r="L84">
        <v>1348</v>
      </c>
      <c r="N84">
        <v>1009</v>
      </c>
      <c r="O84" t="s">
        <v>288</v>
      </c>
      <c r="P84" t="s">
        <v>288</v>
      </c>
      <c r="Q84">
        <v>1000</v>
      </c>
      <c r="W84">
        <v>0</v>
      </c>
      <c r="X84">
        <v>299819930</v>
      </c>
      <c r="Y84">
        <v>0</v>
      </c>
      <c r="AA84">
        <v>46888.959999999999</v>
      </c>
      <c r="AB84">
        <v>0</v>
      </c>
      <c r="AC84">
        <v>0</v>
      </c>
      <c r="AD84">
        <v>0</v>
      </c>
      <c r="AE84">
        <v>7712</v>
      </c>
      <c r="AF84">
        <v>0</v>
      </c>
      <c r="AG84">
        <v>0</v>
      </c>
      <c r="AH84">
        <v>0</v>
      </c>
      <c r="AI84">
        <v>6.08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224</v>
      </c>
      <c r="AT84">
        <v>2.5999999999999999E-2</v>
      </c>
      <c r="AU84" t="s">
        <v>280</v>
      </c>
      <c r="AV84">
        <v>0</v>
      </c>
      <c r="AW84">
        <v>2</v>
      </c>
      <c r="AX84">
        <v>16500027</v>
      </c>
      <c r="AY84">
        <v>1</v>
      </c>
      <c r="AZ84">
        <v>0</v>
      </c>
      <c r="BA84">
        <v>101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Y84*Source!I43</f>
        <v>0</v>
      </c>
      <c r="CY84">
        <f t="shared" si="9"/>
        <v>46888.959999999999</v>
      </c>
      <c r="CZ84">
        <f t="shared" si="10"/>
        <v>7712</v>
      </c>
      <c r="DA84">
        <f t="shared" si="11"/>
        <v>6.08</v>
      </c>
      <c r="DB84">
        <v>0</v>
      </c>
    </row>
    <row r="85" spans="1:106" x14ac:dyDescent="0.2">
      <c r="A85">
        <f>ROW(Source!A43)</f>
        <v>43</v>
      </c>
      <c r="B85">
        <v>16499878</v>
      </c>
      <c r="C85">
        <v>16500009</v>
      </c>
      <c r="D85">
        <v>15190794</v>
      </c>
      <c r="E85">
        <v>1</v>
      </c>
      <c r="F85">
        <v>1</v>
      </c>
      <c r="G85">
        <v>1</v>
      </c>
      <c r="H85">
        <v>3</v>
      </c>
      <c r="I85" t="s">
        <v>707</v>
      </c>
      <c r="J85" t="s">
        <v>708</v>
      </c>
      <c r="K85" t="s">
        <v>709</v>
      </c>
      <c r="L85">
        <v>1302</v>
      </c>
      <c r="N85">
        <v>1003</v>
      </c>
      <c r="O85" t="s">
        <v>710</v>
      </c>
      <c r="P85" t="s">
        <v>710</v>
      </c>
      <c r="Q85">
        <v>10</v>
      </c>
      <c r="W85">
        <v>0</v>
      </c>
      <c r="X85">
        <v>-1640127157</v>
      </c>
      <c r="Y85">
        <v>0</v>
      </c>
      <c r="AA85">
        <v>305.45999999999998</v>
      </c>
      <c r="AB85">
        <v>0</v>
      </c>
      <c r="AC85">
        <v>0</v>
      </c>
      <c r="AD85">
        <v>0</v>
      </c>
      <c r="AE85">
        <v>50.24</v>
      </c>
      <c r="AF85">
        <v>0</v>
      </c>
      <c r="AG85">
        <v>0</v>
      </c>
      <c r="AH85">
        <v>0</v>
      </c>
      <c r="AI85">
        <v>6.08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224</v>
      </c>
      <c r="AT85">
        <v>1.8700000000000001E-2</v>
      </c>
      <c r="AU85" t="s">
        <v>280</v>
      </c>
      <c r="AV85">
        <v>0</v>
      </c>
      <c r="AW85">
        <v>2</v>
      </c>
      <c r="AX85">
        <v>16500029</v>
      </c>
      <c r="AY85">
        <v>1</v>
      </c>
      <c r="AZ85">
        <v>0</v>
      </c>
      <c r="BA85">
        <v>103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Y85*Source!I43</f>
        <v>0</v>
      </c>
      <c r="CY85">
        <f t="shared" si="9"/>
        <v>305.45999999999998</v>
      </c>
      <c r="CZ85">
        <f t="shared" si="10"/>
        <v>50.24</v>
      </c>
      <c r="DA85">
        <f t="shared" si="11"/>
        <v>6.08</v>
      </c>
      <c r="DB85">
        <v>0</v>
      </c>
    </row>
    <row r="86" spans="1:106" x14ac:dyDescent="0.2">
      <c r="A86">
        <f>ROW(Source!A43)</f>
        <v>43</v>
      </c>
      <c r="B86">
        <v>16499878</v>
      </c>
      <c r="C86">
        <v>16500009</v>
      </c>
      <c r="D86">
        <v>15191153</v>
      </c>
      <c r="E86">
        <v>1</v>
      </c>
      <c r="F86">
        <v>1</v>
      </c>
      <c r="G86">
        <v>1</v>
      </c>
      <c r="H86">
        <v>3</v>
      </c>
      <c r="I86" t="s">
        <v>711</v>
      </c>
      <c r="J86" t="s">
        <v>712</v>
      </c>
      <c r="K86" t="s">
        <v>713</v>
      </c>
      <c r="L86">
        <v>1348</v>
      </c>
      <c r="N86">
        <v>1009</v>
      </c>
      <c r="O86" t="s">
        <v>288</v>
      </c>
      <c r="P86" t="s">
        <v>288</v>
      </c>
      <c r="Q86">
        <v>1000</v>
      </c>
      <c r="W86">
        <v>0</v>
      </c>
      <c r="X86">
        <v>-1396314973</v>
      </c>
      <c r="Y86">
        <v>0</v>
      </c>
      <c r="AA86">
        <v>27087.62</v>
      </c>
      <c r="AB86">
        <v>0</v>
      </c>
      <c r="AC86">
        <v>0</v>
      </c>
      <c r="AD86">
        <v>0</v>
      </c>
      <c r="AE86">
        <v>4455.2</v>
      </c>
      <c r="AF86">
        <v>0</v>
      </c>
      <c r="AG86">
        <v>0</v>
      </c>
      <c r="AH86">
        <v>0</v>
      </c>
      <c r="AI86">
        <v>6.08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224</v>
      </c>
      <c r="AT86">
        <v>3.0000000000000001E-5</v>
      </c>
      <c r="AU86" t="s">
        <v>280</v>
      </c>
      <c r="AV86">
        <v>0</v>
      </c>
      <c r="AW86">
        <v>2</v>
      </c>
      <c r="AX86">
        <v>16500030</v>
      </c>
      <c r="AY86">
        <v>1</v>
      </c>
      <c r="AZ86">
        <v>0</v>
      </c>
      <c r="BA86">
        <v>104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Y86*Source!I43</f>
        <v>0</v>
      </c>
      <c r="CY86">
        <f t="shared" si="9"/>
        <v>27087.62</v>
      </c>
      <c r="CZ86">
        <f t="shared" si="10"/>
        <v>4455.2</v>
      </c>
      <c r="DA86">
        <f t="shared" si="11"/>
        <v>6.08</v>
      </c>
      <c r="DB86">
        <v>0</v>
      </c>
    </row>
    <row r="87" spans="1:106" x14ac:dyDescent="0.2">
      <c r="A87">
        <f>ROW(Source!A43)</f>
        <v>43</v>
      </c>
      <c r="B87">
        <v>16499878</v>
      </c>
      <c r="C87">
        <v>16500009</v>
      </c>
      <c r="D87">
        <v>15191913</v>
      </c>
      <c r="E87">
        <v>1</v>
      </c>
      <c r="F87">
        <v>1</v>
      </c>
      <c r="G87">
        <v>1</v>
      </c>
      <c r="H87">
        <v>3</v>
      </c>
      <c r="I87" t="s">
        <v>714</v>
      </c>
      <c r="J87" t="s">
        <v>715</v>
      </c>
      <c r="K87" t="s">
        <v>716</v>
      </c>
      <c r="L87">
        <v>1348</v>
      </c>
      <c r="N87">
        <v>1009</v>
      </c>
      <c r="O87" t="s">
        <v>288</v>
      </c>
      <c r="P87" t="s">
        <v>288</v>
      </c>
      <c r="Q87">
        <v>1000</v>
      </c>
      <c r="W87">
        <v>0</v>
      </c>
      <c r="X87">
        <v>900832145</v>
      </c>
      <c r="Y87">
        <v>0</v>
      </c>
      <c r="AA87">
        <v>29913.599999999999</v>
      </c>
      <c r="AB87">
        <v>0</v>
      </c>
      <c r="AC87">
        <v>0</v>
      </c>
      <c r="AD87">
        <v>0</v>
      </c>
      <c r="AE87">
        <v>4920</v>
      </c>
      <c r="AF87">
        <v>0</v>
      </c>
      <c r="AG87">
        <v>0</v>
      </c>
      <c r="AH87">
        <v>0</v>
      </c>
      <c r="AI87">
        <v>6.08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224</v>
      </c>
      <c r="AT87">
        <v>1.9400000000000001E-3</v>
      </c>
      <c r="AU87" t="s">
        <v>280</v>
      </c>
      <c r="AV87">
        <v>0</v>
      </c>
      <c r="AW87">
        <v>2</v>
      </c>
      <c r="AX87">
        <v>16500031</v>
      </c>
      <c r="AY87">
        <v>1</v>
      </c>
      <c r="AZ87">
        <v>0</v>
      </c>
      <c r="BA87">
        <v>105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Y87*Source!I43</f>
        <v>0</v>
      </c>
      <c r="CY87">
        <f t="shared" si="9"/>
        <v>29913.599999999999</v>
      </c>
      <c r="CZ87">
        <f t="shared" si="10"/>
        <v>4920</v>
      </c>
      <c r="DA87">
        <f t="shared" si="11"/>
        <v>6.08</v>
      </c>
      <c r="DB87">
        <v>0</v>
      </c>
    </row>
    <row r="88" spans="1:106" x14ac:dyDescent="0.2">
      <c r="A88">
        <f>ROW(Source!A43)</f>
        <v>43</v>
      </c>
      <c r="B88">
        <v>16499878</v>
      </c>
      <c r="C88">
        <v>16500009</v>
      </c>
      <c r="D88">
        <v>15195820</v>
      </c>
      <c r="E88">
        <v>1</v>
      </c>
      <c r="F88">
        <v>1</v>
      </c>
      <c r="G88">
        <v>1</v>
      </c>
      <c r="H88">
        <v>3</v>
      </c>
      <c r="I88" t="s">
        <v>717</v>
      </c>
      <c r="J88" t="s">
        <v>718</v>
      </c>
      <c r="K88" t="s">
        <v>719</v>
      </c>
      <c r="L88">
        <v>1339</v>
      </c>
      <c r="N88">
        <v>1007</v>
      </c>
      <c r="O88" t="s">
        <v>691</v>
      </c>
      <c r="P88" t="s">
        <v>691</v>
      </c>
      <c r="Q88">
        <v>1</v>
      </c>
      <c r="W88">
        <v>0</v>
      </c>
      <c r="X88">
        <v>1283004816</v>
      </c>
      <c r="Y88">
        <v>0</v>
      </c>
      <c r="AA88">
        <v>10336</v>
      </c>
      <c r="AB88">
        <v>0</v>
      </c>
      <c r="AC88">
        <v>0</v>
      </c>
      <c r="AD88">
        <v>0</v>
      </c>
      <c r="AE88">
        <v>1700</v>
      </c>
      <c r="AF88">
        <v>0</v>
      </c>
      <c r="AG88">
        <v>0</v>
      </c>
      <c r="AH88">
        <v>0</v>
      </c>
      <c r="AI88">
        <v>6.08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224</v>
      </c>
      <c r="AT88">
        <v>1.0300000000000001E-3</v>
      </c>
      <c r="AU88" t="s">
        <v>280</v>
      </c>
      <c r="AV88">
        <v>0</v>
      </c>
      <c r="AW88">
        <v>2</v>
      </c>
      <c r="AX88">
        <v>16500032</v>
      </c>
      <c r="AY88">
        <v>1</v>
      </c>
      <c r="AZ88">
        <v>0</v>
      </c>
      <c r="BA88">
        <v>106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Y88*Source!I43</f>
        <v>0</v>
      </c>
      <c r="CY88">
        <f t="shared" si="9"/>
        <v>10336</v>
      </c>
      <c r="CZ88">
        <f t="shared" si="10"/>
        <v>1700</v>
      </c>
      <c r="DA88">
        <f t="shared" si="11"/>
        <v>6.08</v>
      </c>
      <c r="DB88">
        <v>0</v>
      </c>
    </row>
    <row r="89" spans="1:106" x14ac:dyDescent="0.2">
      <c r="A89">
        <f>ROW(Source!A43)</f>
        <v>43</v>
      </c>
      <c r="B89">
        <v>16499878</v>
      </c>
      <c r="C89">
        <v>16500009</v>
      </c>
      <c r="D89">
        <v>15203461</v>
      </c>
      <c r="E89">
        <v>1</v>
      </c>
      <c r="F89">
        <v>1</v>
      </c>
      <c r="G89">
        <v>1</v>
      </c>
      <c r="H89">
        <v>3</v>
      </c>
      <c r="I89" t="s">
        <v>720</v>
      </c>
      <c r="J89" t="s">
        <v>721</v>
      </c>
      <c r="K89" t="s">
        <v>722</v>
      </c>
      <c r="L89">
        <v>1348</v>
      </c>
      <c r="N89">
        <v>1009</v>
      </c>
      <c r="O89" t="s">
        <v>288</v>
      </c>
      <c r="P89" t="s">
        <v>288</v>
      </c>
      <c r="Q89">
        <v>1000</v>
      </c>
      <c r="W89">
        <v>0</v>
      </c>
      <c r="X89">
        <v>-1655298345</v>
      </c>
      <c r="Y89">
        <v>0</v>
      </c>
      <c r="AA89">
        <v>94969.600000000006</v>
      </c>
      <c r="AB89">
        <v>0</v>
      </c>
      <c r="AC89">
        <v>0</v>
      </c>
      <c r="AD89">
        <v>0</v>
      </c>
      <c r="AE89">
        <v>15620</v>
      </c>
      <c r="AF89">
        <v>0</v>
      </c>
      <c r="AG89">
        <v>0</v>
      </c>
      <c r="AH89">
        <v>0</v>
      </c>
      <c r="AI89">
        <v>6.08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224</v>
      </c>
      <c r="AT89">
        <v>3.1E-4</v>
      </c>
      <c r="AU89" t="s">
        <v>280</v>
      </c>
      <c r="AV89">
        <v>0</v>
      </c>
      <c r="AW89">
        <v>2</v>
      </c>
      <c r="AX89">
        <v>16500033</v>
      </c>
      <c r="AY89">
        <v>1</v>
      </c>
      <c r="AZ89">
        <v>0</v>
      </c>
      <c r="BA89">
        <v>107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Y89*Source!I43</f>
        <v>0</v>
      </c>
      <c r="CY89">
        <f t="shared" si="9"/>
        <v>94969.600000000006</v>
      </c>
      <c r="CZ89">
        <f t="shared" si="10"/>
        <v>15620</v>
      </c>
      <c r="DA89">
        <f t="shared" si="11"/>
        <v>6.08</v>
      </c>
      <c r="DB89">
        <v>0</v>
      </c>
    </row>
    <row r="90" spans="1:106" x14ac:dyDescent="0.2">
      <c r="A90">
        <f>ROW(Source!A43)</f>
        <v>43</v>
      </c>
      <c r="B90">
        <v>16499878</v>
      </c>
      <c r="C90">
        <v>16500009</v>
      </c>
      <c r="D90">
        <v>15204663</v>
      </c>
      <c r="E90">
        <v>1</v>
      </c>
      <c r="F90">
        <v>1</v>
      </c>
      <c r="G90">
        <v>1</v>
      </c>
      <c r="H90">
        <v>3</v>
      </c>
      <c r="I90" t="s">
        <v>723</v>
      </c>
      <c r="J90" t="s">
        <v>724</v>
      </c>
      <c r="K90" t="s">
        <v>725</v>
      </c>
      <c r="L90">
        <v>1348</v>
      </c>
      <c r="N90">
        <v>1009</v>
      </c>
      <c r="O90" t="s">
        <v>288</v>
      </c>
      <c r="P90" t="s">
        <v>288</v>
      </c>
      <c r="Q90">
        <v>1000</v>
      </c>
      <c r="W90">
        <v>0</v>
      </c>
      <c r="X90">
        <v>-639604785</v>
      </c>
      <c r="Y90">
        <v>0</v>
      </c>
      <c r="AA90">
        <v>57273.599999999999</v>
      </c>
      <c r="AB90">
        <v>0</v>
      </c>
      <c r="AC90">
        <v>0</v>
      </c>
      <c r="AD90">
        <v>0</v>
      </c>
      <c r="AE90">
        <v>9420</v>
      </c>
      <c r="AF90">
        <v>0</v>
      </c>
      <c r="AG90">
        <v>0</v>
      </c>
      <c r="AH90">
        <v>0</v>
      </c>
      <c r="AI90">
        <v>6.08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224</v>
      </c>
      <c r="AT90">
        <v>5.9999999999999995E-4</v>
      </c>
      <c r="AU90" t="s">
        <v>280</v>
      </c>
      <c r="AV90">
        <v>0</v>
      </c>
      <c r="AW90">
        <v>2</v>
      </c>
      <c r="AX90">
        <v>16500034</v>
      </c>
      <c r="AY90">
        <v>1</v>
      </c>
      <c r="AZ90">
        <v>0</v>
      </c>
      <c r="BA90">
        <v>108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Y90*Source!I43</f>
        <v>0</v>
      </c>
      <c r="CY90">
        <f t="shared" si="9"/>
        <v>57273.599999999999</v>
      </c>
      <c r="CZ90">
        <f t="shared" si="10"/>
        <v>9420</v>
      </c>
      <c r="DA90">
        <f t="shared" si="11"/>
        <v>6.08</v>
      </c>
      <c r="DB90">
        <v>0</v>
      </c>
    </row>
    <row r="91" spans="1:106" x14ac:dyDescent="0.2">
      <c r="A91">
        <f>ROW(Source!A44)</f>
        <v>44</v>
      </c>
      <c r="B91">
        <v>16499835</v>
      </c>
      <c r="C91">
        <v>16500038</v>
      </c>
      <c r="D91">
        <v>15430517</v>
      </c>
      <c r="E91">
        <v>1</v>
      </c>
      <c r="F91">
        <v>1</v>
      </c>
      <c r="G91">
        <v>1</v>
      </c>
      <c r="H91">
        <v>1</v>
      </c>
      <c r="I91" t="s">
        <v>638</v>
      </c>
      <c r="J91" t="s">
        <v>224</v>
      </c>
      <c r="K91" t="s">
        <v>639</v>
      </c>
      <c r="L91">
        <v>1191</v>
      </c>
      <c r="N91">
        <v>1013</v>
      </c>
      <c r="O91" t="s">
        <v>628</v>
      </c>
      <c r="P91" t="s">
        <v>628</v>
      </c>
      <c r="Q91">
        <v>1</v>
      </c>
      <c r="W91">
        <v>0</v>
      </c>
      <c r="X91">
        <v>735429535</v>
      </c>
      <c r="Y91">
        <v>22.82</v>
      </c>
      <c r="AA91">
        <v>0</v>
      </c>
      <c r="AB91">
        <v>0</v>
      </c>
      <c r="AC91">
        <v>0</v>
      </c>
      <c r="AD91">
        <v>7.8</v>
      </c>
      <c r="AE91">
        <v>0</v>
      </c>
      <c r="AF91">
        <v>0</v>
      </c>
      <c r="AG91">
        <v>0</v>
      </c>
      <c r="AH91">
        <v>7.8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224</v>
      </c>
      <c r="AT91">
        <v>22.82</v>
      </c>
      <c r="AU91" t="s">
        <v>224</v>
      </c>
      <c r="AV91">
        <v>1</v>
      </c>
      <c r="AW91">
        <v>2</v>
      </c>
      <c r="AX91">
        <v>16500041</v>
      </c>
      <c r="AY91">
        <v>1</v>
      </c>
      <c r="AZ91">
        <v>0</v>
      </c>
      <c r="BA91">
        <v>109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Y91*Source!I44</f>
        <v>132.67547999999999</v>
      </c>
      <c r="CY91">
        <f>AD91</f>
        <v>7.8</v>
      </c>
      <c r="CZ91">
        <f>AH91</f>
        <v>7.8</v>
      </c>
      <c r="DA91">
        <f>AL91</f>
        <v>1</v>
      </c>
      <c r="DB91">
        <v>0</v>
      </c>
    </row>
    <row r="92" spans="1:106" x14ac:dyDescent="0.2">
      <c r="A92">
        <f>ROW(Source!A45)</f>
        <v>45</v>
      </c>
      <c r="B92">
        <v>16499878</v>
      </c>
      <c r="C92">
        <v>16500038</v>
      </c>
      <c r="D92">
        <v>15430517</v>
      </c>
      <c r="E92">
        <v>1</v>
      </c>
      <c r="F92">
        <v>1</v>
      </c>
      <c r="G92">
        <v>1</v>
      </c>
      <c r="H92">
        <v>1</v>
      </c>
      <c r="I92" t="s">
        <v>638</v>
      </c>
      <c r="J92" t="s">
        <v>224</v>
      </c>
      <c r="K92" t="s">
        <v>639</v>
      </c>
      <c r="L92">
        <v>1191</v>
      </c>
      <c r="N92">
        <v>1013</v>
      </c>
      <c r="O92" t="s">
        <v>628</v>
      </c>
      <c r="P92" t="s">
        <v>628</v>
      </c>
      <c r="Q92">
        <v>1</v>
      </c>
      <c r="W92">
        <v>0</v>
      </c>
      <c r="X92">
        <v>735429535</v>
      </c>
      <c r="Y92">
        <v>22.82</v>
      </c>
      <c r="AA92">
        <v>0</v>
      </c>
      <c r="AB92">
        <v>0</v>
      </c>
      <c r="AC92">
        <v>0</v>
      </c>
      <c r="AD92">
        <v>47.42</v>
      </c>
      <c r="AE92">
        <v>0</v>
      </c>
      <c r="AF92">
        <v>0</v>
      </c>
      <c r="AG92">
        <v>0</v>
      </c>
      <c r="AH92">
        <v>7.8</v>
      </c>
      <c r="AI92">
        <v>1</v>
      </c>
      <c r="AJ92">
        <v>1</v>
      </c>
      <c r="AK92">
        <v>1</v>
      </c>
      <c r="AL92">
        <v>6.08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224</v>
      </c>
      <c r="AT92">
        <v>22.82</v>
      </c>
      <c r="AU92" t="s">
        <v>224</v>
      </c>
      <c r="AV92">
        <v>1</v>
      </c>
      <c r="AW92">
        <v>2</v>
      </c>
      <c r="AX92">
        <v>16500041</v>
      </c>
      <c r="AY92">
        <v>1</v>
      </c>
      <c r="AZ92">
        <v>0</v>
      </c>
      <c r="BA92">
        <v>110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Y92*Source!I45</f>
        <v>132.67547999999999</v>
      </c>
      <c r="CY92">
        <f>AD92</f>
        <v>47.42</v>
      </c>
      <c r="CZ92">
        <f>AH92</f>
        <v>7.8</v>
      </c>
      <c r="DA92">
        <f>AL92</f>
        <v>6.08</v>
      </c>
      <c r="DB92">
        <v>0</v>
      </c>
    </row>
    <row r="93" spans="1:106" x14ac:dyDescent="0.2">
      <c r="A93">
        <f>ROW(Source!A46)</f>
        <v>46</v>
      </c>
      <c r="B93">
        <v>16499835</v>
      </c>
      <c r="C93">
        <v>16500042</v>
      </c>
      <c r="D93">
        <v>15436556</v>
      </c>
      <c r="E93">
        <v>1</v>
      </c>
      <c r="F93">
        <v>1</v>
      </c>
      <c r="G93">
        <v>1</v>
      </c>
      <c r="H93">
        <v>1</v>
      </c>
      <c r="I93" t="s">
        <v>726</v>
      </c>
      <c r="J93" t="s">
        <v>224</v>
      </c>
      <c r="K93" t="s">
        <v>727</v>
      </c>
      <c r="L93">
        <v>1191</v>
      </c>
      <c r="N93">
        <v>1013</v>
      </c>
      <c r="O93" t="s">
        <v>628</v>
      </c>
      <c r="P93" t="s">
        <v>628</v>
      </c>
      <c r="Q93">
        <v>1</v>
      </c>
      <c r="W93">
        <v>0</v>
      </c>
      <c r="X93">
        <v>1069510174</v>
      </c>
      <c r="Y93">
        <v>23.022999999999996</v>
      </c>
      <c r="AA93">
        <v>0</v>
      </c>
      <c r="AB93">
        <v>0</v>
      </c>
      <c r="AC93">
        <v>0</v>
      </c>
      <c r="AD93">
        <v>9.6199999999999992</v>
      </c>
      <c r="AE93">
        <v>0</v>
      </c>
      <c r="AF93">
        <v>0</v>
      </c>
      <c r="AG93">
        <v>0</v>
      </c>
      <c r="AH93">
        <v>9.6199999999999992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224</v>
      </c>
      <c r="AT93">
        <v>20.02</v>
      </c>
      <c r="AU93" t="s">
        <v>240</v>
      </c>
      <c r="AV93">
        <v>1</v>
      </c>
      <c r="AW93">
        <v>2</v>
      </c>
      <c r="AX93">
        <v>16500043</v>
      </c>
      <c r="AY93">
        <v>1</v>
      </c>
      <c r="AZ93">
        <v>0</v>
      </c>
      <c r="BA93">
        <v>111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Y93*Source!I46</f>
        <v>71.693621999999991</v>
      </c>
      <c r="CY93">
        <f>AD93</f>
        <v>9.6199999999999992</v>
      </c>
      <c r="CZ93">
        <f>AH93</f>
        <v>9.6199999999999992</v>
      </c>
      <c r="DA93">
        <f>AL93</f>
        <v>1</v>
      </c>
      <c r="DB93">
        <v>0</v>
      </c>
    </row>
    <row r="94" spans="1:106" x14ac:dyDescent="0.2">
      <c r="A94">
        <f>ROW(Source!A46)</f>
        <v>46</v>
      </c>
      <c r="B94">
        <v>16499835</v>
      </c>
      <c r="C94">
        <v>16500042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629</v>
      </c>
      <c r="J94" t="s">
        <v>224</v>
      </c>
      <c r="K94" t="s">
        <v>630</v>
      </c>
      <c r="L94">
        <v>1191</v>
      </c>
      <c r="N94">
        <v>1013</v>
      </c>
      <c r="O94" t="s">
        <v>628</v>
      </c>
      <c r="P94" t="s">
        <v>628</v>
      </c>
      <c r="Q94">
        <v>1</v>
      </c>
      <c r="W94">
        <v>0</v>
      </c>
      <c r="X94">
        <v>-1417349443</v>
      </c>
      <c r="Y94">
        <v>0.04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224</v>
      </c>
      <c r="AT94">
        <v>0.04</v>
      </c>
      <c r="AU94" t="s">
        <v>224</v>
      </c>
      <c r="AV94">
        <v>2</v>
      </c>
      <c r="AW94">
        <v>2</v>
      </c>
      <c r="AX94">
        <v>16500044</v>
      </c>
      <c r="AY94">
        <v>1</v>
      </c>
      <c r="AZ94">
        <v>2048</v>
      </c>
      <c r="BA94">
        <v>112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Y94*Source!I46</f>
        <v>0.12456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ROW(Source!A46)</f>
        <v>46</v>
      </c>
      <c r="B95">
        <v>16499835</v>
      </c>
      <c r="C95">
        <v>16500042</v>
      </c>
      <c r="D95">
        <v>15247974</v>
      </c>
      <c r="E95">
        <v>1</v>
      </c>
      <c r="F95">
        <v>1</v>
      </c>
      <c r="G95">
        <v>1</v>
      </c>
      <c r="H95">
        <v>2</v>
      </c>
      <c r="I95" t="s">
        <v>640</v>
      </c>
      <c r="J95" t="s">
        <v>641</v>
      </c>
      <c r="K95" t="s">
        <v>642</v>
      </c>
      <c r="L95">
        <v>1368</v>
      </c>
      <c r="N95">
        <v>1011</v>
      </c>
      <c r="O95" t="s">
        <v>634</v>
      </c>
      <c r="P95" t="s">
        <v>634</v>
      </c>
      <c r="Q95">
        <v>1</v>
      </c>
      <c r="W95">
        <v>0</v>
      </c>
      <c r="X95">
        <v>1188625873</v>
      </c>
      <c r="Y95">
        <v>1.2500000000000001E-2</v>
      </c>
      <c r="AA95">
        <v>0</v>
      </c>
      <c r="AB95">
        <v>31.26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224</v>
      </c>
      <c r="AT95">
        <v>0.01</v>
      </c>
      <c r="AU95" t="s">
        <v>239</v>
      </c>
      <c r="AV95">
        <v>0</v>
      </c>
      <c r="AW95">
        <v>2</v>
      </c>
      <c r="AX95">
        <v>16500045</v>
      </c>
      <c r="AY95">
        <v>1</v>
      </c>
      <c r="AZ95">
        <v>0</v>
      </c>
      <c r="BA95">
        <v>113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Y95*Source!I46</f>
        <v>3.8925000000000001E-2</v>
      </c>
      <c r="CY95">
        <f>AB95</f>
        <v>31.26</v>
      </c>
      <c r="CZ95">
        <f>AF95</f>
        <v>31.26</v>
      </c>
      <c r="DA95">
        <f>AJ95</f>
        <v>1</v>
      </c>
      <c r="DB95">
        <v>0</v>
      </c>
    </row>
    <row r="96" spans="1:106" x14ac:dyDescent="0.2">
      <c r="A96">
        <f>ROW(Source!A46)</f>
        <v>46</v>
      </c>
      <c r="B96">
        <v>16499835</v>
      </c>
      <c r="C96">
        <v>16500042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631</v>
      </c>
      <c r="J96" t="s">
        <v>632</v>
      </c>
      <c r="K96" t="s">
        <v>633</v>
      </c>
      <c r="L96">
        <v>1368</v>
      </c>
      <c r="N96">
        <v>1011</v>
      </c>
      <c r="O96" t="s">
        <v>634</v>
      </c>
      <c r="P96" t="s">
        <v>634</v>
      </c>
      <c r="Q96">
        <v>1</v>
      </c>
      <c r="W96">
        <v>0</v>
      </c>
      <c r="X96">
        <v>1372534845</v>
      </c>
      <c r="Y96">
        <v>3.7499999999999999E-2</v>
      </c>
      <c r="AA96">
        <v>0</v>
      </c>
      <c r="AB96">
        <v>65.709999999999994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224</v>
      </c>
      <c r="AT96">
        <v>0.03</v>
      </c>
      <c r="AU96" t="s">
        <v>239</v>
      </c>
      <c r="AV96">
        <v>0</v>
      </c>
      <c r="AW96">
        <v>2</v>
      </c>
      <c r="AX96">
        <v>16500046</v>
      </c>
      <c r="AY96">
        <v>1</v>
      </c>
      <c r="AZ96">
        <v>0</v>
      </c>
      <c r="BA96">
        <v>114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Y96*Source!I46</f>
        <v>0.11677499999999999</v>
      </c>
      <c r="CY96">
        <f>AB96</f>
        <v>65.709999999999994</v>
      </c>
      <c r="CZ96">
        <f>AF96</f>
        <v>65.709999999999994</v>
      </c>
      <c r="DA96">
        <f>AJ96</f>
        <v>1</v>
      </c>
      <c r="DB96">
        <v>0</v>
      </c>
    </row>
    <row r="97" spans="1:106" x14ac:dyDescent="0.2">
      <c r="A97">
        <f>ROW(Source!A46)</f>
        <v>46</v>
      </c>
      <c r="B97">
        <v>16499835</v>
      </c>
      <c r="C97">
        <v>16500042</v>
      </c>
      <c r="D97">
        <v>15171018</v>
      </c>
      <c r="E97">
        <v>1</v>
      </c>
      <c r="F97">
        <v>1</v>
      </c>
      <c r="G97">
        <v>1</v>
      </c>
      <c r="H97">
        <v>3</v>
      </c>
      <c r="I97" t="s">
        <v>728</v>
      </c>
      <c r="J97" t="s">
        <v>729</v>
      </c>
      <c r="K97" t="s">
        <v>730</v>
      </c>
      <c r="L97">
        <v>1346</v>
      </c>
      <c r="N97">
        <v>1009</v>
      </c>
      <c r="O97" t="s">
        <v>303</v>
      </c>
      <c r="P97" t="s">
        <v>303</v>
      </c>
      <c r="Q97">
        <v>1</v>
      </c>
      <c r="W97">
        <v>0</v>
      </c>
      <c r="X97">
        <v>813963326</v>
      </c>
      <c r="Y97">
        <v>0.2</v>
      </c>
      <c r="AA97">
        <v>1.82</v>
      </c>
      <c r="AB97">
        <v>0</v>
      </c>
      <c r="AC97">
        <v>0</v>
      </c>
      <c r="AD97">
        <v>0</v>
      </c>
      <c r="AE97">
        <v>1.82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224</v>
      </c>
      <c r="AT97">
        <v>0.2</v>
      </c>
      <c r="AU97" t="s">
        <v>224</v>
      </c>
      <c r="AV97">
        <v>0</v>
      </c>
      <c r="AW97">
        <v>2</v>
      </c>
      <c r="AX97">
        <v>16500047</v>
      </c>
      <c r="AY97">
        <v>1</v>
      </c>
      <c r="AZ97">
        <v>0</v>
      </c>
      <c r="BA97">
        <v>115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Y97*Source!I46</f>
        <v>0.62280000000000002</v>
      </c>
      <c r="CY97">
        <f>AA97</f>
        <v>1.82</v>
      </c>
      <c r="CZ97">
        <f>AE97</f>
        <v>1.82</v>
      </c>
      <c r="DA97">
        <f>AI97</f>
        <v>1</v>
      </c>
      <c r="DB97">
        <v>0</v>
      </c>
    </row>
    <row r="98" spans="1:106" x14ac:dyDescent="0.2">
      <c r="A98">
        <f>ROW(Source!A46)</f>
        <v>46</v>
      </c>
      <c r="B98">
        <v>16499835</v>
      </c>
      <c r="C98">
        <v>16500042</v>
      </c>
      <c r="D98">
        <v>15203485</v>
      </c>
      <c r="E98">
        <v>1</v>
      </c>
      <c r="F98">
        <v>1</v>
      </c>
      <c r="G98">
        <v>1</v>
      </c>
      <c r="H98">
        <v>3</v>
      </c>
      <c r="I98" t="s">
        <v>301</v>
      </c>
      <c r="J98" t="s">
        <v>304</v>
      </c>
      <c r="K98" t="s">
        <v>302</v>
      </c>
      <c r="L98">
        <v>1346</v>
      </c>
      <c r="N98">
        <v>1009</v>
      </c>
      <c r="O98" t="s">
        <v>303</v>
      </c>
      <c r="P98" t="s">
        <v>303</v>
      </c>
      <c r="Q98">
        <v>1</v>
      </c>
      <c r="W98">
        <v>0</v>
      </c>
      <c r="X98">
        <v>-1736829369</v>
      </c>
      <c r="Y98">
        <v>20</v>
      </c>
      <c r="AA98">
        <v>15.25</v>
      </c>
      <c r="AB98">
        <v>0</v>
      </c>
      <c r="AC98">
        <v>0</v>
      </c>
      <c r="AD98">
        <v>0</v>
      </c>
      <c r="AE98">
        <v>15.25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224</v>
      </c>
      <c r="AT98">
        <v>20</v>
      </c>
      <c r="AU98" t="s">
        <v>224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224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Y98*Source!I46</f>
        <v>62.28</v>
      </c>
      <c r="CY98">
        <f>AA98</f>
        <v>15.25</v>
      </c>
      <c r="CZ98">
        <f>AE98</f>
        <v>15.25</v>
      </c>
      <c r="DA98">
        <f>AI98</f>
        <v>1</v>
      </c>
      <c r="DB98">
        <v>0</v>
      </c>
    </row>
    <row r="99" spans="1:106" x14ac:dyDescent="0.2">
      <c r="A99">
        <f>ROW(Source!A47)</f>
        <v>47</v>
      </c>
      <c r="B99">
        <v>16499878</v>
      </c>
      <c r="C99">
        <v>16500042</v>
      </c>
      <c r="D99">
        <v>15436556</v>
      </c>
      <c r="E99">
        <v>1</v>
      </c>
      <c r="F99">
        <v>1</v>
      </c>
      <c r="G99">
        <v>1</v>
      </c>
      <c r="H99">
        <v>1</v>
      </c>
      <c r="I99" t="s">
        <v>726</v>
      </c>
      <c r="J99" t="s">
        <v>224</v>
      </c>
      <c r="K99" t="s">
        <v>727</v>
      </c>
      <c r="L99">
        <v>1191</v>
      </c>
      <c r="N99">
        <v>1013</v>
      </c>
      <c r="O99" t="s">
        <v>628</v>
      </c>
      <c r="P99" t="s">
        <v>628</v>
      </c>
      <c r="Q99">
        <v>1</v>
      </c>
      <c r="W99">
        <v>0</v>
      </c>
      <c r="X99">
        <v>1069510174</v>
      </c>
      <c r="Y99">
        <v>23.022999999999996</v>
      </c>
      <c r="AA99">
        <v>0</v>
      </c>
      <c r="AB99">
        <v>0</v>
      </c>
      <c r="AC99">
        <v>0</v>
      </c>
      <c r="AD99">
        <v>58.49</v>
      </c>
      <c r="AE99">
        <v>0</v>
      </c>
      <c r="AF99">
        <v>0</v>
      </c>
      <c r="AG99">
        <v>0</v>
      </c>
      <c r="AH99">
        <v>9.6199999999999992</v>
      </c>
      <c r="AI99">
        <v>1</v>
      </c>
      <c r="AJ99">
        <v>1</v>
      </c>
      <c r="AK99">
        <v>1</v>
      </c>
      <c r="AL99">
        <v>6.08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224</v>
      </c>
      <c r="AT99">
        <v>20.02</v>
      </c>
      <c r="AU99" t="s">
        <v>240</v>
      </c>
      <c r="AV99">
        <v>1</v>
      </c>
      <c r="AW99">
        <v>2</v>
      </c>
      <c r="AX99">
        <v>16500043</v>
      </c>
      <c r="AY99">
        <v>1</v>
      </c>
      <c r="AZ99">
        <v>0</v>
      </c>
      <c r="BA99">
        <v>117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Y99*Source!I47</f>
        <v>71.693621999999991</v>
      </c>
      <c r="CY99">
        <f>AD99</f>
        <v>58.49</v>
      </c>
      <c r="CZ99">
        <f>AH99</f>
        <v>9.6199999999999992</v>
      </c>
      <c r="DA99">
        <f>AL99</f>
        <v>6.08</v>
      </c>
      <c r="DB99">
        <v>0</v>
      </c>
    </row>
    <row r="100" spans="1:106" x14ac:dyDescent="0.2">
      <c r="A100">
        <f>ROW(Source!A47)</f>
        <v>47</v>
      </c>
      <c r="B100">
        <v>16499878</v>
      </c>
      <c r="C100">
        <v>16500042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629</v>
      </c>
      <c r="J100" t="s">
        <v>224</v>
      </c>
      <c r="K100" t="s">
        <v>630</v>
      </c>
      <c r="L100">
        <v>1191</v>
      </c>
      <c r="N100">
        <v>1013</v>
      </c>
      <c r="O100" t="s">
        <v>628</v>
      </c>
      <c r="P100" t="s">
        <v>628</v>
      </c>
      <c r="Q100">
        <v>1</v>
      </c>
      <c r="W100">
        <v>0</v>
      </c>
      <c r="X100">
        <v>-1417349443</v>
      </c>
      <c r="Y100">
        <v>0.04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6.08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224</v>
      </c>
      <c r="AT100">
        <v>0.04</v>
      </c>
      <c r="AU100" t="s">
        <v>224</v>
      </c>
      <c r="AV100">
        <v>2</v>
      </c>
      <c r="AW100">
        <v>2</v>
      </c>
      <c r="AX100">
        <v>16500044</v>
      </c>
      <c r="AY100">
        <v>1</v>
      </c>
      <c r="AZ100">
        <v>2048</v>
      </c>
      <c r="BA100">
        <v>118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Y100*Source!I47</f>
        <v>0.12456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ROW(Source!A47)</f>
        <v>47</v>
      </c>
      <c r="B101">
        <v>16499878</v>
      </c>
      <c r="C101">
        <v>16500042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640</v>
      </c>
      <c r="J101" t="s">
        <v>641</v>
      </c>
      <c r="K101" t="s">
        <v>642</v>
      </c>
      <c r="L101">
        <v>1368</v>
      </c>
      <c r="N101">
        <v>1011</v>
      </c>
      <c r="O101" t="s">
        <v>634</v>
      </c>
      <c r="P101" t="s">
        <v>634</v>
      </c>
      <c r="Q101">
        <v>1</v>
      </c>
      <c r="W101">
        <v>0</v>
      </c>
      <c r="X101">
        <v>1188625873</v>
      </c>
      <c r="Y101">
        <v>1.2500000000000001E-2</v>
      </c>
      <c r="AA101">
        <v>0</v>
      </c>
      <c r="AB101">
        <v>190.06</v>
      </c>
      <c r="AC101">
        <v>13.5</v>
      </c>
      <c r="AD101">
        <v>0</v>
      </c>
      <c r="AE101">
        <v>0</v>
      </c>
      <c r="AF101">
        <v>31.26</v>
      </c>
      <c r="AG101">
        <v>13.5</v>
      </c>
      <c r="AH101">
        <v>0</v>
      </c>
      <c r="AI101">
        <v>1</v>
      </c>
      <c r="AJ101">
        <v>6.08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224</v>
      </c>
      <c r="AT101">
        <v>0.01</v>
      </c>
      <c r="AU101" t="s">
        <v>239</v>
      </c>
      <c r="AV101">
        <v>0</v>
      </c>
      <c r="AW101">
        <v>2</v>
      </c>
      <c r="AX101">
        <v>16500045</v>
      </c>
      <c r="AY101">
        <v>1</v>
      </c>
      <c r="AZ101">
        <v>0</v>
      </c>
      <c r="BA101">
        <v>119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Y101*Source!I47</f>
        <v>3.8925000000000001E-2</v>
      </c>
      <c r="CY101">
        <f>AB101</f>
        <v>190.06</v>
      </c>
      <c r="CZ101">
        <f>AF101</f>
        <v>31.26</v>
      </c>
      <c r="DA101">
        <f>AJ101</f>
        <v>6.08</v>
      </c>
      <c r="DB101">
        <v>0</v>
      </c>
    </row>
    <row r="102" spans="1:106" x14ac:dyDescent="0.2">
      <c r="A102">
        <f>ROW(Source!A47)</f>
        <v>47</v>
      </c>
      <c r="B102">
        <v>16499878</v>
      </c>
      <c r="C102">
        <v>16500042</v>
      </c>
      <c r="D102">
        <v>15249073</v>
      </c>
      <c r="E102">
        <v>1</v>
      </c>
      <c r="F102">
        <v>1</v>
      </c>
      <c r="G102">
        <v>1</v>
      </c>
      <c r="H102">
        <v>2</v>
      </c>
      <c r="I102" t="s">
        <v>631</v>
      </c>
      <c r="J102" t="s">
        <v>632</v>
      </c>
      <c r="K102" t="s">
        <v>633</v>
      </c>
      <c r="L102">
        <v>1368</v>
      </c>
      <c r="N102">
        <v>1011</v>
      </c>
      <c r="O102" t="s">
        <v>634</v>
      </c>
      <c r="P102" t="s">
        <v>634</v>
      </c>
      <c r="Q102">
        <v>1</v>
      </c>
      <c r="W102">
        <v>0</v>
      </c>
      <c r="X102">
        <v>1372534845</v>
      </c>
      <c r="Y102">
        <v>3.7499999999999999E-2</v>
      </c>
      <c r="AA102">
        <v>0</v>
      </c>
      <c r="AB102">
        <v>399.52</v>
      </c>
      <c r="AC102">
        <v>11.6</v>
      </c>
      <c r="AD102">
        <v>0</v>
      </c>
      <c r="AE102">
        <v>0</v>
      </c>
      <c r="AF102">
        <v>65.709999999999994</v>
      </c>
      <c r="AG102">
        <v>11.6</v>
      </c>
      <c r="AH102">
        <v>0</v>
      </c>
      <c r="AI102">
        <v>1</v>
      </c>
      <c r="AJ102">
        <v>6.08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224</v>
      </c>
      <c r="AT102">
        <v>0.03</v>
      </c>
      <c r="AU102" t="s">
        <v>239</v>
      </c>
      <c r="AV102">
        <v>0</v>
      </c>
      <c r="AW102">
        <v>2</v>
      </c>
      <c r="AX102">
        <v>16500046</v>
      </c>
      <c r="AY102">
        <v>1</v>
      </c>
      <c r="AZ102">
        <v>0</v>
      </c>
      <c r="BA102">
        <v>120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Y102*Source!I47</f>
        <v>0.11677499999999999</v>
      </c>
      <c r="CY102">
        <f>AB102</f>
        <v>399.52</v>
      </c>
      <c r="CZ102">
        <f>AF102</f>
        <v>65.709999999999994</v>
      </c>
      <c r="DA102">
        <f>AJ102</f>
        <v>6.08</v>
      </c>
      <c r="DB102">
        <v>0</v>
      </c>
    </row>
    <row r="103" spans="1:106" x14ac:dyDescent="0.2">
      <c r="A103">
        <f>ROW(Source!A47)</f>
        <v>47</v>
      </c>
      <c r="B103">
        <v>16499878</v>
      </c>
      <c r="C103">
        <v>16500042</v>
      </c>
      <c r="D103">
        <v>15171018</v>
      </c>
      <c r="E103">
        <v>1</v>
      </c>
      <c r="F103">
        <v>1</v>
      </c>
      <c r="G103">
        <v>1</v>
      </c>
      <c r="H103">
        <v>3</v>
      </c>
      <c r="I103" t="s">
        <v>728</v>
      </c>
      <c r="J103" t="s">
        <v>729</v>
      </c>
      <c r="K103" t="s">
        <v>730</v>
      </c>
      <c r="L103">
        <v>1346</v>
      </c>
      <c r="N103">
        <v>1009</v>
      </c>
      <c r="O103" t="s">
        <v>303</v>
      </c>
      <c r="P103" t="s">
        <v>303</v>
      </c>
      <c r="Q103">
        <v>1</v>
      </c>
      <c r="W103">
        <v>0</v>
      </c>
      <c r="X103">
        <v>813963326</v>
      </c>
      <c r="Y103">
        <v>0.2</v>
      </c>
      <c r="AA103">
        <v>11.07</v>
      </c>
      <c r="AB103">
        <v>0</v>
      </c>
      <c r="AC103">
        <v>0</v>
      </c>
      <c r="AD103">
        <v>0</v>
      </c>
      <c r="AE103">
        <v>1.82</v>
      </c>
      <c r="AF103">
        <v>0</v>
      </c>
      <c r="AG103">
        <v>0</v>
      </c>
      <c r="AH103">
        <v>0</v>
      </c>
      <c r="AI103">
        <v>6.08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224</v>
      </c>
      <c r="AT103">
        <v>0.2</v>
      </c>
      <c r="AU103" t="s">
        <v>224</v>
      </c>
      <c r="AV103">
        <v>0</v>
      </c>
      <c r="AW103">
        <v>2</v>
      </c>
      <c r="AX103">
        <v>16500047</v>
      </c>
      <c r="AY103">
        <v>1</v>
      </c>
      <c r="AZ103">
        <v>0</v>
      </c>
      <c r="BA103">
        <v>121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Y103*Source!I47</f>
        <v>0.62280000000000002</v>
      </c>
      <c r="CY103">
        <f>AA103</f>
        <v>11.07</v>
      </c>
      <c r="CZ103">
        <f>AE103</f>
        <v>1.82</v>
      </c>
      <c r="DA103">
        <f>AI103</f>
        <v>6.08</v>
      </c>
      <c r="DB103">
        <v>0</v>
      </c>
    </row>
    <row r="104" spans="1:106" x14ac:dyDescent="0.2">
      <c r="A104">
        <f>ROW(Source!A47)</f>
        <v>47</v>
      </c>
      <c r="B104">
        <v>16499878</v>
      </c>
      <c r="C104">
        <v>16500042</v>
      </c>
      <c r="D104">
        <v>15203485</v>
      </c>
      <c r="E104">
        <v>1</v>
      </c>
      <c r="F104">
        <v>1</v>
      </c>
      <c r="G104">
        <v>1</v>
      </c>
      <c r="H104">
        <v>3</v>
      </c>
      <c r="I104" t="s">
        <v>301</v>
      </c>
      <c r="J104" t="s">
        <v>304</v>
      </c>
      <c r="K104" t="s">
        <v>302</v>
      </c>
      <c r="L104">
        <v>1346</v>
      </c>
      <c r="N104">
        <v>1009</v>
      </c>
      <c r="O104" t="s">
        <v>303</v>
      </c>
      <c r="P104" t="s">
        <v>303</v>
      </c>
      <c r="Q104">
        <v>1</v>
      </c>
      <c r="W104">
        <v>0</v>
      </c>
      <c r="X104">
        <v>-1736829369</v>
      </c>
      <c r="Y104">
        <v>20</v>
      </c>
      <c r="AA104">
        <v>92.72</v>
      </c>
      <c r="AB104">
        <v>0</v>
      </c>
      <c r="AC104">
        <v>0</v>
      </c>
      <c r="AD104">
        <v>0</v>
      </c>
      <c r="AE104">
        <v>15.25</v>
      </c>
      <c r="AF104">
        <v>0</v>
      </c>
      <c r="AG104">
        <v>0</v>
      </c>
      <c r="AH104">
        <v>0</v>
      </c>
      <c r="AI104">
        <v>6.08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224</v>
      </c>
      <c r="AT104">
        <v>20</v>
      </c>
      <c r="AU104" t="s">
        <v>224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224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Y104*Source!I47</f>
        <v>62.28</v>
      </c>
      <c r="CY104">
        <f>AA104</f>
        <v>92.72</v>
      </c>
      <c r="CZ104">
        <f>AE104</f>
        <v>15.25</v>
      </c>
      <c r="DA104">
        <f>AI104</f>
        <v>6.08</v>
      </c>
      <c r="DB104">
        <v>0</v>
      </c>
    </row>
    <row r="105" spans="1:106" x14ac:dyDescent="0.2">
      <c r="A105">
        <f>ROW(Source!A50)</f>
        <v>50</v>
      </c>
      <c r="B105">
        <v>16499835</v>
      </c>
      <c r="C105">
        <v>16500050</v>
      </c>
      <c r="D105">
        <v>15435609</v>
      </c>
      <c r="E105">
        <v>1</v>
      </c>
      <c r="F105">
        <v>1</v>
      </c>
      <c r="G105">
        <v>1</v>
      </c>
      <c r="H105">
        <v>1</v>
      </c>
      <c r="I105" t="s">
        <v>731</v>
      </c>
      <c r="J105" t="s">
        <v>224</v>
      </c>
      <c r="K105" t="s">
        <v>732</v>
      </c>
      <c r="L105">
        <v>1191</v>
      </c>
      <c r="N105">
        <v>1013</v>
      </c>
      <c r="O105" t="s">
        <v>628</v>
      </c>
      <c r="P105" t="s">
        <v>628</v>
      </c>
      <c r="Q105">
        <v>1</v>
      </c>
      <c r="W105">
        <v>0</v>
      </c>
      <c r="X105">
        <v>-814890593</v>
      </c>
      <c r="Y105">
        <v>61.984999999999992</v>
      </c>
      <c r="AA105">
        <v>0</v>
      </c>
      <c r="AB105">
        <v>0</v>
      </c>
      <c r="AC105">
        <v>0</v>
      </c>
      <c r="AD105">
        <v>8.9700000000000006</v>
      </c>
      <c r="AE105">
        <v>0</v>
      </c>
      <c r="AF105">
        <v>0</v>
      </c>
      <c r="AG105">
        <v>0</v>
      </c>
      <c r="AH105">
        <v>8.9700000000000006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224</v>
      </c>
      <c r="AT105">
        <v>53.9</v>
      </c>
      <c r="AU105" t="s">
        <v>240</v>
      </c>
      <c r="AV105">
        <v>1</v>
      </c>
      <c r="AW105">
        <v>2</v>
      </c>
      <c r="AX105">
        <v>16500051</v>
      </c>
      <c r="AY105">
        <v>1</v>
      </c>
      <c r="AZ105">
        <v>0</v>
      </c>
      <c r="BA105">
        <v>123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Y105*Source!I50</f>
        <v>193.02128999999996</v>
      </c>
      <c r="CY105">
        <f>AD105</f>
        <v>8.9700000000000006</v>
      </c>
      <c r="CZ105">
        <f>AH105</f>
        <v>8.9700000000000006</v>
      </c>
      <c r="DA105">
        <f>AL105</f>
        <v>1</v>
      </c>
      <c r="DB105">
        <v>0</v>
      </c>
    </row>
    <row r="106" spans="1:106" x14ac:dyDescent="0.2">
      <c r="A106">
        <f>ROW(Source!A50)</f>
        <v>50</v>
      </c>
      <c r="B106">
        <v>16499835</v>
      </c>
      <c r="C106">
        <v>16500050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629</v>
      </c>
      <c r="J106" t="s">
        <v>224</v>
      </c>
      <c r="K106" t="s">
        <v>630</v>
      </c>
      <c r="L106">
        <v>1191</v>
      </c>
      <c r="N106">
        <v>1013</v>
      </c>
      <c r="O106" t="s">
        <v>628</v>
      </c>
      <c r="P106" t="s">
        <v>628</v>
      </c>
      <c r="Q106">
        <v>1</v>
      </c>
      <c r="W106">
        <v>0</v>
      </c>
      <c r="X106">
        <v>-1417349443</v>
      </c>
      <c r="Y106">
        <v>0.18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224</v>
      </c>
      <c r="AT106">
        <v>0.18</v>
      </c>
      <c r="AU106" t="s">
        <v>224</v>
      </c>
      <c r="AV106">
        <v>2</v>
      </c>
      <c r="AW106">
        <v>2</v>
      </c>
      <c r="AX106">
        <v>16500052</v>
      </c>
      <c r="AY106">
        <v>1</v>
      </c>
      <c r="AZ106">
        <v>2048</v>
      </c>
      <c r="BA106">
        <v>124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Y106*Source!I50</f>
        <v>0.56051999999999991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ROW(Source!A50)</f>
        <v>50</v>
      </c>
      <c r="B107">
        <v>16499835</v>
      </c>
      <c r="C107">
        <v>16500050</v>
      </c>
      <c r="D107">
        <v>15247974</v>
      </c>
      <c r="E107">
        <v>1</v>
      </c>
      <c r="F107">
        <v>1</v>
      </c>
      <c r="G107">
        <v>1</v>
      </c>
      <c r="H107">
        <v>2</v>
      </c>
      <c r="I107" t="s">
        <v>640</v>
      </c>
      <c r="J107" t="s">
        <v>641</v>
      </c>
      <c r="K107" t="s">
        <v>642</v>
      </c>
      <c r="L107">
        <v>1368</v>
      </c>
      <c r="N107">
        <v>1011</v>
      </c>
      <c r="O107" t="s">
        <v>634</v>
      </c>
      <c r="P107" t="s">
        <v>634</v>
      </c>
      <c r="Q107">
        <v>1</v>
      </c>
      <c r="W107">
        <v>0</v>
      </c>
      <c r="X107">
        <v>1188625873</v>
      </c>
      <c r="Y107">
        <v>2.5000000000000001E-2</v>
      </c>
      <c r="AA107">
        <v>0</v>
      </c>
      <c r="AB107">
        <v>31.26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224</v>
      </c>
      <c r="AT107">
        <v>0.02</v>
      </c>
      <c r="AU107" t="s">
        <v>239</v>
      </c>
      <c r="AV107">
        <v>0</v>
      </c>
      <c r="AW107">
        <v>2</v>
      </c>
      <c r="AX107">
        <v>16500053</v>
      </c>
      <c r="AY107">
        <v>1</v>
      </c>
      <c r="AZ107">
        <v>0</v>
      </c>
      <c r="BA107">
        <v>125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Y107*Source!I50</f>
        <v>7.7850000000000003E-2</v>
      </c>
      <c r="CY107">
        <f>AB107</f>
        <v>31.26</v>
      </c>
      <c r="CZ107">
        <f>AF107</f>
        <v>31.26</v>
      </c>
      <c r="DA107">
        <f>AJ107</f>
        <v>1</v>
      </c>
      <c r="DB107">
        <v>0</v>
      </c>
    </row>
    <row r="108" spans="1:106" x14ac:dyDescent="0.2">
      <c r="A108">
        <f>ROW(Source!A50)</f>
        <v>50</v>
      </c>
      <c r="B108">
        <v>16499835</v>
      </c>
      <c r="C108">
        <v>16500050</v>
      </c>
      <c r="D108">
        <v>15249073</v>
      </c>
      <c r="E108">
        <v>1</v>
      </c>
      <c r="F108">
        <v>1</v>
      </c>
      <c r="G108">
        <v>1</v>
      </c>
      <c r="H108">
        <v>2</v>
      </c>
      <c r="I108" t="s">
        <v>631</v>
      </c>
      <c r="J108" t="s">
        <v>632</v>
      </c>
      <c r="K108" t="s">
        <v>633</v>
      </c>
      <c r="L108">
        <v>1368</v>
      </c>
      <c r="N108">
        <v>1011</v>
      </c>
      <c r="O108" t="s">
        <v>634</v>
      </c>
      <c r="P108" t="s">
        <v>634</v>
      </c>
      <c r="Q108">
        <v>1</v>
      </c>
      <c r="W108">
        <v>0</v>
      </c>
      <c r="X108">
        <v>1372534845</v>
      </c>
      <c r="Y108">
        <v>0.2</v>
      </c>
      <c r="AA108">
        <v>0</v>
      </c>
      <c r="AB108">
        <v>65.709999999999994</v>
      </c>
      <c r="AC108">
        <v>11.6</v>
      </c>
      <c r="AD108">
        <v>0</v>
      </c>
      <c r="AE108">
        <v>0</v>
      </c>
      <c r="AF108">
        <v>65.709999999999994</v>
      </c>
      <c r="AG108">
        <v>11.6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224</v>
      </c>
      <c r="AT108">
        <v>0.16</v>
      </c>
      <c r="AU108" t="s">
        <v>239</v>
      </c>
      <c r="AV108">
        <v>0</v>
      </c>
      <c r="AW108">
        <v>2</v>
      </c>
      <c r="AX108">
        <v>16500054</v>
      </c>
      <c r="AY108">
        <v>1</v>
      </c>
      <c r="AZ108">
        <v>0</v>
      </c>
      <c r="BA108">
        <v>126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Y108*Source!I50</f>
        <v>0.62280000000000002</v>
      </c>
      <c r="CY108">
        <f>AB108</f>
        <v>65.709999999999994</v>
      </c>
      <c r="CZ108">
        <f>AF108</f>
        <v>65.709999999999994</v>
      </c>
      <c r="DA108">
        <f>AJ108</f>
        <v>1</v>
      </c>
      <c r="DB108">
        <v>0</v>
      </c>
    </row>
    <row r="109" spans="1:106" x14ac:dyDescent="0.2">
      <c r="A109">
        <f>ROW(Source!A50)</f>
        <v>50</v>
      </c>
      <c r="B109">
        <v>16499835</v>
      </c>
      <c r="C109">
        <v>16500050</v>
      </c>
      <c r="D109">
        <v>15170682</v>
      </c>
      <c r="E109">
        <v>1</v>
      </c>
      <c r="F109">
        <v>1</v>
      </c>
      <c r="G109">
        <v>1</v>
      </c>
      <c r="H109">
        <v>3</v>
      </c>
      <c r="I109" t="s">
        <v>733</v>
      </c>
      <c r="J109" t="s">
        <v>734</v>
      </c>
      <c r="K109" t="s">
        <v>735</v>
      </c>
      <c r="L109">
        <v>1327</v>
      </c>
      <c r="N109">
        <v>1005</v>
      </c>
      <c r="O109" t="s">
        <v>277</v>
      </c>
      <c r="P109" t="s">
        <v>277</v>
      </c>
      <c r="Q109">
        <v>1</v>
      </c>
      <c r="W109">
        <v>0</v>
      </c>
      <c r="X109">
        <v>-1987926685</v>
      </c>
      <c r="Y109">
        <v>0.84</v>
      </c>
      <c r="AA109">
        <v>72.319999999999993</v>
      </c>
      <c r="AB109">
        <v>0</v>
      </c>
      <c r="AC109">
        <v>0</v>
      </c>
      <c r="AD109">
        <v>0</v>
      </c>
      <c r="AE109">
        <v>72.319999999999993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224</v>
      </c>
      <c r="AT109">
        <v>0.84</v>
      </c>
      <c r="AU109" t="s">
        <v>224</v>
      </c>
      <c r="AV109">
        <v>0</v>
      </c>
      <c r="AW109">
        <v>2</v>
      </c>
      <c r="AX109">
        <v>16500055</v>
      </c>
      <c r="AY109">
        <v>1</v>
      </c>
      <c r="AZ109">
        <v>0</v>
      </c>
      <c r="BA109">
        <v>127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Y109*Source!I50</f>
        <v>2.6157599999999999</v>
      </c>
      <c r="CY109">
        <f>AA109</f>
        <v>72.319999999999993</v>
      </c>
      <c r="CZ109">
        <f>AE109</f>
        <v>72.319999999999993</v>
      </c>
      <c r="DA109">
        <f>AI109</f>
        <v>1</v>
      </c>
      <c r="DB109">
        <v>0</v>
      </c>
    </row>
    <row r="110" spans="1:106" x14ac:dyDescent="0.2">
      <c r="A110">
        <f>ROW(Source!A50)</f>
        <v>50</v>
      </c>
      <c r="B110">
        <v>16499835</v>
      </c>
      <c r="C110">
        <v>16500050</v>
      </c>
      <c r="D110">
        <v>15171018</v>
      </c>
      <c r="E110">
        <v>1</v>
      </c>
      <c r="F110">
        <v>1</v>
      </c>
      <c r="G110">
        <v>1</v>
      </c>
      <c r="H110">
        <v>3</v>
      </c>
      <c r="I110" t="s">
        <v>728</v>
      </c>
      <c r="J110" t="s">
        <v>729</v>
      </c>
      <c r="K110" t="s">
        <v>730</v>
      </c>
      <c r="L110">
        <v>1346</v>
      </c>
      <c r="N110">
        <v>1009</v>
      </c>
      <c r="O110" t="s">
        <v>303</v>
      </c>
      <c r="P110" t="s">
        <v>303</v>
      </c>
      <c r="Q110">
        <v>1</v>
      </c>
      <c r="W110">
        <v>0</v>
      </c>
      <c r="X110">
        <v>813963326</v>
      </c>
      <c r="Y110">
        <v>0.31</v>
      </c>
      <c r="AA110">
        <v>1.82</v>
      </c>
      <c r="AB110">
        <v>0</v>
      </c>
      <c r="AC110">
        <v>0</v>
      </c>
      <c r="AD110">
        <v>0</v>
      </c>
      <c r="AE110">
        <v>1.82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224</v>
      </c>
      <c r="AT110">
        <v>0.31</v>
      </c>
      <c r="AU110" t="s">
        <v>224</v>
      </c>
      <c r="AV110">
        <v>0</v>
      </c>
      <c r="AW110">
        <v>2</v>
      </c>
      <c r="AX110">
        <v>16500056</v>
      </c>
      <c r="AY110">
        <v>1</v>
      </c>
      <c r="AZ110">
        <v>0</v>
      </c>
      <c r="BA110">
        <v>128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Y110*Source!I50</f>
        <v>0.96533999999999998</v>
      </c>
      <c r="CY110">
        <f>AA110</f>
        <v>1.82</v>
      </c>
      <c r="CZ110">
        <f>AE110</f>
        <v>1.82</v>
      </c>
      <c r="DA110">
        <f>AI110</f>
        <v>1</v>
      </c>
      <c r="DB110">
        <v>0</v>
      </c>
    </row>
    <row r="111" spans="1:106" x14ac:dyDescent="0.2">
      <c r="A111">
        <f>ROW(Source!A50)</f>
        <v>50</v>
      </c>
      <c r="B111">
        <v>16499835</v>
      </c>
      <c r="C111">
        <v>16500050</v>
      </c>
      <c r="D111">
        <v>15203308</v>
      </c>
      <c r="E111">
        <v>1</v>
      </c>
      <c r="F111">
        <v>1</v>
      </c>
      <c r="G111">
        <v>1</v>
      </c>
      <c r="H111">
        <v>3</v>
      </c>
      <c r="I111" t="s">
        <v>310</v>
      </c>
      <c r="J111" t="s">
        <v>312</v>
      </c>
      <c r="K111" t="s">
        <v>311</v>
      </c>
      <c r="L111">
        <v>1348</v>
      </c>
      <c r="N111">
        <v>1009</v>
      </c>
      <c r="O111" t="s">
        <v>288</v>
      </c>
      <c r="P111" t="s">
        <v>288</v>
      </c>
      <c r="Q111">
        <v>1000</v>
      </c>
      <c r="W111">
        <v>0</v>
      </c>
      <c r="X111">
        <v>772632804</v>
      </c>
      <c r="Y111">
        <v>6.9000000000000006E-2</v>
      </c>
      <c r="AA111">
        <v>19973.669999999998</v>
      </c>
      <c r="AB111">
        <v>0</v>
      </c>
      <c r="AC111">
        <v>0</v>
      </c>
      <c r="AD111">
        <v>0</v>
      </c>
      <c r="AE111">
        <v>19973.669999999998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224</v>
      </c>
      <c r="AT111">
        <v>6.9000000000000006E-2</v>
      </c>
      <c r="AU111" t="s">
        <v>224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224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Y111*Source!I50</f>
        <v>0.214866</v>
      </c>
      <c r="CY111">
        <f>AA111</f>
        <v>19973.669999999998</v>
      </c>
      <c r="CZ111">
        <f>AE111</f>
        <v>19973.669999999998</v>
      </c>
      <c r="DA111">
        <f>AI111</f>
        <v>1</v>
      </c>
      <c r="DB111">
        <v>0</v>
      </c>
    </row>
    <row r="112" spans="1:106" x14ac:dyDescent="0.2">
      <c r="A112">
        <f>ROW(Source!A50)</f>
        <v>50</v>
      </c>
      <c r="B112">
        <v>16499835</v>
      </c>
      <c r="C112">
        <v>16500050</v>
      </c>
      <c r="D112">
        <v>15204729</v>
      </c>
      <c r="E112">
        <v>1</v>
      </c>
      <c r="F112">
        <v>1</v>
      </c>
      <c r="G112">
        <v>1</v>
      </c>
      <c r="H112">
        <v>3</v>
      </c>
      <c r="I112" t="s">
        <v>736</v>
      </c>
      <c r="J112" t="s">
        <v>737</v>
      </c>
      <c r="K112" t="s">
        <v>738</v>
      </c>
      <c r="L112">
        <v>1348</v>
      </c>
      <c r="N112">
        <v>1009</v>
      </c>
      <c r="O112" t="s">
        <v>288</v>
      </c>
      <c r="P112" t="s">
        <v>288</v>
      </c>
      <c r="Q112">
        <v>1000</v>
      </c>
      <c r="W112">
        <v>0</v>
      </c>
      <c r="X112">
        <v>-2084827333</v>
      </c>
      <c r="Y112">
        <v>5.5E-2</v>
      </c>
      <c r="AA112">
        <v>4294</v>
      </c>
      <c r="AB112">
        <v>0</v>
      </c>
      <c r="AC112">
        <v>0</v>
      </c>
      <c r="AD112">
        <v>0</v>
      </c>
      <c r="AE112">
        <v>4294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224</v>
      </c>
      <c r="AT112">
        <v>5.5E-2</v>
      </c>
      <c r="AU112" t="s">
        <v>224</v>
      </c>
      <c r="AV112">
        <v>0</v>
      </c>
      <c r="AW112">
        <v>2</v>
      </c>
      <c r="AX112">
        <v>16500058</v>
      </c>
      <c r="AY112">
        <v>1</v>
      </c>
      <c r="AZ112">
        <v>0</v>
      </c>
      <c r="BA112">
        <v>130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Y112*Source!I50</f>
        <v>0.17127000000000001</v>
      </c>
      <c r="CY112">
        <f>AA112</f>
        <v>4294</v>
      </c>
      <c r="CZ112">
        <f>AE112</f>
        <v>4294</v>
      </c>
      <c r="DA112">
        <f>AI112</f>
        <v>1</v>
      </c>
      <c r="DB112">
        <v>0</v>
      </c>
    </row>
    <row r="113" spans="1:106" x14ac:dyDescent="0.2">
      <c r="A113">
        <f>ROW(Source!A51)</f>
        <v>51</v>
      </c>
      <c r="B113">
        <v>16499878</v>
      </c>
      <c r="C113">
        <v>16500050</v>
      </c>
      <c r="D113">
        <v>15435609</v>
      </c>
      <c r="E113">
        <v>1</v>
      </c>
      <c r="F113">
        <v>1</v>
      </c>
      <c r="G113">
        <v>1</v>
      </c>
      <c r="H113">
        <v>1</v>
      </c>
      <c r="I113" t="s">
        <v>731</v>
      </c>
      <c r="J113" t="s">
        <v>224</v>
      </c>
      <c r="K113" t="s">
        <v>732</v>
      </c>
      <c r="L113">
        <v>1191</v>
      </c>
      <c r="N113">
        <v>1013</v>
      </c>
      <c r="O113" t="s">
        <v>628</v>
      </c>
      <c r="P113" t="s">
        <v>628</v>
      </c>
      <c r="Q113">
        <v>1</v>
      </c>
      <c r="W113">
        <v>0</v>
      </c>
      <c r="X113">
        <v>-814890593</v>
      </c>
      <c r="Y113">
        <v>61.984999999999992</v>
      </c>
      <c r="AA113">
        <v>0</v>
      </c>
      <c r="AB113">
        <v>0</v>
      </c>
      <c r="AC113">
        <v>0</v>
      </c>
      <c r="AD113">
        <v>54.54</v>
      </c>
      <c r="AE113">
        <v>0</v>
      </c>
      <c r="AF113">
        <v>0</v>
      </c>
      <c r="AG113">
        <v>0</v>
      </c>
      <c r="AH113">
        <v>8.9700000000000006</v>
      </c>
      <c r="AI113">
        <v>1</v>
      </c>
      <c r="AJ113">
        <v>1</v>
      </c>
      <c r="AK113">
        <v>1</v>
      </c>
      <c r="AL113">
        <v>6.08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224</v>
      </c>
      <c r="AT113">
        <v>53.9</v>
      </c>
      <c r="AU113" t="s">
        <v>240</v>
      </c>
      <c r="AV113">
        <v>1</v>
      </c>
      <c r="AW113">
        <v>2</v>
      </c>
      <c r="AX113">
        <v>16500051</v>
      </c>
      <c r="AY113">
        <v>1</v>
      </c>
      <c r="AZ113">
        <v>0</v>
      </c>
      <c r="BA113">
        <v>131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Y113*Source!I51</f>
        <v>193.02128999999996</v>
      </c>
      <c r="CY113">
        <f>AD113</f>
        <v>54.54</v>
      </c>
      <c r="CZ113">
        <f>AH113</f>
        <v>8.9700000000000006</v>
      </c>
      <c r="DA113">
        <f>AL113</f>
        <v>6.08</v>
      </c>
      <c r="DB113">
        <v>0</v>
      </c>
    </row>
    <row r="114" spans="1:106" x14ac:dyDescent="0.2">
      <c r="A114">
        <f>ROW(Source!A51)</f>
        <v>51</v>
      </c>
      <c r="B114">
        <v>16499878</v>
      </c>
      <c r="C114">
        <v>16500050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629</v>
      </c>
      <c r="J114" t="s">
        <v>224</v>
      </c>
      <c r="K114" t="s">
        <v>630</v>
      </c>
      <c r="L114">
        <v>1191</v>
      </c>
      <c r="N114">
        <v>1013</v>
      </c>
      <c r="O114" t="s">
        <v>628</v>
      </c>
      <c r="P114" t="s">
        <v>628</v>
      </c>
      <c r="Q114">
        <v>1</v>
      </c>
      <c r="W114">
        <v>0</v>
      </c>
      <c r="X114">
        <v>-1417349443</v>
      </c>
      <c r="Y114">
        <v>0.18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6.08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224</v>
      </c>
      <c r="AT114">
        <v>0.18</v>
      </c>
      <c r="AU114" t="s">
        <v>224</v>
      </c>
      <c r="AV114">
        <v>2</v>
      </c>
      <c r="AW114">
        <v>2</v>
      </c>
      <c r="AX114">
        <v>16500052</v>
      </c>
      <c r="AY114">
        <v>1</v>
      </c>
      <c r="AZ114">
        <v>2048</v>
      </c>
      <c r="BA114">
        <v>132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Y114*Source!I51</f>
        <v>0.56051999999999991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ROW(Source!A51)</f>
        <v>51</v>
      </c>
      <c r="B115">
        <v>16499878</v>
      </c>
      <c r="C115">
        <v>16500050</v>
      </c>
      <c r="D115">
        <v>15247974</v>
      </c>
      <c r="E115">
        <v>1</v>
      </c>
      <c r="F115">
        <v>1</v>
      </c>
      <c r="G115">
        <v>1</v>
      </c>
      <c r="H115">
        <v>2</v>
      </c>
      <c r="I115" t="s">
        <v>640</v>
      </c>
      <c r="J115" t="s">
        <v>641</v>
      </c>
      <c r="K115" t="s">
        <v>642</v>
      </c>
      <c r="L115">
        <v>1368</v>
      </c>
      <c r="N115">
        <v>1011</v>
      </c>
      <c r="O115" t="s">
        <v>634</v>
      </c>
      <c r="P115" t="s">
        <v>634</v>
      </c>
      <c r="Q115">
        <v>1</v>
      </c>
      <c r="W115">
        <v>0</v>
      </c>
      <c r="X115">
        <v>1188625873</v>
      </c>
      <c r="Y115">
        <v>2.5000000000000001E-2</v>
      </c>
      <c r="AA115">
        <v>0</v>
      </c>
      <c r="AB115">
        <v>190.06</v>
      </c>
      <c r="AC115">
        <v>13.5</v>
      </c>
      <c r="AD115">
        <v>0</v>
      </c>
      <c r="AE115">
        <v>0</v>
      </c>
      <c r="AF115">
        <v>31.26</v>
      </c>
      <c r="AG115">
        <v>13.5</v>
      </c>
      <c r="AH115">
        <v>0</v>
      </c>
      <c r="AI115">
        <v>1</v>
      </c>
      <c r="AJ115">
        <v>6.08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224</v>
      </c>
      <c r="AT115">
        <v>0.02</v>
      </c>
      <c r="AU115" t="s">
        <v>239</v>
      </c>
      <c r="AV115">
        <v>0</v>
      </c>
      <c r="AW115">
        <v>2</v>
      </c>
      <c r="AX115">
        <v>16500053</v>
      </c>
      <c r="AY115">
        <v>1</v>
      </c>
      <c r="AZ115">
        <v>0</v>
      </c>
      <c r="BA115">
        <v>133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Y115*Source!I51</f>
        <v>7.7850000000000003E-2</v>
      </c>
      <c r="CY115">
        <f>AB115</f>
        <v>190.06</v>
      </c>
      <c r="CZ115">
        <f>AF115</f>
        <v>31.26</v>
      </c>
      <c r="DA115">
        <f>AJ115</f>
        <v>6.08</v>
      </c>
      <c r="DB115">
        <v>0</v>
      </c>
    </row>
    <row r="116" spans="1:106" x14ac:dyDescent="0.2">
      <c r="A116">
        <f>ROW(Source!A51)</f>
        <v>51</v>
      </c>
      <c r="B116">
        <v>16499878</v>
      </c>
      <c r="C116">
        <v>16500050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631</v>
      </c>
      <c r="J116" t="s">
        <v>632</v>
      </c>
      <c r="K116" t="s">
        <v>633</v>
      </c>
      <c r="L116">
        <v>1368</v>
      </c>
      <c r="N116">
        <v>1011</v>
      </c>
      <c r="O116" t="s">
        <v>634</v>
      </c>
      <c r="P116" t="s">
        <v>634</v>
      </c>
      <c r="Q116">
        <v>1</v>
      </c>
      <c r="W116">
        <v>0</v>
      </c>
      <c r="X116">
        <v>1372534845</v>
      </c>
      <c r="Y116">
        <v>0.2</v>
      </c>
      <c r="AA116">
        <v>0</v>
      </c>
      <c r="AB116">
        <v>399.52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6.08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224</v>
      </c>
      <c r="AT116">
        <v>0.16</v>
      </c>
      <c r="AU116" t="s">
        <v>239</v>
      </c>
      <c r="AV116">
        <v>0</v>
      </c>
      <c r="AW116">
        <v>2</v>
      </c>
      <c r="AX116">
        <v>16500054</v>
      </c>
      <c r="AY116">
        <v>1</v>
      </c>
      <c r="AZ116">
        <v>0</v>
      </c>
      <c r="BA116">
        <v>134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Y116*Source!I51</f>
        <v>0.62280000000000002</v>
      </c>
      <c r="CY116">
        <f>AB116</f>
        <v>399.52</v>
      </c>
      <c r="CZ116">
        <f>AF116</f>
        <v>65.709999999999994</v>
      </c>
      <c r="DA116">
        <f>AJ116</f>
        <v>6.08</v>
      </c>
      <c r="DB116">
        <v>0</v>
      </c>
    </row>
    <row r="117" spans="1:106" x14ac:dyDescent="0.2">
      <c r="A117">
        <f>ROW(Source!A51)</f>
        <v>51</v>
      </c>
      <c r="B117">
        <v>16499878</v>
      </c>
      <c r="C117">
        <v>16500050</v>
      </c>
      <c r="D117">
        <v>15170682</v>
      </c>
      <c r="E117">
        <v>1</v>
      </c>
      <c r="F117">
        <v>1</v>
      </c>
      <c r="G117">
        <v>1</v>
      </c>
      <c r="H117">
        <v>3</v>
      </c>
      <c r="I117" t="s">
        <v>733</v>
      </c>
      <c r="J117" t="s">
        <v>734</v>
      </c>
      <c r="K117" t="s">
        <v>735</v>
      </c>
      <c r="L117">
        <v>1327</v>
      </c>
      <c r="N117">
        <v>1005</v>
      </c>
      <c r="O117" t="s">
        <v>277</v>
      </c>
      <c r="P117" t="s">
        <v>277</v>
      </c>
      <c r="Q117">
        <v>1</v>
      </c>
      <c r="W117">
        <v>0</v>
      </c>
      <c r="X117">
        <v>-1987926685</v>
      </c>
      <c r="Y117">
        <v>0.84</v>
      </c>
      <c r="AA117">
        <v>439.71</v>
      </c>
      <c r="AB117">
        <v>0</v>
      </c>
      <c r="AC117">
        <v>0</v>
      </c>
      <c r="AD117">
        <v>0</v>
      </c>
      <c r="AE117">
        <v>72.319999999999993</v>
      </c>
      <c r="AF117">
        <v>0</v>
      </c>
      <c r="AG117">
        <v>0</v>
      </c>
      <c r="AH117">
        <v>0</v>
      </c>
      <c r="AI117">
        <v>6.08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224</v>
      </c>
      <c r="AT117">
        <v>0.84</v>
      </c>
      <c r="AU117" t="s">
        <v>224</v>
      </c>
      <c r="AV117">
        <v>0</v>
      </c>
      <c r="AW117">
        <v>2</v>
      </c>
      <c r="AX117">
        <v>16500055</v>
      </c>
      <c r="AY117">
        <v>1</v>
      </c>
      <c r="AZ117">
        <v>0</v>
      </c>
      <c r="BA117">
        <v>135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Y117*Source!I51</f>
        <v>2.6157599999999999</v>
      </c>
      <c r="CY117">
        <f>AA117</f>
        <v>439.71</v>
      </c>
      <c r="CZ117">
        <f>AE117</f>
        <v>72.319999999999993</v>
      </c>
      <c r="DA117">
        <f>AI117</f>
        <v>6.08</v>
      </c>
      <c r="DB117">
        <v>0</v>
      </c>
    </row>
    <row r="118" spans="1:106" x14ac:dyDescent="0.2">
      <c r="A118">
        <f>ROW(Source!A51)</f>
        <v>51</v>
      </c>
      <c r="B118">
        <v>16499878</v>
      </c>
      <c r="C118">
        <v>16500050</v>
      </c>
      <c r="D118">
        <v>15171018</v>
      </c>
      <c r="E118">
        <v>1</v>
      </c>
      <c r="F118">
        <v>1</v>
      </c>
      <c r="G118">
        <v>1</v>
      </c>
      <c r="H118">
        <v>3</v>
      </c>
      <c r="I118" t="s">
        <v>728</v>
      </c>
      <c r="J118" t="s">
        <v>729</v>
      </c>
      <c r="K118" t="s">
        <v>730</v>
      </c>
      <c r="L118">
        <v>1346</v>
      </c>
      <c r="N118">
        <v>1009</v>
      </c>
      <c r="O118" t="s">
        <v>303</v>
      </c>
      <c r="P118" t="s">
        <v>303</v>
      </c>
      <c r="Q118">
        <v>1</v>
      </c>
      <c r="W118">
        <v>0</v>
      </c>
      <c r="X118">
        <v>813963326</v>
      </c>
      <c r="Y118">
        <v>0.31</v>
      </c>
      <c r="AA118">
        <v>11.07</v>
      </c>
      <c r="AB118">
        <v>0</v>
      </c>
      <c r="AC118">
        <v>0</v>
      </c>
      <c r="AD118">
        <v>0</v>
      </c>
      <c r="AE118">
        <v>1.82</v>
      </c>
      <c r="AF118">
        <v>0</v>
      </c>
      <c r="AG118">
        <v>0</v>
      </c>
      <c r="AH118">
        <v>0</v>
      </c>
      <c r="AI118">
        <v>6.08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224</v>
      </c>
      <c r="AT118">
        <v>0.31</v>
      </c>
      <c r="AU118" t="s">
        <v>224</v>
      </c>
      <c r="AV118">
        <v>0</v>
      </c>
      <c r="AW118">
        <v>2</v>
      </c>
      <c r="AX118">
        <v>16500056</v>
      </c>
      <c r="AY118">
        <v>1</v>
      </c>
      <c r="AZ118">
        <v>0</v>
      </c>
      <c r="BA118">
        <v>136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Y118*Source!I51</f>
        <v>0.96533999999999998</v>
      </c>
      <c r="CY118">
        <f>AA118</f>
        <v>11.07</v>
      </c>
      <c r="CZ118">
        <f>AE118</f>
        <v>1.82</v>
      </c>
      <c r="DA118">
        <f>AI118</f>
        <v>6.08</v>
      </c>
      <c r="DB118">
        <v>0</v>
      </c>
    </row>
    <row r="119" spans="1:106" x14ac:dyDescent="0.2">
      <c r="A119">
        <f>ROW(Source!A51)</f>
        <v>51</v>
      </c>
      <c r="B119">
        <v>16499878</v>
      </c>
      <c r="C119">
        <v>16500050</v>
      </c>
      <c r="D119">
        <v>15203308</v>
      </c>
      <c r="E119">
        <v>1</v>
      </c>
      <c r="F119">
        <v>1</v>
      </c>
      <c r="G119">
        <v>1</v>
      </c>
      <c r="H119">
        <v>3</v>
      </c>
      <c r="I119" t="s">
        <v>310</v>
      </c>
      <c r="J119" t="s">
        <v>312</v>
      </c>
      <c r="K119" t="s">
        <v>311</v>
      </c>
      <c r="L119">
        <v>1348</v>
      </c>
      <c r="N119">
        <v>1009</v>
      </c>
      <c r="O119" t="s">
        <v>288</v>
      </c>
      <c r="P119" t="s">
        <v>288</v>
      </c>
      <c r="Q119">
        <v>1000</v>
      </c>
      <c r="W119">
        <v>0</v>
      </c>
      <c r="X119">
        <v>772632804</v>
      </c>
      <c r="Y119">
        <v>6.9000000000000006E-2</v>
      </c>
      <c r="AA119">
        <v>121439.91</v>
      </c>
      <c r="AB119">
        <v>0</v>
      </c>
      <c r="AC119">
        <v>0</v>
      </c>
      <c r="AD119">
        <v>0</v>
      </c>
      <c r="AE119">
        <v>19973.669999999998</v>
      </c>
      <c r="AF119">
        <v>0</v>
      </c>
      <c r="AG119">
        <v>0</v>
      </c>
      <c r="AH119">
        <v>0</v>
      </c>
      <c r="AI119">
        <v>6.08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224</v>
      </c>
      <c r="AT119">
        <v>6.9000000000000006E-2</v>
      </c>
      <c r="AU119" t="s">
        <v>224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224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Y119*Source!I51</f>
        <v>0.214866</v>
      </c>
      <c r="CY119">
        <f>AA119</f>
        <v>121439.91</v>
      </c>
      <c r="CZ119">
        <f>AE119</f>
        <v>19973.669999999998</v>
      </c>
      <c r="DA119">
        <f>AI119</f>
        <v>6.08</v>
      </c>
      <c r="DB119">
        <v>0</v>
      </c>
    </row>
    <row r="120" spans="1:106" x14ac:dyDescent="0.2">
      <c r="A120">
        <f>ROW(Source!A51)</f>
        <v>51</v>
      </c>
      <c r="B120">
        <v>16499878</v>
      </c>
      <c r="C120">
        <v>16500050</v>
      </c>
      <c r="D120">
        <v>15204729</v>
      </c>
      <c r="E120">
        <v>1</v>
      </c>
      <c r="F120">
        <v>1</v>
      </c>
      <c r="G120">
        <v>1</v>
      </c>
      <c r="H120">
        <v>3</v>
      </c>
      <c r="I120" t="s">
        <v>736</v>
      </c>
      <c r="J120" t="s">
        <v>737</v>
      </c>
      <c r="K120" t="s">
        <v>738</v>
      </c>
      <c r="L120">
        <v>1348</v>
      </c>
      <c r="N120">
        <v>1009</v>
      </c>
      <c r="O120" t="s">
        <v>288</v>
      </c>
      <c r="P120" t="s">
        <v>288</v>
      </c>
      <c r="Q120">
        <v>1000</v>
      </c>
      <c r="W120">
        <v>0</v>
      </c>
      <c r="X120">
        <v>-2084827333</v>
      </c>
      <c r="Y120">
        <v>5.5E-2</v>
      </c>
      <c r="AA120">
        <v>26107.52</v>
      </c>
      <c r="AB120">
        <v>0</v>
      </c>
      <c r="AC120">
        <v>0</v>
      </c>
      <c r="AD120">
        <v>0</v>
      </c>
      <c r="AE120">
        <v>4294</v>
      </c>
      <c r="AF120">
        <v>0</v>
      </c>
      <c r="AG120">
        <v>0</v>
      </c>
      <c r="AH120">
        <v>0</v>
      </c>
      <c r="AI120">
        <v>6.08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224</v>
      </c>
      <c r="AT120">
        <v>5.5E-2</v>
      </c>
      <c r="AU120" t="s">
        <v>224</v>
      </c>
      <c r="AV120">
        <v>0</v>
      </c>
      <c r="AW120">
        <v>2</v>
      </c>
      <c r="AX120">
        <v>16500058</v>
      </c>
      <c r="AY120">
        <v>1</v>
      </c>
      <c r="AZ120">
        <v>0</v>
      </c>
      <c r="BA120">
        <v>138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Y120*Source!I51</f>
        <v>0.17127000000000001</v>
      </c>
      <c r="CY120">
        <f>AA120</f>
        <v>26107.52</v>
      </c>
      <c r="CZ120">
        <f>AE120</f>
        <v>4294</v>
      </c>
      <c r="DA120">
        <f>AI120</f>
        <v>6.08</v>
      </c>
      <c r="DB120">
        <v>0</v>
      </c>
    </row>
    <row r="121" spans="1:106" x14ac:dyDescent="0.2">
      <c r="A121">
        <f>ROW(Source!A54)</f>
        <v>54</v>
      </c>
      <c r="B121">
        <v>16499835</v>
      </c>
      <c r="C121">
        <v>16506801</v>
      </c>
      <c r="D121">
        <v>15430397</v>
      </c>
      <c r="E121">
        <v>1</v>
      </c>
      <c r="F121">
        <v>1</v>
      </c>
      <c r="G121">
        <v>1</v>
      </c>
      <c r="H121">
        <v>1</v>
      </c>
      <c r="I121" t="s">
        <v>739</v>
      </c>
      <c r="J121" t="s">
        <v>224</v>
      </c>
      <c r="K121" t="s">
        <v>740</v>
      </c>
      <c r="L121">
        <v>1191</v>
      </c>
      <c r="N121">
        <v>1013</v>
      </c>
      <c r="O121" t="s">
        <v>628</v>
      </c>
      <c r="P121" t="s">
        <v>628</v>
      </c>
      <c r="Q121">
        <v>1</v>
      </c>
      <c r="W121">
        <v>0</v>
      </c>
      <c r="X121">
        <v>-1081351934</v>
      </c>
      <c r="Y121">
        <v>74.239999999999995</v>
      </c>
      <c r="AA121">
        <v>0</v>
      </c>
      <c r="AB121">
        <v>0</v>
      </c>
      <c r="AC121">
        <v>0</v>
      </c>
      <c r="AD121">
        <v>9.4</v>
      </c>
      <c r="AE121">
        <v>0</v>
      </c>
      <c r="AF121">
        <v>0</v>
      </c>
      <c r="AG121">
        <v>0</v>
      </c>
      <c r="AH121">
        <v>9.4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224</v>
      </c>
      <c r="AT121">
        <v>74.239999999999995</v>
      </c>
      <c r="AU121" t="s">
        <v>224</v>
      </c>
      <c r="AV121">
        <v>1</v>
      </c>
      <c r="AW121">
        <v>2</v>
      </c>
      <c r="AX121">
        <v>16506802</v>
      </c>
      <c r="AY121">
        <v>1</v>
      </c>
      <c r="AZ121">
        <v>0</v>
      </c>
      <c r="BA121">
        <v>139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Y121*Source!I54</f>
        <v>237.56799999999998</v>
      </c>
      <c r="CY121">
        <f>AD121</f>
        <v>9.4</v>
      </c>
      <c r="CZ121">
        <f>AH121</f>
        <v>9.4</v>
      </c>
      <c r="DA121">
        <f>AL121</f>
        <v>1</v>
      </c>
      <c r="DB121">
        <v>0</v>
      </c>
    </row>
    <row r="122" spans="1:106" x14ac:dyDescent="0.2">
      <c r="A122">
        <f>ROW(Source!A54)</f>
        <v>54</v>
      </c>
      <c r="B122">
        <v>16499835</v>
      </c>
      <c r="C122">
        <v>16506801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629</v>
      </c>
      <c r="J122" t="s">
        <v>224</v>
      </c>
      <c r="K122" t="s">
        <v>630</v>
      </c>
      <c r="L122">
        <v>1191</v>
      </c>
      <c r="N122">
        <v>1013</v>
      </c>
      <c r="O122" t="s">
        <v>628</v>
      </c>
      <c r="P122" t="s">
        <v>628</v>
      </c>
      <c r="Q122">
        <v>1</v>
      </c>
      <c r="W122">
        <v>0</v>
      </c>
      <c r="X122">
        <v>-1417349443</v>
      </c>
      <c r="Y122">
        <v>5.0199999999999996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224</v>
      </c>
      <c r="AT122">
        <v>5.0199999999999996</v>
      </c>
      <c r="AU122" t="s">
        <v>224</v>
      </c>
      <c r="AV122">
        <v>2</v>
      </c>
      <c r="AW122">
        <v>2</v>
      </c>
      <c r="AX122">
        <v>16506803</v>
      </c>
      <c r="AY122">
        <v>1</v>
      </c>
      <c r="AZ122">
        <v>0</v>
      </c>
      <c r="BA122">
        <v>140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Y122*Source!I54</f>
        <v>16.064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ROW(Source!A54)</f>
        <v>54</v>
      </c>
      <c r="B123">
        <v>16499835</v>
      </c>
      <c r="C123">
        <v>16506801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640</v>
      </c>
      <c r="J123" t="s">
        <v>641</v>
      </c>
      <c r="K123" t="s">
        <v>642</v>
      </c>
      <c r="L123">
        <v>1368</v>
      </c>
      <c r="N123">
        <v>1011</v>
      </c>
      <c r="O123" t="s">
        <v>634</v>
      </c>
      <c r="P123" t="s">
        <v>634</v>
      </c>
      <c r="Q123">
        <v>1</v>
      </c>
      <c r="W123">
        <v>0</v>
      </c>
      <c r="X123">
        <v>1188625873</v>
      </c>
      <c r="Y123">
        <v>0.26</v>
      </c>
      <c r="AA123">
        <v>0</v>
      </c>
      <c r="AB123">
        <v>31.26</v>
      </c>
      <c r="AC123">
        <v>13.5</v>
      </c>
      <c r="AD123">
        <v>0</v>
      </c>
      <c r="AE123">
        <v>0</v>
      </c>
      <c r="AF123">
        <v>31.26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224</v>
      </c>
      <c r="AT123">
        <v>0.26</v>
      </c>
      <c r="AU123" t="s">
        <v>224</v>
      </c>
      <c r="AV123">
        <v>0</v>
      </c>
      <c r="AW123">
        <v>2</v>
      </c>
      <c r="AX123">
        <v>16506804</v>
      </c>
      <c r="AY123">
        <v>1</v>
      </c>
      <c r="AZ123">
        <v>0</v>
      </c>
      <c r="BA123">
        <v>141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Y123*Source!I54</f>
        <v>0.83200000000000007</v>
      </c>
      <c r="CY123">
        <f>AB123</f>
        <v>31.26</v>
      </c>
      <c r="CZ123">
        <f>AF123</f>
        <v>31.26</v>
      </c>
      <c r="DA123">
        <f>AJ123</f>
        <v>1</v>
      </c>
      <c r="DB123">
        <v>0</v>
      </c>
    </row>
    <row r="124" spans="1:106" x14ac:dyDescent="0.2">
      <c r="A124">
        <f>ROW(Source!A54)</f>
        <v>54</v>
      </c>
      <c r="B124">
        <v>16499835</v>
      </c>
      <c r="C124">
        <v>16506801</v>
      </c>
      <c r="D124">
        <v>15248130</v>
      </c>
      <c r="E124">
        <v>1</v>
      </c>
      <c r="F124">
        <v>1</v>
      </c>
      <c r="G124">
        <v>1</v>
      </c>
      <c r="H124">
        <v>2</v>
      </c>
      <c r="I124" t="s">
        <v>741</v>
      </c>
      <c r="J124" t="s">
        <v>742</v>
      </c>
      <c r="K124" t="s">
        <v>743</v>
      </c>
      <c r="L124">
        <v>1368</v>
      </c>
      <c r="N124">
        <v>1011</v>
      </c>
      <c r="O124" t="s">
        <v>634</v>
      </c>
      <c r="P124" t="s">
        <v>634</v>
      </c>
      <c r="Q124">
        <v>1</v>
      </c>
      <c r="W124">
        <v>0</v>
      </c>
      <c r="X124">
        <v>1573467769</v>
      </c>
      <c r="Y124">
        <v>4.76</v>
      </c>
      <c r="AA124">
        <v>0</v>
      </c>
      <c r="AB124">
        <v>14.15</v>
      </c>
      <c r="AC124">
        <v>8.91</v>
      </c>
      <c r="AD124">
        <v>0</v>
      </c>
      <c r="AE124">
        <v>0</v>
      </c>
      <c r="AF124">
        <v>14.15</v>
      </c>
      <c r="AG124">
        <v>8.91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224</v>
      </c>
      <c r="AT124">
        <v>4.76</v>
      </c>
      <c r="AU124" t="s">
        <v>224</v>
      </c>
      <c r="AV124">
        <v>0</v>
      </c>
      <c r="AW124">
        <v>2</v>
      </c>
      <c r="AX124">
        <v>16506805</v>
      </c>
      <c r="AY124">
        <v>1</v>
      </c>
      <c r="AZ124">
        <v>0</v>
      </c>
      <c r="BA124">
        <v>142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Y124*Source!I54</f>
        <v>15.231999999999999</v>
      </c>
      <c r="CY124">
        <f>AB124</f>
        <v>14.15</v>
      </c>
      <c r="CZ124">
        <f>AF124</f>
        <v>14.15</v>
      </c>
      <c r="DA124">
        <f>AJ124</f>
        <v>1</v>
      </c>
      <c r="DB124">
        <v>0</v>
      </c>
    </row>
    <row r="125" spans="1:106" x14ac:dyDescent="0.2">
      <c r="A125">
        <f>ROW(Source!A54)</f>
        <v>54</v>
      </c>
      <c r="B125">
        <v>16499835</v>
      </c>
      <c r="C125">
        <v>16506801</v>
      </c>
      <c r="D125">
        <v>15170041</v>
      </c>
      <c r="E125">
        <v>1</v>
      </c>
      <c r="F125">
        <v>1</v>
      </c>
      <c r="G125">
        <v>1</v>
      </c>
      <c r="H125">
        <v>3</v>
      </c>
      <c r="I125" t="s">
        <v>744</v>
      </c>
      <c r="J125" t="s">
        <v>745</v>
      </c>
      <c r="K125" t="s">
        <v>746</v>
      </c>
      <c r="L125">
        <v>1348</v>
      </c>
      <c r="N125">
        <v>1009</v>
      </c>
      <c r="O125" t="s">
        <v>288</v>
      </c>
      <c r="P125" t="s">
        <v>288</v>
      </c>
      <c r="Q125">
        <v>1000</v>
      </c>
      <c r="W125">
        <v>0</v>
      </c>
      <c r="X125">
        <v>2032238625</v>
      </c>
      <c r="Y125">
        <v>1.2E-4</v>
      </c>
      <c r="AA125">
        <v>8475</v>
      </c>
      <c r="AB125">
        <v>0</v>
      </c>
      <c r="AC125">
        <v>0</v>
      </c>
      <c r="AD125">
        <v>0</v>
      </c>
      <c r="AE125">
        <v>8475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224</v>
      </c>
      <c r="AT125">
        <v>1.2E-4</v>
      </c>
      <c r="AU125" t="s">
        <v>224</v>
      </c>
      <c r="AV125">
        <v>0</v>
      </c>
      <c r="AW125">
        <v>2</v>
      </c>
      <c r="AX125">
        <v>16506806</v>
      </c>
      <c r="AY125">
        <v>1</v>
      </c>
      <c r="AZ125">
        <v>0</v>
      </c>
      <c r="BA125">
        <v>143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Y125*Source!I54</f>
        <v>3.8400000000000001E-4</v>
      </c>
      <c r="CY125">
        <f>AA125</f>
        <v>8475</v>
      </c>
      <c r="CZ125">
        <f>AE125</f>
        <v>8475</v>
      </c>
      <c r="DA125">
        <f>AI125</f>
        <v>1</v>
      </c>
      <c r="DB125">
        <v>0</v>
      </c>
    </row>
    <row r="126" spans="1:106" x14ac:dyDescent="0.2">
      <c r="A126">
        <f>ROW(Source!A54)</f>
        <v>54</v>
      </c>
      <c r="B126">
        <v>16499835</v>
      </c>
      <c r="C126">
        <v>16506801</v>
      </c>
      <c r="D126">
        <v>15172819</v>
      </c>
      <c r="E126">
        <v>1</v>
      </c>
      <c r="F126">
        <v>1</v>
      </c>
      <c r="G126">
        <v>1</v>
      </c>
      <c r="H126">
        <v>3</v>
      </c>
      <c r="I126" t="s">
        <v>747</v>
      </c>
      <c r="J126" t="s">
        <v>748</v>
      </c>
      <c r="K126" t="s">
        <v>749</v>
      </c>
      <c r="L126">
        <v>1339</v>
      </c>
      <c r="N126">
        <v>1007</v>
      </c>
      <c r="O126" t="s">
        <v>691</v>
      </c>
      <c r="P126" t="s">
        <v>691</v>
      </c>
      <c r="Q126">
        <v>1</v>
      </c>
      <c r="W126">
        <v>0</v>
      </c>
      <c r="X126">
        <v>-1813551736</v>
      </c>
      <c r="Y126">
        <v>1.58</v>
      </c>
      <c r="AA126">
        <v>510.4</v>
      </c>
      <c r="AB126">
        <v>0</v>
      </c>
      <c r="AC126">
        <v>0</v>
      </c>
      <c r="AD126">
        <v>0</v>
      </c>
      <c r="AE126">
        <v>510.4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224</v>
      </c>
      <c r="AT126">
        <v>1.58</v>
      </c>
      <c r="AU126" t="s">
        <v>224</v>
      </c>
      <c r="AV126">
        <v>0</v>
      </c>
      <c r="AW126">
        <v>2</v>
      </c>
      <c r="AX126">
        <v>16506807</v>
      </c>
      <c r="AY126">
        <v>1</v>
      </c>
      <c r="AZ126">
        <v>0</v>
      </c>
      <c r="BA126">
        <v>144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Y126*Source!I54</f>
        <v>5.0560000000000009</v>
      </c>
      <c r="CY126">
        <f>AA126</f>
        <v>510.4</v>
      </c>
      <c r="CZ126">
        <f>AE126</f>
        <v>510.4</v>
      </c>
      <c r="DA126">
        <f>AI126</f>
        <v>1</v>
      </c>
      <c r="DB126">
        <v>0</v>
      </c>
    </row>
    <row r="127" spans="1:106" x14ac:dyDescent="0.2">
      <c r="A127">
        <f>ROW(Source!A54)</f>
        <v>54</v>
      </c>
      <c r="B127">
        <v>16499835</v>
      </c>
      <c r="C127">
        <v>16506801</v>
      </c>
      <c r="D127">
        <v>15172875</v>
      </c>
      <c r="E127">
        <v>1</v>
      </c>
      <c r="F127">
        <v>1</v>
      </c>
      <c r="G127">
        <v>1</v>
      </c>
      <c r="H127">
        <v>3</v>
      </c>
      <c r="I127" t="s">
        <v>750</v>
      </c>
      <c r="J127" t="s">
        <v>751</v>
      </c>
      <c r="K127" t="s">
        <v>752</v>
      </c>
      <c r="L127">
        <v>1339</v>
      </c>
      <c r="N127">
        <v>1007</v>
      </c>
      <c r="O127" t="s">
        <v>691</v>
      </c>
      <c r="P127" t="s">
        <v>691</v>
      </c>
      <c r="Q127">
        <v>1</v>
      </c>
      <c r="W127">
        <v>0</v>
      </c>
      <c r="X127">
        <v>-1001479081</v>
      </c>
      <c r="Y127">
        <v>0.2</v>
      </c>
      <c r="AA127">
        <v>517.91</v>
      </c>
      <c r="AB127">
        <v>0</v>
      </c>
      <c r="AC127">
        <v>0</v>
      </c>
      <c r="AD127">
        <v>0</v>
      </c>
      <c r="AE127">
        <v>517.91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224</v>
      </c>
      <c r="AT127">
        <v>0.2</v>
      </c>
      <c r="AU127" t="s">
        <v>224</v>
      </c>
      <c r="AV127">
        <v>0</v>
      </c>
      <c r="AW127">
        <v>2</v>
      </c>
      <c r="AX127">
        <v>16506808</v>
      </c>
      <c r="AY127">
        <v>1</v>
      </c>
      <c r="AZ127">
        <v>0</v>
      </c>
      <c r="BA127">
        <v>145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Y127*Source!I54</f>
        <v>0.64000000000000012</v>
      </c>
      <c r="CY127">
        <f>AA127</f>
        <v>517.91</v>
      </c>
      <c r="CZ127">
        <f>AE127</f>
        <v>517.91</v>
      </c>
      <c r="DA127">
        <f>AI127</f>
        <v>1</v>
      </c>
      <c r="DB127">
        <v>0</v>
      </c>
    </row>
    <row r="128" spans="1:106" x14ac:dyDescent="0.2">
      <c r="A128">
        <f>ROW(Source!A54)</f>
        <v>54</v>
      </c>
      <c r="B128">
        <v>16499835</v>
      </c>
      <c r="C128">
        <v>16506801</v>
      </c>
      <c r="D128">
        <v>15189930</v>
      </c>
      <c r="E128">
        <v>1</v>
      </c>
      <c r="F128">
        <v>1</v>
      </c>
      <c r="G128">
        <v>1</v>
      </c>
      <c r="H128">
        <v>3</v>
      </c>
      <c r="I128" t="s">
        <v>753</v>
      </c>
      <c r="J128" t="s">
        <v>754</v>
      </c>
      <c r="K128" t="s">
        <v>755</v>
      </c>
      <c r="L128">
        <v>1327</v>
      </c>
      <c r="N128">
        <v>1005</v>
      </c>
      <c r="O128" t="s">
        <v>277</v>
      </c>
      <c r="P128" t="s">
        <v>277</v>
      </c>
      <c r="Q128">
        <v>1</v>
      </c>
      <c r="W128">
        <v>0</v>
      </c>
      <c r="X128">
        <v>1704710638</v>
      </c>
      <c r="Y128">
        <v>5.28</v>
      </c>
      <c r="AA128">
        <v>28.25</v>
      </c>
      <c r="AB128">
        <v>0</v>
      </c>
      <c r="AC128">
        <v>0</v>
      </c>
      <c r="AD128">
        <v>0</v>
      </c>
      <c r="AE128">
        <v>28.25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224</v>
      </c>
      <c r="AT128">
        <v>5.28</v>
      </c>
      <c r="AU128" t="s">
        <v>224</v>
      </c>
      <c r="AV128">
        <v>0</v>
      </c>
      <c r="AW128">
        <v>2</v>
      </c>
      <c r="AX128">
        <v>16506809</v>
      </c>
      <c r="AY128">
        <v>1</v>
      </c>
      <c r="AZ128">
        <v>0</v>
      </c>
      <c r="BA128">
        <v>146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Y128*Source!I54</f>
        <v>16.896000000000001</v>
      </c>
      <c r="CY128">
        <f>AA128</f>
        <v>28.25</v>
      </c>
      <c r="CZ128">
        <f>AE128</f>
        <v>28.25</v>
      </c>
      <c r="DA128">
        <f>AI128</f>
        <v>1</v>
      </c>
      <c r="DB128">
        <v>0</v>
      </c>
    </row>
    <row r="129" spans="1:106" x14ac:dyDescent="0.2">
      <c r="A129">
        <f>ROW(Source!A55)</f>
        <v>55</v>
      </c>
      <c r="B129">
        <v>16499878</v>
      </c>
      <c r="C129">
        <v>16506801</v>
      </c>
      <c r="D129">
        <v>15430397</v>
      </c>
      <c r="E129">
        <v>1</v>
      </c>
      <c r="F129">
        <v>1</v>
      </c>
      <c r="G129">
        <v>1</v>
      </c>
      <c r="H129">
        <v>1</v>
      </c>
      <c r="I129" t="s">
        <v>739</v>
      </c>
      <c r="J129" t="s">
        <v>224</v>
      </c>
      <c r="K129" t="s">
        <v>740</v>
      </c>
      <c r="L129">
        <v>1191</v>
      </c>
      <c r="N129">
        <v>1013</v>
      </c>
      <c r="O129" t="s">
        <v>628</v>
      </c>
      <c r="P129" t="s">
        <v>628</v>
      </c>
      <c r="Q129">
        <v>1</v>
      </c>
      <c r="W129">
        <v>0</v>
      </c>
      <c r="X129">
        <v>-1081351934</v>
      </c>
      <c r="Y129">
        <v>74.239999999999995</v>
      </c>
      <c r="AA129">
        <v>0</v>
      </c>
      <c r="AB129">
        <v>0</v>
      </c>
      <c r="AC129">
        <v>0</v>
      </c>
      <c r="AD129">
        <v>57.15</v>
      </c>
      <c r="AE129">
        <v>0</v>
      </c>
      <c r="AF129">
        <v>0</v>
      </c>
      <c r="AG129">
        <v>0</v>
      </c>
      <c r="AH129">
        <v>9.4</v>
      </c>
      <c r="AI129">
        <v>1</v>
      </c>
      <c r="AJ129">
        <v>1</v>
      </c>
      <c r="AK129">
        <v>1</v>
      </c>
      <c r="AL129">
        <v>6.08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224</v>
      </c>
      <c r="AT129">
        <v>74.239999999999995</v>
      </c>
      <c r="AU129" t="s">
        <v>224</v>
      </c>
      <c r="AV129">
        <v>1</v>
      </c>
      <c r="AW129">
        <v>2</v>
      </c>
      <c r="AX129">
        <v>16506802</v>
      </c>
      <c r="AY129">
        <v>1</v>
      </c>
      <c r="AZ129">
        <v>0</v>
      </c>
      <c r="BA129">
        <v>147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Y129*Source!I55</f>
        <v>237.56799999999998</v>
      </c>
      <c r="CY129">
        <f>AD129</f>
        <v>57.15</v>
      </c>
      <c r="CZ129">
        <f>AH129</f>
        <v>9.4</v>
      </c>
      <c r="DA129">
        <f>AL129</f>
        <v>6.08</v>
      </c>
      <c r="DB129">
        <v>0</v>
      </c>
    </row>
    <row r="130" spans="1:106" x14ac:dyDescent="0.2">
      <c r="A130">
        <f>ROW(Source!A55)</f>
        <v>55</v>
      </c>
      <c r="B130">
        <v>16499878</v>
      </c>
      <c r="C130">
        <v>16506801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629</v>
      </c>
      <c r="J130" t="s">
        <v>224</v>
      </c>
      <c r="K130" t="s">
        <v>630</v>
      </c>
      <c r="L130">
        <v>1191</v>
      </c>
      <c r="N130">
        <v>1013</v>
      </c>
      <c r="O130" t="s">
        <v>628</v>
      </c>
      <c r="P130" t="s">
        <v>628</v>
      </c>
      <c r="Q130">
        <v>1</v>
      </c>
      <c r="W130">
        <v>0</v>
      </c>
      <c r="X130">
        <v>-1417349443</v>
      </c>
      <c r="Y130">
        <v>5.0199999999999996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6.08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224</v>
      </c>
      <c r="AT130">
        <v>5.0199999999999996</v>
      </c>
      <c r="AU130" t="s">
        <v>224</v>
      </c>
      <c r="AV130">
        <v>2</v>
      </c>
      <c r="AW130">
        <v>2</v>
      </c>
      <c r="AX130">
        <v>16506803</v>
      </c>
      <c r="AY130">
        <v>1</v>
      </c>
      <c r="AZ130">
        <v>0</v>
      </c>
      <c r="BA130">
        <v>148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Y130*Source!I55</f>
        <v>16.064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ROW(Source!A55)</f>
        <v>55</v>
      </c>
      <c r="B131">
        <v>16499878</v>
      </c>
      <c r="C131">
        <v>16506801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640</v>
      </c>
      <c r="J131" t="s">
        <v>641</v>
      </c>
      <c r="K131" t="s">
        <v>642</v>
      </c>
      <c r="L131">
        <v>1368</v>
      </c>
      <c r="N131">
        <v>1011</v>
      </c>
      <c r="O131" t="s">
        <v>634</v>
      </c>
      <c r="P131" t="s">
        <v>634</v>
      </c>
      <c r="Q131">
        <v>1</v>
      </c>
      <c r="W131">
        <v>0</v>
      </c>
      <c r="X131">
        <v>1188625873</v>
      </c>
      <c r="Y131">
        <v>0.26</v>
      </c>
      <c r="AA131">
        <v>0</v>
      </c>
      <c r="AB131">
        <v>190.06</v>
      </c>
      <c r="AC131">
        <v>13.5</v>
      </c>
      <c r="AD131">
        <v>0</v>
      </c>
      <c r="AE131">
        <v>0</v>
      </c>
      <c r="AF131">
        <v>31.26</v>
      </c>
      <c r="AG131">
        <v>13.5</v>
      </c>
      <c r="AH131">
        <v>0</v>
      </c>
      <c r="AI131">
        <v>1</v>
      </c>
      <c r="AJ131">
        <v>6.08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224</v>
      </c>
      <c r="AT131">
        <v>0.26</v>
      </c>
      <c r="AU131" t="s">
        <v>224</v>
      </c>
      <c r="AV131">
        <v>0</v>
      </c>
      <c r="AW131">
        <v>2</v>
      </c>
      <c r="AX131">
        <v>16506804</v>
      </c>
      <c r="AY131">
        <v>1</v>
      </c>
      <c r="AZ131">
        <v>0</v>
      </c>
      <c r="BA131">
        <v>149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Y131*Source!I55</f>
        <v>0.83200000000000007</v>
      </c>
      <c r="CY131">
        <f>AB131</f>
        <v>190.06</v>
      </c>
      <c r="CZ131">
        <f>AF131</f>
        <v>31.26</v>
      </c>
      <c r="DA131">
        <f>AJ131</f>
        <v>6.08</v>
      </c>
      <c r="DB131">
        <v>0</v>
      </c>
    </row>
    <row r="132" spans="1:106" x14ac:dyDescent="0.2">
      <c r="A132">
        <f>ROW(Source!A55)</f>
        <v>55</v>
      </c>
      <c r="B132">
        <v>16499878</v>
      </c>
      <c r="C132">
        <v>16506801</v>
      </c>
      <c r="D132">
        <v>15248130</v>
      </c>
      <c r="E132">
        <v>1</v>
      </c>
      <c r="F132">
        <v>1</v>
      </c>
      <c r="G132">
        <v>1</v>
      </c>
      <c r="H132">
        <v>2</v>
      </c>
      <c r="I132" t="s">
        <v>741</v>
      </c>
      <c r="J132" t="s">
        <v>742</v>
      </c>
      <c r="K132" t="s">
        <v>743</v>
      </c>
      <c r="L132">
        <v>1368</v>
      </c>
      <c r="N132">
        <v>1011</v>
      </c>
      <c r="O132" t="s">
        <v>634</v>
      </c>
      <c r="P132" t="s">
        <v>634</v>
      </c>
      <c r="Q132">
        <v>1</v>
      </c>
      <c r="W132">
        <v>0</v>
      </c>
      <c r="X132">
        <v>1573467769</v>
      </c>
      <c r="Y132">
        <v>4.76</v>
      </c>
      <c r="AA132">
        <v>0</v>
      </c>
      <c r="AB132">
        <v>86.03</v>
      </c>
      <c r="AC132">
        <v>8.91</v>
      </c>
      <c r="AD132">
        <v>0</v>
      </c>
      <c r="AE132">
        <v>0</v>
      </c>
      <c r="AF132">
        <v>14.15</v>
      </c>
      <c r="AG132">
        <v>8.91</v>
      </c>
      <c r="AH132">
        <v>0</v>
      </c>
      <c r="AI132">
        <v>1</v>
      </c>
      <c r="AJ132">
        <v>6.08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224</v>
      </c>
      <c r="AT132">
        <v>4.76</v>
      </c>
      <c r="AU132" t="s">
        <v>224</v>
      </c>
      <c r="AV132">
        <v>0</v>
      </c>
      <c r="AW132">
        <v>2</v>
      </c>
      <c r="AX132">
        <v>16506805</v>
      </c>
      <c r="AY132">
        <v>1</v>
      </c>
      <c r="AZ132">
        <v>0</v>
      </c>
      <c r="BA132">
        <v>150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Y132*Source!I55</f>
        <v>15.231999999999999</v>
      </c>
      <c r="CY132">
        <f>AB132</f>
        <v>86.03</v>
      </c>
      <c r="CZ132">
        <f>AF132</f>
        <v>14.15</v>
      </c>
      <c r="DA132">
        <f>AJ132</f>
        <v>6.08</v>
      </c>
      <c r="DB132">
        <v>0</v>
      </c>
    </row>
    <row r="133" spans="1:106" x14ac:dyDescent="0.2">
      <c r="A133">
        <f>ROW(Source!A55)</f>
        <v>55</v>
      </c>
      <c r="B133">
        <v>16499878</v>
      </c>
      <c r="C133">
        <v>16506801</v>
      </c>
      <c r="D133">
        <v>15170041</v>
      </c>
      <c r="E133">
        <v>1</v>
      </c>
      <c r="F133">
        <v>1</v>
      </c>
      <c r="G133">
        <v>1</v>
      </c>
      <c r="H133">
        <v>3</v>
      </c>
      <c r="I133" t="s">
        <v>744</v>
      </c>
      <c r="J133" t="s">
        <v>745</v>
      </c>
      <c r="K133" t="s">
        <v>746</v>
      </c>
      <c r="L133">
        <v>1348</v>
      </c>
      <c r="N133">
        <v>1009</v>
      </c>
      <c r="O133" t="s">
        <v>288</v>
      </c>
      <c r="P133" t="s">
        <v>288</v>
      </c>
      <c r="Q133">
        <v>1000</v>
      </c>
      <c r="W133">
        <v>0</v>
      </c>
      <c r="X133">
        <v>2032238625</v>
      </c>
      <c r="Y133">
        <v>1.2E-4</v>
      </c>
      <c r="AA133">
        <v>51528</v>
      </c>
      <c r="AB133">
        <v>0</v>
      </c>
      <c r="AC133">
        <v>0</v>
      </c>
      <c r="AD133">
        <v>0</v>
      </c>
      <c r="AE133">
        <v>8475</v>
      </c>
      <c r="AF133">
        <v>0</v>
      </c>
      <c r="AG133">
        <v>0</v>
      </c>
      <c r="AH133">
        <v>0</v>
      </c>
      <c r="AI133">
        <v>6.08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224</v>
      </c>
      <c r="AT133">
        <v>1.2E-4</v>
      </c>
      <c r="AU133" t="s">
        <v>224</v>
      </c>
      <c r="AV133">
        <v>0</v>
      </c>
      <c r="AW133">
        <v>2</v>
      </c>
      <c r="AX133">
        <v>16506806</v>
      </c>
      <c r="AY133">
        <v>1</v>
      </c>
      <c r="AZ133">
        <v>0</v>
      </c>
      <c r="BA133">
        <v>151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Y133*Source!I55</f>
        <v>3.8400000000000001E-4</v>
      </c>
      <c r="CY133">
        <f>AA133</f>
        <v>51528</v>
      </c>
      <c r="CZ133">
        <f>AE133</f>
        <v>8475</v>
      </c>
      <c r="DA133">
        <f>AI133</f>
        <v>6.08</v>
      </c>
      <c r="DB133">
        <v>0</v>
      </c>
    </row>
    <row r="134" spans="1:106" x14ac:dyDescent="0.2">
      <c r="A134">
        <f>ROW(Source!A55)</f>
        <v>55</v>
      </c>
      <c r="B134">
        <v>16499878</v>
      </c>
      <c r="C134">
        <v>16506801</v>
      </c>
      <c r="D134">
        <v>15172819</v>
      </c>
      <c r="E134">
        <v>1</v>
      </c>
      <c r="F134">
        <v>1</v>
      </c>
      <c r="G134">
        <v>1</v>
      </c>
      <c r="H134">
        <v>3</v>
      </c>
      <c r="I134" t="s">
        <v>747</v>
      </c>
      <c r="J134" t="s">
        <v>748</v>
      </c>
      <c r="K134" t="s">
        <v>749</v>
      </c>
      <c r="L134">
        <v>1339</v>
      </c>
      <c r="N134">
        <v>1007</v>
      </c>
      <c r="O134" t="s">
        <v>691</v>
      </c>
      <c r="P134" t="s">
        <v>691</v>
      </c>
      <c r="Q134">
        <v>1</v>
      </c>
      <c r="W134">
        <v>0</v>
      </c>
      <c r="X134">
        <v>-1813551736</v>
      </c>
      <c r="Y134">
        <v>1.58</v>
      </c>
      <c r="AA134">
        <v>3103.23</v>
      </c>
      <c r="AB134">
        <v>0</v>
      </c>
      <c r="AC134">
        <v>0</v>
      </c>
      <c r="AD134">
        <v>0</v>
      </c>
      <c r="AE134">
        <v>510.4</v>
      </c>
      <c r="AF134">
        <v>0</v>
      </c>
      <c r="AG134">
        <v>0</v>
      </c>
      <c r="AH134">
        <v>0</v>
      </c>
      <c r="AI134">
        <v>6.08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224</v>
      </c>
      <c r="AT134">
        <v>1.58</v>
      </c>
      <c r="AU134" t="s">
        <v>224</v>
      </c>
      <c r="AV134">
        <v>0</v>
      </c>
      <c r="AW134">
        <v>2</v>
      </c>
      <c r="AX134">
        <v>16506807</v>
      </c>
      <c r="AY134">
        <v>1</v>
      </c>
      <c r="AZ134">
        <v>0</v>
      </c>
      <c r="BA134">
        <v>152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Y134*Source!I55</f>
        <v>5.0560000000000009</v>
      </c>
      <c r="CY134">
        <f>AA134</f>
        <v>3103.23</v>
      </c>
      <c r="CZ134">
        <f>AE134</f>
        <v>510.4</v>
      </c>
      <c r="DA134">
        <f>AI134</f>
        <v>6.08</v>
      </c>
      <c r="DB134">
        <v>0</v>
      </c>
    </row>
    <row r="135" spans="1:106" x14ac:dyDescent="0.2">
      <c r="A135">
        <f>ROW(Source!A55)</f>
        <v>55</v>
      </c>
      <c r="B135">
        <v>16499878</v>
      </c>
      <c r="C135">
        <v>16506801</v>
      </c>
      <c r="D135">
        <v>15172875</v>
      </c>
      <c r="E135">
        <v>1</v>
      </c>
      <c r="F135">
        <v>1</v>
      </c>
      <c r="G135">
        <v>1</v>
      </c>
      <c r="H135">
        <v>3</v>
      </c>
      <c r="I135" t="s">
        <v>750</v>
      </c>
      <c r="J135" t="s">
        <v>751</v>
      </c>
      <c r="K135" t="s">
        <v>752</v>
      </c>
      <c r="L135">
        <v>1339</v>
      </c>
      <c r="N135">
        <v>1007</v>
      </c>
      <c r="O135" t="s">
        <v>691</v>
      </c>
      <c r="P135" t="s">
        <v>691</v>
      </c>
      <c r="Q135">
        <v>1</v>
      </c>
      <c r="W135">
        <v>0</v>
      </c>
      <c r="X135">
        <v>-1001479081</v>
      </c>
      <c r="Y135">
        <v>0.2</v>
      </c>
      <c r="AA135">
        <v>3148.89</v>
      </c>
      <c r="AB135">
        <v>0</v>
      </c>
      <c r="AC135">
        <v>0</v>
      </c>
      <c r="AD135">
        <v>0</v>
      </c>
      <c r="AE135">
        <v>517.91</v>
      </c>
      <c r="AF135">
        <v>0</v>
      </c>
      <c r="AG135">
        <v>0</v>
      </c>
      <c r="AH135">
        <v>0</v>
      </c>
      <c r="AI135">
        <v>6.08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224</v>
      </c>
      <c r="AT135">
        <v>0.2</v>
      </c>
      <c r="AU135" t="s">
        <v>224</v>
      </c>
      <c r="AV135">
        <v>0</v>
      </c>
      <c r="AW135">
        <v>2</v>
      </c>
      <c r="AX135">
        <v>16506808</v>
      </c>
      <c r="AY135">
        <v>1</v>
      </c>
      <c r="AZ135">
        <v>0</v>
      </c>
      <c r="BA135">
        <v>153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Y135*Source!I55</f>
        <v>0.64000000000000012</v>
      </c>
      <c r="CY135">
        <f>AA135</f>
        <v>3148.89</v>
      </c>
      <c r="CZ135">
        <f>AE135</f>
        <v>517.91</v>
      </c>
      <c r="DA135">
        <f>AI135</f>
        <v>6.08</v>
      </c>
      <c r="DB135">
        <v>0</v>
      </c>
    </row>
    <row r="136" spans="1:106" x14ac:dyDescent="0.2">
      <c r="A136">
        <f>ROW(Source!A55)</f>
        <v>55</v>
      </c>
      <c r="B136">
        <v>16499878</v>
      </c>
      <c r="C136">
        <v>16506801</v>
      </c>
      <c r="D136">
        <v>15189930</v>
      </c>
      <c r="E136">
        <v>1</v>
      </c>
      <c r="F136">
        <v>1</v>
      </c>
      <c r="G136">
        <v>1</v>
      </c>
      <c r="H136">
        <v>3</v>
      </c>
      <c r="I136" t="s">
        <v>753</v>
      </c>
      <c r="J136" t="s">
        <v>754</v>
      </c>
      <c r="K136" t="s">
        <v>755</v>
      </c>
      <c r="L136">
        <v>1327</v>
      </c>
      <c r="N136">
        <v>1005</v>
      </c>
      <c r="O136" t="s">
        <v>277</v>
      </c>
      <c r="P136" t="s">
        <v>277</v>
      </c>
      <c r="Q136">
        <v>1</v>
      </c>
      <c r="W136">
        <v>0</v>
      </c>
      <c r="X136">
        <v>1704710638</v>
      </c>
      <c r="Y136">
        <v>5.28</v>
      </c>
      <c r="AA136">
        <v>171.76</v>
      </c>
      <c r="AB136">
        <v>0</v>
      </c>
      <c r="AC136">
        <v>0</v>
      </c>
      <c r="AD136">
        <v>0</v>
      </c>
      <c r="AE136">
        <v>28.25</v>
      </c>
      <c r="AF136">
        <v>0</v>
      </c>
      <c r="AG136">
        <v>0</v>
      </c>
      <c r="AH136">
        <v>0</v>
      </c>
      <c r="AI136">
        <v>6.08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224</v>
      </c>
      <c r="AT136">
        <v>5.28</v>
      </c>
      <c r="AU136" t="s">
        <v>224</v>
      </c>
      <c r="AV136">
        <v>0</v>
      </c>
      <c r="AW136">
        <v>2</v>
      </c>
      <c r="AX136">
        <v>16506809</v>
      </c>
      <c r="AY136">
        <v>1</v>
      </c>
      <c r="AZ136">
        <v>0</v>
      </c>
      <c r="BA136">
        <v>154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Y136*Source!I55</f>
        <v>16.896000000000001</v>
      </c>
      <c r="CY136">
        <f>AA136</f>
        <v>171.76</v>
      </c>
      <c r="CZ136">
        <f>AE136</f>
        <v>28.25</v>
      </c>
      <c r="DA136">
        <f>AI136</f>
        <v>6.08</v>
      </c>
      <c r="DB136">
        <v>0</v>
      </c>
    </row>
    <row r="137" spans="1:106" x14ac:dyDescent="0.2">
      <c r="A137">
        <f>ROW(Source!A56)</f>
        <v>56</v>
      </c>
      <c r="B137">
        <v>16499835</v>
      </c>
      <c r="C137">
        <v>16500105</v>
      </c>
      <c r="D137">
        <v>15436014</v>
      </c>
      <c r="E137">
        <v>1</v>
      </c>
      <c r="F137">
        <v>1</v>
      </c>
      <c r="G137">
        <v>1</v>
      </c>
      <c r="H137">
        <v>1</v>
      </c>
      <c r="I137" t="s">
        <v>756</v>
      </c>
      <c r="J137" t="s">
        <v>224</v>
      </c>
      <c r="K137" t="s">
        <v>757</v>
      </c>
      <c r="L137">
        <v>1191</v>
      </c>
      <c r="N137">
        <v>1013</v>
      </c>
      <c r="O137" t="s">
        <v>628</v>
      </c>
      <c r="P137" t="s">
        <v>628</v>
      </c>
      <c r="Q137">
        <v>1</v>
      </c>
      <c r="W137">
        <v>0</v>
      </c>
      <c r="X137">
        <v>-784637506</v>
      </c>
      <c r="Y137">
        <v>50.094000000000001</v>
      </c>
      <c r="AA137">
        <v>0</v>
      </c>
      <c r="AB137">
        <v>0</v>
      </c>
      <c r="AC137">
        <v>0</v>
      </c>
      <c r="AD137">
        <v>8.74</v>
      </c>
      <c r="AE137">
        <v>0</v>
      </c>
      <c r="AF137">
        <v>0</v>
      </c>
      <c r="AG137">
        <v>0</v>
      </c>
      <c r="AH137">
        <v>8.74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224</v>
      </c>
      <c r="AT137">
        <v>43.56</v>
      </c>
      <c r="AU137" t="s">
        <v>240</v>
      </c>
      <c r="AV137">
        <v>1</v>
      </c>
      <c r="AW137">
        <v>2</v>
      </c>
      <c r="AX137">
        <v>16500106</v>
      </c>
      <c r="AY137">
        <v>1</v>
      </c>
      <c r="AZ137">
        <v>0</v>
      </c>
      <c r="BA137">
        <v>155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Y137*Source!I56</f>
        <v>255.4794</v>
      </c>
      <c r="CY137">
        <f>AD137</f>
        <v>8.74</v>
      </c>
      <c r="CZ137">
        <f>AH137</f>
        <v>8.74</v>
      </c>
      <c r="DA137">
        <f>AL137</f>
        <v>1</v>
      </c>
      <c r="DB137">
        <v>0</v>
      </c>
    </row>
    <row r="138" spans="1:106" x14ac:dyDescent="0.2">
      <c r="A138">
        <f>ROW(Source!A56)</f>
        <v>56</v>
      </c>
      <c r="B138">
        <v>16499835</v>
      </c>
      <c r="C138">
        <v>16500105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629</v>
      </c>
      <c r="J138" t="s">
        <v>224</v>
      </c>
      <c r="K138" t="s">
        <v>630</v>
      </c>
      <c r="L138">
        <v>1191</v>
      </c>
      <c r="N138">
        <v>1013</v>
      </c>
      <c r="O138" t="s">
        <v>628</v>
      </c>
      <c r="P138" t="s">
        <v>628</v>
      </c>
      <c r="Q138">
        <v>1</v>
      </c>
      <c r="W138">
        <v>0</v>
      </c>
      <c r="X138">
        <v>-1417349443</v>
      </c>
      <c r="Y138">
        <v>0.17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224</v>
      </c>
      <c r="AT138">
        <v>0.17</v>
      </c>
      <c r="AU138" t="s">
        <v>224</v>
      </c>
      <c r="AV138">
        <v>2</v>
      </c>
      <c r="AW138">
        <v>2</v>
      </c>
      <c r="AX138">
        <v>16500107</v>
      </c>
      <c r="AY138">
        <v>1</v>
      </c>
      <c r="AZ138">
        <v>2048</v>
      </c>
      <c r="BA138">
        <v>156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Y138*Source!I56</f>
        <v>0.86699999999999999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ROW(Source!A56)</f>
        <v>56</v>
      </c>
      <c r="B139">
        <v>16499835</v>
      </c>
      <c r="C139">
        <v>16500105</v>
      </c>
      <c r="D139">
        <v>15247970</v>
      </c>
      <c r="E139">
        <v>1</v>
      </c>
      <c r="F139">
        <v>1</v>
      </c>
      <c r="G139">
        <v>1</v>
      </c>
      <c r="H139">
        <v>2</v>
      </c>
      <c r="I139" t="s">
        <v>758</v>
      </c>
      <c r="J139" t="s">
        <v>759</v>
      </c>
      <c r="K139" t="s">
        <v>760</v>
      </c>
      <c r="L139">
        <v>1368</v>
      </c>
      <c r="N139">
        <v>1011</v>
      </c>
      <c r="O139" t="s">
        <v>634</v>
      </c>
      <c r="P139" t="s">
        <v>634</v>
      </c>
      <c r="Q139">
        <v>1</v>
      </c>
      <c r="W139">
        <v>0</v>
      </c>
      <c r="X139">
        <v>368031958</v>
      </c>
      <c r="Y139">
        <v>2.5000000000000001E-2</v>
      </c>
      <c r="AA139">
        <v>0</v>
      </c>
      <c r="AB139">
        <v>27.66</v>
      </c>
      <c r="AC139">
        <v>11.6</v>
      </c>
      <c r="AD139">
        <v>0</v>
      </c>
      <c r="AE139">
        <v>0</v>
      </c>
      <c r="AF139">
        <v>27.66</v>
      </c>
      <c r="AG139">
        <v>11.6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224</v>
      </c>
      <c r="AT139">
        <v>0.02</v>
      </c>
      <c r="AU139" t="s">
        <v>239</v>
      </c>
      <c r="AV139">
        <v>0</v>
      </c>
      <c r="AW139">
        <v>2</v>
      </c>
      <c r="AX139">
        <v>16500108</v>
      </c>
      <c r="AY139">
        <v>1</v>
      </c>
      <c r="AZ139">
        <v>0</v>
      </c>
      <c r="BA139">
        <v>157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Y139*Source!I56</f>
        <v>0.1275</v>
      </c>
      <c r="CY139">
        <f>AB139</f>
        <v>27.66</v>
      </c>
      <c r="CZ139">
        <f>AF139</f>
        <v>27.66</v>
      </c>
      <c r="DA139">
        <f>AJ139</f>
        <v>1</v>
      </c>
      <c r="DB139">
        <v>0</v>
      </c>
    </row>
    <row r="140" spans="1:106" x14ac:dyDescent="0.2">
      <c r="A140">
        <f>ROW(Source!A56)</f>
        <v>56</v>
      </c>
      <c r="B140">
        <v>16499835</v>
      </c>
      <c r="C140">
        <v>16500105</v>
      </c>
      <c r="D140">
        <v>15249073</v>
      </c>
      <c r="E140">
        <v>1</v>
      </c>
      <c r="F140">
        <v>1</v>
      </c>
      <c r="G140">
        <v>1</v>
      </c>
      <c r="H140">
        <v>2</v>
      </c>
      <c r="I140" t="s">
        <v>631</v>
      </c>
      <c r="J140" t="s">
        <v>632</v>
      </c>
      <c r="K140" t="s">
        <v>633</v>
      </c>
      <c r="L140">
        <v>1368</v>
      </c>
      <c r="N140">
        <v>1011</v>
      </c>
      <c r="O140" t="s">
        <v>634</v>
      </c>
      <c r="P140" t="s">
        <v>634</v>
      </c>
      <c r="Q140">
        <v>1</v>
      </c>
      <c r="W140">
        <v>0</v>
      </c>
      <c r="X140">
        <v>1372534845</v>
      </c>
      <c r="Y140">
        <v>0.1875</v>
      </c>
      <c r="AA140">
        <v>0</v>
      </c>
      <c r="AB140">
        <v>65.709999999999994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224</v>
      </c>
      <c r="AT140">
        <v>0.15</v>
      </c>
      <c r="AU140" t="s">
        <v>239</v>
      </c>
      <c r="AV140">
        <v>0</v>
      </c>
      <c r="AW140">
        <v>2</v>
      </c>
      <c r="AX140">
        <v>16500109</v>
      </c>
      <c r="AY140">
        <v>1</v>
      </c>
      <c r="AZ140">
        <v>0</v>
      </c>
      <c r="BA140">
        <v>158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Y140*Source!I56</f>
        <v>0.95624999999999993</v>
      </c>
      <c r="CY140">
        <f>AB140</f>
        <v>65.709999999999994</v>
      </c>
      <c r="CZ140">
        <f>AF140</f>
        <v>65.709999999999994</v>
      </c>
      <c r="DA140">
        <f>AJ140</f>
        <v>1</v>
      </c>
      <c r="DB140">
        <v>0</v>
      </c>
    </row>
    <row r="141" spans="1:106" x14ac:dyDescent="0.2">
      <c r="A141">
        <f>ROW(Source!A56)</f>
        <v>56</v>
      </c>
      <c r="B141">
        <v>16499835</v>
      </c>
      <c r="C141">
        <v>16500105</v>
      </c>
      <c r="D141">
        <v>15170682</v>
      </c>
      <c r="E141">
        <v>1</v>
      </c>
      <c r="F141">
        <v>1</v>
      </c>
      <c r="G141">
        <v>1</v>
      </c>
      <c r="H141">
        <v>3</v>
      </c>
      <c r="I141" t="s">
        <v>733</v>
      </c>
      <c r="J141" t="s">
        <v>734</v>
      </c>
      <c r="K141" t="s">
        <v>735</v>
      </c>
      <c r="L141">
        <v>1327</v>
      </c>
      <c r="N141">
        <v>1005</v>
      </c>
      <c r="O141" t="s">
        <v>277</v>
      </c>
      <c r="P141" t="s">
        <v>277</v>
      </c>
      <c r="Q141">
        <v>1</v>
      </c>
      <c r="W141">
        <v>0</v>
      </c>
      <c r="X141">
        <v>-1987926685</v>
      </c>
      <c r="Y141">
        <v>0.84</v>
      </c>
      <c r="AA141">
        <v>72.319999999999993</v>
      </c>
      <c r="AB141">
        <v>0</v>
      </c>
      <c r="AC141">
        <v>0</v>
      </c>
      <c r="AD141">
        <v>0</v>
      </c>
      <c r="AE141">
        <v>72.319999999999993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224</v>
      </c>
      <c r="AT141">
        <v>0.84</v>
      </c>
      <c r="AU141" t="s">
        <v>224</v>
      </c>
      <c r="AV141">
        <v>0</v>
      </c>
      <c r="AW141">
        <v>2</v>
      </c>
      <c r="AX141">
        <v>16500110</v>
      </c>
      <c r="AY141">
        <v>1</v>
      </c>
      <c r="AZ141">
        <v>0</v>
      </c>
      <c r="BA141">
        <v>159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Y141*Source!I56</f>
        <v>4.2839999999999998</v>
      </c>
      <c r="CY141">
        <f>AA141</f>
        <v>72.319999999999993</v>
      </c>
      <c r="CZ141">
        <f>AE141</f>
        <v>72.319999999999993</v>
      </c>
      <c r="DA141">
        <f>AI141</f>
        <v>1</v>
      </c>
      <c r="DB141">
        <v>0</v>
      </c>
    </row>
    <row r="142" spans="1:106" x14ac:dyDescent="0.2">
      <c r="A142">
        <f>ROW(Source!A56)</f>
        <v>56</v>
      </c>
      <c r="B142">
        <v>16499835</v>
      </c>
      <c r="C142">
        <v>16500105</v>
      </c>
      <c r="D142">
        <v>15171018</v>
      </c>
      <c r="E142">
        <v>1</v>
      </c>
      <c r="F142">
        <v>1</v>
      </c>
      <c r="G142">
        <v>1</v>
      </c>
      <c r="H142">
        <v>3</v>
      </c>
      <c r="I142" t="s">
        <v>728</v>
      </c>
      <c r="J142" t="s">
        <v>729</v>
      </c>
      <c r="K142" t="s">
        <v>730</v>
      </c>
      <c r="L142">
        <v>1346</v>
      </c>
      <c r="N142">
        <v>1009</v>
      </c>
      <c r="O142" t="s">
        <v>303</v>
      </c>
      <c r="P142" t="s">
        <v>303</v>
      </c>
      <c r="Q142">
        <v>1</v>
      </c>
      <c r="W142">
        <v>0</v>
      </c>
      <c r="X142">
        <v>813963326</v>
      </c>
      <c r="Y142">
        <v>0.31</v>
      </c>
      <c r="AA142">
        <v>1.82</v>
      </c>
      <c r="AB142">
        <v>0</v>
      </c>
      <c r="AC142">
        <v>0</v>
      </c>
      <c r="AD142">
        <v>0</v>
      </c>
      <c r="AE142">
        <v>1.82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224</v>
      </c>
      <c r="AT142">
        <v>0.31</v>
      </c>
      <c r="AU142" t="s">
        <v>224</v>
      </c>
      <c r="AV142">
        <v>0</v>
      </c>
      <c r="AW142">
        <v>2</v>
      </c>
      <c r="AX142">
        <v>16500111</v>
      </c>
      <c r="AY142">
        <v>1</v>
      </c>
      <c r="AZ142">
        <v>0</v>
      </c>
      <c r="BA142">
        <v>160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Y142*Source!I56</f>
        <v>1.581</v>
      </c>
      <c r="CY142">
        <f>AA142</f>
        <v>1.82</v>
      </c>
      <c r="CZ142">
        <f>AE142</f>
        <v>1.82</v>
      </c>
      <c r="DA142">
        <f>AI142</f>
        <v>1</v>
      </c>
      <c r="DB142">
        <v>0</v>
      </c>
    </row>
    <row r="143" spans="1:106" x14ac:dyDescent="0.2">
      <c r="A143">
        <f>ROW(Source!A56)</f>
        <v>56</v>
      </c>
      <c r="B143">
        <v>16499835</v>
      </c>
      <c r="C143">
        <v>16500105</v>
      </c>
      <c r="D143">
        <v>15203281</v>
      </c>
      <c r="E143">
        <v>1</v>
      </c>
      <c r="F143">
        <v>1</v>
      </c>
      <c r="G143">
        <v>1</v>
      </c>
      <c r="H143">
        <v>3</v>
      </c>
      <c r="I143" t="s">
        <v>324</v>
      </c>
      <c r="J143" t="s">
        <v>326</v>
      </c>
      <c r="K143" t="s">
        <v>325</v>
      </c>
      <c r="L143">
        <v>1348</v>
      </c>
      <c r="N143">
        <v>1009</v>
      </c>
      <c r="O143" t="s">
        <v>288</v>
      </c>
      <c r="P143" t="s">
        <v>288</v>
      </c>
      <c r="Q143">
        <v>1000</v>
      </c>
      <c r="W143">
        <v>0</v>
      </c>
      <c r="X143">
        <v>-1930273020</v>
      </c>
      <c r="Y143">
        <v>0.03</v>
      </c>
      <c r="AA143">
        <v>6192.9</v>
      </c>
      <c r="AB143">
        <v>0</v>
      </c>
      <c r="AC143">
        <v>0</v>
      </c>
      <c r="AD143">
        <v>0</v>
      </c>
      <c r="AE143">
        <v>6192.9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1</v>
      </c>
      <c r="AQ143">
        <v>0</v>
      </c>
      <c r="AR143">
        <v>0</v>
      </c>
      <c r="AS143" t="s">
        <v>224</v>
      </c>
      <c r="AT143">
        <v>0.03</v>
      </c>
      <c r="AU143" t="s">
        <v>224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224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Y143*Source!I56</f>
        <v>0.153</v>
      </c>
      <c r="CY143">
        <f>AA143</f>
        <v>6192.9</v>
      </c>
      <c r="CZ143">
        <f>AE143</f>
        <v>6192.9</v>
      </c>
      <c r="DA143">
        <f>AI143</f>
        <v>1</v>
      </c>
      <c r="DB143">
        <v>0</v>
      </c>
    </row>
    <row r="144" spans="1:106" x14ac:dyDescent="0.2">
      <c r="A144">
        <f>ROW(Source!A56)</f>
        <v>56</v>
      </c>
      <c r="B144">
        <v>16499835</v>
      </c>
      <c r="C144">
        <v>16500105</v>
      </c>
      <c r="D144">
        <v>15203485</v>
      </c>
      <c r="E144">
        <v>1</v>
      </c>
      <c r="F144">
        <v>1</v>
      </c>
      <c r="G144">
        <v>1</v>
      </c>
      <c r="H144">
        <v>3</v>
      </c>
      <c r="I144" t="s">
        <v>301</v>
      </c>
      <c r="J144" t="s">
        <v>304</v>
      </c>
      <c r="K144" t="s">
        <v>322</v>
      </c>
      <c r="L144">
        <v>1346</v>
      </c>
      <c r="N144">
        <v>1009</v>
      </c>
      <c r="O144" t="s">
        <v>303</v>
      </c>
      <c r="P144" t="s">
        <v>303</v>
      </c>
      <c r="Q144">
        <v>1</v>
      </c>
      <c r="W144">
        <v>0</v>
      </c>
      <c r="X144">
        <v>303141801</v>
      </c>
      <c r="Y144">
        <v>20</v>
      </c>
      <c r="AA144">
        <v>15.25</v>
      </c>
      <c r="AB144">
        <v>0</v>
      </c>
      <c r="AC144">
        <v>0</v>
      </c>
      <c r="AD144">
        <v>0</v>
      </c>
      <c r="AE144">
        <v>15.25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1</v>
      </c>
      <c r="AQ144">
        <v>0</v>
      </c>
      <c r="AR144">
        <v>0</v>
      </c>
      <c r="AS144" t="s">
        <v>224</v>
      </c>
      <c r="AT144">
        <v>20</v>
      </c>
      <c r="AU144" t="s">
        <v>224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224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Y144*Source!I56</f>
        <v>102</v>
      </c>
      <c r="CY144">
        <f>AA144</f>
        <v>15.25</v>
      </c>
      <c r="CZ144">
        <f>AE144</f>
        <v>15.25</v>
      </c>
      <c r="DA144">
        <f>AI144</f>
        <v>1</v>
      </c>
      <c r="DB144">
        <v>0</v>
      </c>
    </row>
    <row r="145" spans="1:106" x14ac:dyDescent="0.2">
      <c r="A145">
        <f>ROW(Source!A56)</f>
        <v>56</v>
      </c>
      <c r="B145">
        <v>16499835</v>
      </c>
      <c r="C145">
        <v>16500105</v>
      </c>
      <c r="D145">
        <v>15204737</v>
      </c>
      <c r="E145">
        <v>1</v>
      </c>
      <c r="F145">
        <v>1</v>
      </c>
      <c r="G145">
        <v>1</v>
      </c>
      <c r="H145">
        <v>3</v>
      </c>
      <c r="I145" t="s">
        <v>761</v>
      </c>
      <c r="J145" t="s">
        <v>762</v>
      </c>
      <c r="K145" t="s">
        <v>763</v>
      </c>
      <c r="L145">
        <v>1348</v>
      </c>
      <c r="N145">
        <v>1009</v>
      </c>
      <c r="O145" t="s">
        <v>288</v>
      </c>
      <c r="P145" t="s">
        <v>288</v>
      </c>
      <c r="Q145">
        <v>1000</v>
      </c>
      <c r="W145">
        <v>0</v>
      </c>
      <c r="X145">
        <v>181729109</v>
      </c>
      <c r="Y145">
        <v>5.0999999999999997E-2</v>
      </c>
      <c r="AA145">
        <v>11397.1</v>
      </c>
      <c r="AB145">
        <v>0</v>
      </c>
      <c r="AC145">
        <v>0</v>
      </c>
      <c r="AD145">
        <v>0</v>
      </c>
      <c r="AE145">
        <v>11397.1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224</v>
      </c>
      <c r="AT145">
        <v>5.0999999999999997E-2</v>
      </c>
      <c r="AU145" t="s">
        <v>224</v>
      </c>
      <c r="AV145">
        <v>0</v>
      </c>
      <c r="AW145">
        <v>2</v>
      </c>
      <c r="AX145">
        <v>16500114</v>
      </c>
      <c r="AY145">
        <v>1</v>
      </c>
      <c r="AZ145">
        <v>0</v>
      </c>
      <c r="BA145">
        <v>163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Y145*Source!I56</f>
        <v>0.26009999999999994</v>
      </c>
      <c r="CY145">
        <f>AA145</f>
        <v>11397.1</v>
      </c>
      <c r="CZ145">
        <f>AE145</f>
        <v>11397.1</v>
      </c>
      <c r="DA145">
        <f>AI145</f>
        <v>1</v>
      </c>
      <c r="DB145">
        <v>0</v>
      </c>
    </row>
    <row r="146" spans="1:106" x14ac:dyDescent="0.2">
      <c r="A146">
        <f>ROW(Source!A57)</f>
        <v>57</v>
      </c>
      <c r="B146">
        <v>16499878</v>
      </c>
      <c r="C146">
        <v>16500105</v>
      </c>
      <c r="D146">
        <v>15436014</v>
      </c>
      <c r="E146">
        <v>1</v>
      </c>
      <c r="F146">
        <v>1</v>
      </c>
      <c r="G146">
        <v>1</v>
      </c>
      <c r="H146">
        <v>1</v>
      </c>
      <c r="I146" t="s">
        <v>756</v>
      </c>
      <c r="J146" t="s">
        <v>224</v>
      </c>
      <c r="K146" t="s">
        <v>757</v>
      </c>
      <c r="L146">
        <v>1191</v>
      </c>
      <c r="N146">
        <v>1013</v>
      </c>
      <c r="O146" t="s">
        <v>628</v>
      </c>
      <c r="P146" t="s">
        <v>628</v>
      </c>
      <c r="Q146">
        <v>1</v>
      </c>
      <c r="W146">
        <v>0</v>
      </c>
      <c r="X146">
        <v>-784637506</v>
      </c>
      <c r="Y146">
        <v>50.094000000000001</v>
      </c>
      <c r="AA146">
        <v>0</v>
      </c>
      <c r="AB146">
        <v>0</v>
      </c>
      <c r="AC146">
        <v>0</v>
      </c>
      <c r="AD146">
        <v>53.14</v>
      </c>
      <c r="AE146">
        <v>0</v>
      </c>
      <c r="AF146">
        <v>0</v>
      </c>
      <c r="AG146">
        <v>0</v>
      </c>
      <c r="AH146">
        <v>8.74</v>
      </c>
      <c r="AI146">
        <v>1</v>
      </c>
      <c r="AJ146">
        <v>1</v>
      </c>
      <c r="AK146">
        <v>1</v>
      </c>
      <c r="AL146">
        <v>6.08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224</v>
      </c>
      <c r="AT146">
        <v>43.56</v>
      </c>
      <c r="AU146" t="s">
        <v>240</v>
      </c>
      <c r="AV146">
        <v>1</v>
      </c>
      <c r="AW146">
        <v>2</v>
      </c>
      <c r="AX146">
        <v>16500106</v>
      </c>
      <c r="AY146">
        <v>1</v>
      </c>
      <c r="AZ146">
        <v>0</v>
      </c>
      <c r="BA146">
        <v>164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Y146*Source!I57</f>
        <v>255.4794</v>
      </c>
      <c r="CY146">
        <f>AD146</f>
        <v>53.14</v>
      </c>
      <c r="CZ146">
        <f>AH146</f>
        <v>8.74</v>
      </c>
      <c r="DA146">
        <f>AL146</f>
        <v>6.08</v>
      </c>
      <c r="DB146">
        <v>0</v>
      </c>
    </row>
    <row r="147" spans="1:106" x14ac:dyDescent="0.2">
      <c r="A147">
        <f>ROW(Source!A57)</f>
        <v>57</v>
      </c>
      <c r="B147">
        <v>16499878</v>
      </c>
      <c r="C147">
        <v>16500105</v>
      </c>
      <c r="D147">
        <v>15430395</v>
      </c>
      <c r="E147">
        <v>1</v>
      </c>
      <c r="F147">
        <v>1</v>
      </c>
      <c r="G147">
        <v>1</v>
      </c>
      <c r="H147">
        <v>1</v>
      </c>
      <c r="I147" t="s">
        <v>629</v>
      </c>
      <c r="J147" t="s">
        <v>224</v>
      </c>
      <c r="K147" t="s">
        <v>630</v>
      </c>
      <c r="L147">
        <v>1191</v>
      </c>
      <c r="N147">
        <v>1013</v>
      </c>
      <c r="O147" t="s">
        <v>628</v>
      </c>
      <c r="P147" t="s">
        <v>628</v>
      </c>
      <c r="Q147">
        <v>1</v>
      </c>
      <c r="W147">
        <v>0</v>
      </c>
      <c r="X147">
        <v>-1417349443</v>
      </c>
      <c r="Y147">
        <v>0.17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6.08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224</v>
      </c>
      <c r="AT147">
        <v>0.17</v>
      </c>
      <c r="AU147" t="s">
        <v>224</v>
      </c>
      <c r="AV147">
        <v>2</v>
      </c>
      <c r="AW147">
        <v>2</v>
      </c>
      <c r="AX147">
        <v>16500107</v>
      </c>
      <c r="AY147">
        <v>1</v>
      </c>
      <c r="AZ147">
        <v>2048</v>
      </c>
      <c r="BA147">
        <v>165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Y147*Source!I57</f>
        <v>0.86699999999999999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ROW(Source!A57)</f>
        <v>57</v>
      </c>
      <c r="B148">
        <v>16499878</v>
      </c>
      <c r="C148">
        <v>16500105</v>
      </c>
      <c r="D148">
        <v>15247970</v>
      </c>
      <c r="E148">
        <v>1</v>
      </c>
      <c r="F148">
        <v>1</v>
      </c>
      <c r="G148">
        <v>1</v>
      </c>
      <c r="H148">
        <v>2</v>
      </c>
      <c r="I148" t="s">
        <v>758</v>
      </c>
      <c r="J148" t="s">
        <v>759</v>
      </c>
      <c r="K148" t="s">
        <v>760</v>
      </c>
      <c r="L148">
        <v>1368</v>
      </c>
      <c r="N148">
        <v>1011</v>
      </c>
      <c r="O148" t="s">
        <v>634</v>
      </c>
      <c r="P148" t="s">
        <v>634</v>
      </c>
      <c r="Q148">
        <v>1</v>
      </c>
      <c r="W148">
        <v>0</v>
      </c>
      <c r="X148">
        <v>368031958</v>
      </c>
      <c r="Y148">
        <v>2.5000000000000001E-2</v>
      </c>
      <c r="AA148">
        <v>0</v>
      </c>
      <c r="AB148">
        <v>168.17</v>
      </c>
      <c r="AC148">
        <v>11.6</v>
      </c>
      <c r="AD148">
        <v>0</v>
      </c>
      <c r="AE148">
        <v>0</v>
      </c>
      <c r="AF148">
        <v>27.66</v>
      </c>
      <c r="AG148">
        <v>11.6</v>
      </c>
      <c r="AH148">
        <v>0</v>
      </c>
      <c r="AI148">
        <v>1</v>
      </c>
      <c r="AJ148">
        <v>6.08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224</v>
      </c>
      <c r="AT148">
        <v>0.02</v>
      </c>
      <c r="AU148" t="s">
        <v>239</v>
      </c>
      <c r="AV148">
        <v>0</v>
      </c>
      <c r="AW148">
        <v>2</v>
      </c>
      <c r="AX148">
        <v>16500108</v>
      </c>
      <c r="AY148">
        <v>1</v>
      </c>
      <c r="AZ148">
        <v>0</v>
      </c>
      <c r="BA148">
        <v>166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Y148*Source!I57</f>
        <v>0.1275</v>
      </c>
      <c r="CY148">
        <f>AB148</f>
        <v>168.17</v>
      </c>
      <c r="CZ148">
        <f>AF148</f>
        <v>27.66</v>
      </c>
      <c r="DA148">
        <f>AJ148</f>
        <v>6.08</v>
      </c>
      <c r="DB148">
        <v>0</v>
      </c>
    </row>
    <row r="149" spans="1:106" x14ac:dyDescent="0.2">
      <c r="A149">
        <f>ROW(Source!A57)</f>
        <v>57</v>
      </c>
      <c r="B149">
        <v>16499878</v>
      </c>
      <c r="C149">
        <v>16500105</v>
      </c>
      <c r="D149">
        <v>15249073</v>
      </c>
      <c r="E149">
        <v>1</v>
      </c>
      <c r="F149">
        <v>1</v>
      </c>
      <c r="G149">
        <v>1</v>
      </c>
      <c r="H149">
        <v>2</v>
      </c>
      <c r="I149" t="s">
        <v>631</v>
      </c>
      <c r="J149" t="s">
        <v>632</v>
      </c>
      <c r="K149" t="s">
        <v>633</v>
      </c>
      <c r="L149">
        <v>1368</v>
      </c>
      <c r="N149">
        <v>1011</v>
      </c>
      <c r="O149" t="s">
        <v>634</v>
      </c>
      <c r="P149" t="s">
        <v>634</v>
      </c>
      <c r="Q149">
        <v>1</v>
      </c>
      <c r="W149">
        <v>0</v>
      </c>
      <c r="X149">
        <v>1372534845</v>
      </c>
      <c r="Y149">
        <v>0.1875</v>
      </c>
      <c r="AA149">
        <v>0</v>
      </c>
      <c r="AB149">
        <v>399.52</v>
      </c>
      <c r="AC149">
        <v>11.6</v>
      </c>
      <c r="AD149">
        <v>0</v>
      </c>
      <c r="AE149">
        <v>0</v>
      </c>
      <c r="AF149">
        <v>65.709999999999994</v>
      </c>
      <c r="AG149">
        <v>11.6</v>
      </c>
      <c r="AH149">
        <v>0</v>
      </c>
      <c r="AI149">
        <v>1</v>
      </c>
      <c r="AJ149">
        <v>6.08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224</v>
      </c>
      <c r="AT149">
        <v>0.15</v>
      </c>
      <c r="AU149" t="s">
        <v>239</v>
      </c>
      <c r="AV149">
        <v>0</v>
      </c>
      <c r="AW149">
        <v>2</v>
      </c>
      <c r="AX149">
        <v>16500109</v>
      </c>
      <c r="AY149">
        <v>1</v>
      </c>
      <c r="AZ149">
        <v>0</v>
      </c>
      <c r="BA149">
        <v>167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Y149*Source!I57</f>
        <v>0.95624999999999993</v>
      </c>
      <c r="CY149">
        <f>AB149</f>
        <v>399.52</v>
      </c>
      <c r="CZ149">
        <f>AF149</f>
        <v>65.709999999999994</v>
      </c>
      <c r="DA149">
        <f>AJ149</f>
        <v>6.08</v>
      </c>
      <c r="DB149">
        <v>0</v>
      </c>
    </row>
    <row r="150" spans="1:106" x14ac:dyDescent="0.2">
      <c r="A150">
        <f>ROW(Source!A57)</f>
        <v>57</v>
      </c>
      <c r="B150">
        <v>16499878</v>
      </c>
      <c r="C150">
        <v>16500105</v>
      </c>
      <c r="D150">
        <v>15170682</v>
      </c>
      <c r="E150">
        <v>1</v>
      </c>
      <c r="F150">
        <v>1</v>
      </c>
      <c r="G150">
        <v>1</v>
      </c>
      <c r="H150">
        <v>3</v>
      </c>
      <c r="I150" t="s">
        <v>733</v>
      </c>
      <c r="J150" t="s">
        <v>734</v>
      </c>
      <c r="K150" t="s">
        <v>735</v>
      </c>
      <c r="L150">
        <v>1327</v>
      </c>
      <c r="N150">
        <v>1005</v>
      </c>
      <c r="O150" t="s">
        <v>277</v>
      </c>
      <c r="P150" t="s">
        <v>277</v>
      </c>
      <c r="Q150">
        <v>1</v>
      </c>
      <c r="W150">
        <v>0</v>
      </c>
      <c r="X150">
        <v>-1987926685</v>
      </c>
      <c r="Y150">
        <v>0.84</v>
      </c>
      <c r="AA150">
        <v>439.71</v>
      </c>
      <c r="AB150">
        <v>0</v>
      </c>
      <c r="AC150">
        <v>0</v>
      </c>
      <c r="AD150">
        <v>0</v>
      </c>
      <c r="AE150">
        <v>72.319999999999993</v>
      </c>
      <c r="AF150">
        <v>0</v>
      </c>
      <c r="AG150">
        <v>0</v>
      </c>
      <c r="AH150">
        <v>0</v>
      </c>
      <c r="AI150">
        <v>6.08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224</v>
      </c>
      <c r="AT150">
        <v>0.84</v>
      </c>
      <c r="AU150" t="s">
        <v>224</v>
      </c>
      <c r="AV150">
        <v>0</v>
      </c>
      <c r="AW150">
        <v>2</v>
      </c>
      <c r="AX150">
        <v>16500110</v>
      </c>
      <c r="AY150">
        <v>1</v>
      </c>
      <c r="AZ150">
        <v>0</v>
      </c>
      <c r="BA150">
        <v>168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Y150*Source!I57</f>
        <v>4.2839999999999998</v>
      </c>
      <c r="CY150">
        <f>AA150</f>
        <v>439.71</v>
      </c>
      <c r="CZ150">
        <f>AE150</f>
        <v>72.319999999999993</v>
      </c>
      <c r="DA150">
        <f>AI150</f>
        <v>6.08</v>
      </c>
      <c r="DB150">
        <v>0</v>
      </c>
    </row>
    <row r="151" spans="1:106" x14ac:dyDescent="0.2">
      <c r="A151">
        <f>ROW(Source!A57)</f>
        <v>57</v>
      </c>
      <c r="B151">
        <v>16499878</v>
      </c>
      <c r="C151">
        <v>16500105</v>
      </c>
      <c r="D151">
        <v>15171018</v>
      </c>
      <c r="E151">
        <v>1</v>
      </c>
      <c r="F151">
        <v>1</v>
      </c>
      <c r="G151">
        <v>1</v>
      </c>
      <c r="H151">
        <v>3</v>
      </c>
      <c r="I151" t="s">
        <v>728</v>
      </c>
      <c r="J151" t="s">
        <v>729</v>
      </c>
      <c r="K151" t="s">
        <v>730</v>
      </c>
      <c r="L151">
        <v>1346</v>
      </c>
      <c r="N151">
        <v>1009</v>
      </c>
      <c r="O151" t="s">
        <v>303</v>
      </c>
      <c r="P151" t="s">
        <v>303</v>
      </c>
      <c r="Q151">
        <v>1</v>
      </c>
      <c r="W151">
        <v>0</v>
      </c>
      <c r="X151">
        <v>813963326</v>
      </c>
      <c r="Y151">
        <v>0.31</v>
      </c>
      <c r="AA151">
        <v>11.07</v>
      </c>
      <c r="AB151">
        <v>0</v>
      </c>
      <c r="AC151">
        <v>0</v>
      </c>
      <c r="AD151">
        <v>0</v>
      </c>
      <c r="AE151">
        <v>1.82</v>
      </c>
      <c r="AF151">
        <v>0</v>
      </c>
      <c r="AG151">
        <v>0</v>
      </c>
      <c r="AH151">
        <v>0</v>
      </c>
      <c r="AI151">
        <v>6.08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224</v>
      </c>
      <c r="AT151">
        <v>0.31</v>
      </c>
      <c r="AU151" t="s">
        <v>224</v>
      </c>
      <c r="AV151">
        <v>0</v>
      </c>
      <c r="AW151">
        <v>2</v>
      </c>
      <c r="AX151">
        <v>16500111</v>
      </c>
      <c r="AY151">
        <v>1</v>
      </c>
      <c r="AZ151">
        <v>0</v>
      </c>
      <c r="BA151">
        <v>169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Y151*Source!I57</f>
        <v>1.581</v>
      </c>
      <c r="CY151">
        <f>AA151</f>
        <v>11.07</v>
      </c>
      <c r="CZ151">
        <f>AE151</f>
        <v>1.82</v>
      </c>
      <c r="DA151">
        <f>AI151</f>
        <v>6.08</v>
      </c>
      <c r="DB151">
        <v>0</v>
      </c>
    </row>
    <row r="152" spans="1:106" x14ac:dyDescent="0.2">
      <c r="A152">
        <f>ROW(Source!A57)</f>
        <v>57</v>
      </c>
      <c r="B152">
        <v>16499878</v>
      </c>
      <c r="C152">
        <v>16500105</v>
      </c>
      <c r="D152">
        <v>15203281</v>
      </c>
      <c r="E152">
        <v>1</v>
      </c>
      <c r="F152">
        <v>1</v>
      </c>
      <c r="G152">
        <v>1</v>
      </c>
      <c r="H152">
        <v>3</v>
      </c>
      <c r="I152" t="s">
        <v>324</v>
      </c>
      <c r="J152" t="s">
        <v>326</v>
      </c>
      <c r="K152" t="s">
        <v>325</v>
      </c>
      <c r="L152">
        <v>1348</v>
      </c>
      <c r="N152">
        <v>1009</v>
      </c>
      <c r="O152" t="s">
        <v>288</v>
      </c>
      <c r="P152" t="s">
        <v>288</v>
      </c>
      <c r="Q152">
        <v>1000</v>
      </c>
      <c r="W152">
        <v>0</v>
      </c>
      <c r="X152">
        <v>-1930273020</v>
      </c>
      <c r="Y152">
        <v>0.03</v>
      </c>
      <c r="AA152">
        <v>37652.83</v>
      </c>
      <c r="AB152">
        <v>0</v>
      </c>
      <c r="AC152">
        <v>0</v>
      </c>
      <c r="AD152">
        <v>0</v>
      </c>
      <c r="AE152">
        <v>6192.9</v>
      </c>
      <c r="AF152">
        <v>0</v>
      </c>
      <c r="AG152">
        <v>0</v>
      </c>
      <c r="AH152">
        <v>0</v>
      </c>
      <c r="AI152">
        <v>6.08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1</v>
      </c>
      <c r="AQ152">
        <v>0</v>
      </c>
      <c r="AR152">
        <v>0</v>
      </c>
      <c r="AS152" t="s">
        <v>224</v>
      </c>
      <c r="AT152">
        <v>0.03</v>
      </c>
      <c r="AU152" t="s">
        <v>224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224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Y152*Source!I57</f>
        <v>0.153</v>
      </c>
      <c r="CY152">
        <f>AA152</f>
        <v>37652.83</v>
      </c>
      <c r="CZ152">
        <f>AE152</f>
        <v>6192.9</v>
      </c>
      <c r="DA152">
        <f>AI152</f>
        <v>6.08</v>
      </c>
      <c r="DB152">
        <v>0</v>
      </c>
    </row>
    <row r="153" spans="1:106" x14ac:dyDescent="0.2">
      <c r="A153">
        <f>ROW(Source!A57)</f>
        <v>57</v>
      </c>
      <c r="B153">
        <v>16499878</v>
      </c>
      <c r="C153">
        <v>16500105</v>
      </c>
      <c r="D153">
        <v>15203485</v>
      </c>
      <c r="E153">
        <v>1</v>
      </c>
      <c r="F153">
        <v>1</v>
      </c>
      <c r="G153">
        <v>1</v>
      </c>
      <c r="H153">
        <v>3</v>
      </c>
      <c r="I153" t="s">
        <v>301</v>
      </c>
      <c r="J153" t="s">
        <v>304</v>
      </c>
      <c r="K153" t="s">
        <v>322</v>
      </c>
      <c r="L153">
        <v>1346</v>
      </c>
      <c r="N153">
        <v>1009</v>
      </c>
      <c r="O153" t="s">
        <v>303</v>
      </c>
      <c r="P153" t="s">
        <v>303</v>
      </c>
      <c r="Q153">
        <v>1</v>
      </c>
      <c r="W153">
        <v>0</v>
      </c>
      <c r="X153">
        <v>303141801</v>
      </c>
      <c r="Y153">
        <v>20</v>
      </c>
      <c r="AA153">
        <v>92.72</v>
      </c>
      <c r="AB153">
        <v>0</v>
      </c>
      <c r="AC153">
        <v>0</v>
      </c>
      <c r="AD153">
        <v>0</v>
      </c>
      <c r="AE153">
        <v>15.25</v>
      </c>
      <c r="AF153">
        <v>0</v>
      </c>
      <c r="AG153">
        <v>0</v>
      </c>
      <c r="AH153">
        <v>0</v>
      </c>
      <c r="AI153">
        <v>6.08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1</v>
      </c>
      <c r="AQ153">
        <v>0</v>
      </c>
      <c r="AR153">
        <v>0</v>
      </c>
      <c r="AS153" t="s">
        <v>224</v>
      </c>
      <c r="AT153">
        <v>20</v>
      </c>
      <c r="AU153" t="s">
        <v>224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224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Y153*Source!I57</f>
        <v>102</v>
      </c>
      <c r="CY153">
        <f>AA153</f>
        <v>92.72</v>
      </c>
      <c r="CZ153">
        <f>AE153</f>
        <v>15.25</v>
      </c>
      <c r="DA153">
        <f>AI153</f>
        <v>6.08</v>
      </c>
      <c r="DB153">
        <v>0</v>
      </c>
    </row>
    <row r="154" spans="1:106" x14ac:dyDescent="0.2">
      <c r="A154">
        <f>ROW(Source!A57)</f>
        <v>57</v>
      </c>
      <c r="B154">
        <v>16499878</v>
      </c>
      <c r="C154">
        <v>16500105</v>
      </c>
      <c r="D154">
        <v>15204737</v>
      </c>
      <c r="E154">
        <v>1</v>
      </c>
      <c r="F154">
        <v>1</v>
      </c>
      <c r="G154">
        <v>1</v>
      </c>
      <c r="H154">
        <v>3</v>
      </c>
      <c r="I154" t="s">
        <v>761</v>
      </c>
      <c r="J154" t="s">
        <v>762</v>
      </c>
      <c r="K154" t="s">
        <v>763</v>
      </c>
      <c r="L154">
        <v>1348</v>
      </c>
      <c r="N154">
        <v>1009</v>
      </c>
      <c r="O154" t="s">
        <v>288</v>
      </c>
      <c r="P154" t="s">
        <v>288</v>
      </c>
      <c r="Q154">
        <v>1000</v>
      </c>
      <c r="W154">
        <v>0</v>
      </c>
      <c r="X154">
        <v>181729109</v>
      </c>
      <c r="Y154">
        <v>5.0999999999999997E-2</v>
      </c>
      <c r="AA154">
        <v>69294.37</v>
      </c>
      <c r="AB154">
        <v>0</v>
      </c>
      <c r="AC154">
        <v>0</v>
      </c>
      <c r="AD154">
        <v>0</v>
      </c>
      <c r="AE154">
        <v>11397.1</v>
      </c>
      <c r="AF154">
        <v>0</v>
      </c>
      <c r="AG154">
        <v>0</v>
      </c>
      <c r="AH154">
        <v>0</v>
      </c>
      <c r="AI154">
        <v>6.08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224</v>
      </c>
      <c r="AT154">
        <v>5.0999999999999997E-2</v>
      </c>
      <c r="AU154" t="s">
        <v>224</v>
      </c>
      <c r="AV154">
        <v>0</v>
      </c>
      <c r="AW154">
        <v>2</v>
      </c>
      <c r="AX154">
        <v>16500114</v>
      </c>
      <c r="AY154">
        <v>1</v>
      </c>
      <c r="AZ154">
        <v>0</v>
      </c>
      <c r="BA154">
        <v>172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Y154*Source!I57</f>
        <v>0.26009999999999994</v>
      </c>
      <c r="CY154">
        <f>AA154</f>
        <v>69294.37</v>
      </c>
      <c r="CZ154">
        <f>AE154</f>
        <v>11397.1</v>
      </c>
      <c r="DA154">
        <f>AI154</f>
        <v>6.08</v>
      </c>
      <c r="DB154">
        <v>0</v>
      </c>
    </row>
    <row r="155" spans="1:106" x14ac:dyDescent="0.2">
      <c r="A155">
        <f>ROW(Source!A62)</f>
        <v>62</v>
      </c>
      <c r="B155">
        <v>16499835</v>
      </c>
      <c r="C155">
        <v>16500145</v>
      </c>
      <c r="D155">
        <v>15435721</v>
      </c>
      <c r="E155">
        <v>1</v>
      </c>
      <c r="F155">
        <v>1</v>
      </c>
      <c r="G155">
        <v>1</v>
      </c>
      <c r="H155">
        <v>1</v>
      </c>
      <c r="I155" t="s">
        <v>764</v>
      </c>
      <c r="J155" t="s">
        <v>224</v>
      </c>
      <c r="K155" t="s">
        <v>765</v>
      </c>
      <c r="L155">
        <v>1191</v>
      </c>
      <c r="N155">
        <v>1013</v>
      </c>
      <c r="O155" t="s">
        <v>628</v>
      </c>
      <c r="P155" t="s">
        <v>628</v>
      </c>
      <c r="Q155">
        <v>1</v>
      </c>
      <c r="W155">
        <v>0</v>
      </c>
      <c r="X155">
        <v>1983201532</v>
      </c>
      <c r="Y155">
        <v>118.65</v>
      </c>
      <c r="AA155">
        <v>0</v>
      </c>
      <c r="AB155">
        <v>0</v>
      </c>
      <c r="AC155">
        <v>0</v>
      </c>
      <c r="AD155">
        <v>9.51</v>
      </c>
      <c r="AE155">
        <v>0</v>
      </c>
      <c r="AF155">
        <v>0</v>
      </c>
      <c r="AG155">
        <v>0</v>
      </c>
      <c r="AH155">
        <v>9.51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224</v>
      </c>
      <c r="AT155">
        <v>118.65</v>
      </c>
      <c r="AU155" t="s">
        <v>224</v>
      </c>
      <c r="AV155">
        <v>1</v>
      </c>
      <c r="AW155">
        <v>2</v>
      </c>
      <c r="AX155">
        <v>16500146</v>
      </c>
      <c r="AY155">
        <v>1</v>
      </c>
      <c r="AZ155">
        <v>0</v>
      </c>
      <c r="BA155">
        <v>173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Y155*Source!I62</f>
        <v>24.204599999999999</v>
      </c>
      <c r="CY155">
        <f>AD155</f>
        <v>9.51</v>
      </c>
      <c r="CZ155">
        <f>AH155</f>
        <v>9.51</v>
      </c>
      <c r="DA155">
        <f>AL155</f>
        <v>1</v>
      </c>
      <c r="DB155">
        <v>0</v>
      </c>
    </row>
    <row r="156" spans="1:106" x14ac:dyDescent="0.2">
      <c r="A156">
        <f>ROW(Source!A62)</f>
        <v>62</v>
      </c>
      <c r="B156">
        <v>16499835</v>
      </c>
      <c r="C156">
        <v>16500145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629</v>
      </c>
      <c r="J156" t="s">
        <v>224</v>
      </c>
      <c r="K156" t="s">
        <v>630</v>
      </c>
      <c r="L156">
        <v>1191</v>
      </c>
      <c r="N156">
        <v>1013</v>
      </c>
      <c r="O156" t="s">
        <v>628</v>
      </c>
      <c r="P156" t="s">
        <v>628</v>
      </c>
      <c r="Q156">
        <v>1</v>
      </c>
      <c r="W156">
        <v>0</v>
      </c>
      <c r="X156">
        <v>-1417349443</v>
      </c>
      <c r="Y156">
        <v>3.62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224</v>
      </c>
      <c r="AT156">
        <v>3.62</v>
      </c>
      <c r="AU156" t="s">
        <v>224</v>
      </c>
      <c r="AV156">
        <v>2</v>
      </c>
      <c r="AW156">
        <v>2</v>
      </c>
      <c r="AX156">
        <v>16500147</v>
      </c>
      <c r="AY156">
        <v>1</v>
      </c>
      <c r="AZ156">
        <v>0</v>
      </c>
      <c r="BA156">
        <v>174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Y156*Source!I62</f>
        <v>0.73848000000000003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ROW(Source!A62)</f>
        <v>62</v>
      </c>
      <c r="B157">
        <v>16499835</v>
      </c>
      <c r="C157">
        <v>16500145</v>
      </c>
      <c r="D157">
        <v>15247905</v>
      </c>
      <c r="E157">
        <v>1</v>
      </c>
      <c r="F157">
        <v>1</v>
      </c>
      <c r="G157">
        <v>1</v>
      </c>
      <c r="H157">
        <v>2</v>
      </c>
      <c r="I157" t="s">
        <v>766</v>
      </c>
      <c r="J157" t="s">
        <v>767</v>
      </c>
      <c r="K157" t="s">
        <v>768</v>
      </c>
      <c r="L157">
        <v>1368</v>
      </c>
      <c r="N157">
        <v>1011</v>
      </c>
      <c r="O157" t="s">
        <v>634</v>
      </c>
      <c r="P157" t="s">
        <v>634</v>
      </c>
      <c r="Q157">
        <v>1</v>
      </c>
      <c r="W157">
        <v>0</v>
      </c>
      <c r="X157">
        <v>1225731627</v>
      </c>
      <c r="Y157">
        <v>0.82</v>
      </c>
      <c r="AA157">
        <v>0</v>
      </c>
      <c r="AB157">
        <v>89.99</v>
      </c>
      <c r="AC157">
        <v>10.06</v>
      </c>
      <c r="AD157">
        <v>0</v>
      </c>
      <c r="AE157">
        <v>0</v>
      </c>
      <c r="AF157">
        <v>89.99</v>
      </c>
      <c r="AG157">
        <v>10.06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224</v>
      </c>
      <c r="AT157">
        <v>0.82</v>
      </c>
      <c r="AU157" t="s">
        <v>224</v>
      </c>
      <c r="AV157">
        <v>0</v>
      </c>
      <c r="AW157">
        <v>2</v>
      </c>
      <c r="AX157">
        <v>16500148</v>
      </c>
      <c r="AY157">
        <v>1</v>
      </c>
      <c r="AZ157">
        <v>0</v>
      </c>
      <c r="BA157">
        <v>175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Y157*Source!I62</f>
        <v>0.16727999999999998</v>
      </c>
      <c r="CY157">
        <f t="shared" ref="CY157:CY162" si="12">AB157</f>
        <v>89.99</v>
      </c>
      <c r="CZ157">
        <f t="shared" ref="CZ157:CZ162" si="13">AF157</f>
        <v>89.99</v>
      </c>
      <c r="DA157">
        <f t="shared" ref="DA157:DA162" si="14">AJ157</f>
        <v>1</v>
      </c>
      <c r="DB157">
        <v>0</v>
      </c>
    </row>
    <row r="158" spans="1:106" x14ac:dyDescent="0.2">
      <c r="A158">
        <f>ROW(Source!A62)</f>
        <v>62</v>
      </c>
      <c r="B158">
        <v>16499835</v>
      </c>
      <c r="C158">
        <v>16500145</v>
      </c>
      <c r="D158">
        <v>15247974</v>
      </c>
      <c r="E158">
        <v>1</v>
      </c>
      <c r="F158">
        <v>1</v>
      </c>
      <c r="G158">
        <v>1</v>
      </c>
      <c r="H158">
        <v>2</v>
      </c>
      <c r="I158" t="s">
        <v>640</v>
      </c>
      <c r="J158" t="s">
        <v>641</v>
      </c>
      <c r="K158" t="s">
        <v>642</v>
      </c>
      <c r="L158">
        <v>1368</v>
      </c>
      <c r="N158">
        <v>1011</v>
      </c>
      <c r="O158" t="s">
        <v>634</v>
      </c>
      <c r="P158" t="s">
        <v>634</v>
      </c>
      <c r="Q158">
        <v>1</v>
      </c>
      <c r="W158">
        <v>0</v>
      </c>
      <c r="X158">
        <v>1188625873</v>
      </c>
      <c r="Y158">
        <v>0.76</v>
      </c>
      <c r="AA158">
        <v>0</v>
      </c>
      <c r="AB158">
        <v>31.26</v>
      </c>
      <c r="AC158">
        <v>13.5</v>
      </c>
      <c r="AD158">
        <v>0</v>
      </c>
      <c r="AE158">
        <v>0</v>
      </c>
      <c r="AF158">
        <v>31.26</v>
      </c>
      <c r="AG158">
        <v>13.5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224</v>
      </c>
      <c r="AT158">
        <v>0.76</v>
      </c>
      <c r="AU158" t="s">
        <v>224</v>
      </c>
      <c r="AV158">
        <v>0</v>
      </c>
      <c r="AW158">
        <v>2</v>
      </c>
      <c r="AX158">
        <v>16500149</v>
      </c>
      <c r="AY158">
        <v>1</v>
      </c>
      <c r="AZ158">
        <v>0</v>
      </c>
      <c r="BA158">
        <v>176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Y158*Source!I62</f>
        <v>0.15503999999999998</v>
      </c>
      <c r="CY158">
        <f t="shared" si="12"/>
        <v>31.26</v>
      </c>
      <c r="CZ158">
        <f t="shared" si="13"/>
        <v>31.26</v>
      </c>
      <c r="DA158">
        <f t="shared" si="14"/>
        <v>1</v>
      </c>
      <c r="DB158">
        <v>0</v>
      </c>
    </row>
    <row r="159" spans="1:106" x14ac:dyDescent="0.2">
      <c r="A159">
        <f>ROW(Source!A62)</f>
        <v>62</v>
      </c>
      <c r="B159">
        <v>16499835</v>
      </c>
      <c r="C159">
        <v>16500145</v>
      </c>
      <c r="D159">
        <v>15248078</v>
      </c>
      <c r="E159">
        <v>1</v>
      </c>
      <c r="F159">
        <v>1</v>
      </c>
      <c r="G159">
        <v>1</v>
      </c>
      <c r="H159">
        <v>2</v>
      </c>
      <c r="I159" t="s">
        <v>769</v>
      </c>
      <c r="J159" t="s">
        <v>770</v>
      </c>
      <c r="K159" t="s">
        <v>771</v>
      </c>
      <c r="L159">
        <v>1368</v>
      </c>
      <c r="N159">
        <v>1011</v>
      </c>
      <c r="O159" t="s">
        <v>634</v>
      </c>
      <c r="P159" t="s">
        <v>634</v>
      </c>
      <c r="Q159">
        <v>1</v>
      </c>
      <c r="W159">
        <v>0</v>
      </c>
      <c r="X159">
        <v>-2043834721</v>
      </c>
      <c r="Y159">
        <v>1.25</v>
      </c>
      <c r="AA159">
        <v>0</v>
      </c>
      <c r="AB159">
        <v>21.64</v>
      </c>
      <c r="AC159">
        <v>10.06</v>
      </c>
      <c r="AD159">
        <v>0</v>
      </c>
      <c r="AE159">
        <v>0</v>
      </c>
      <c r="AF159">
        <v>21.64</v>
      </c>
      <c r="AG159">
        <v>10.06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224</v>
      </c>
      <c r="AT159">
        <v>1.25</v>
      </c>
      <c r="AU159" t="s">
        <v>224</v>
      </c>
      <c r="AV159">
        <v>0</v>
      </c>
      <c r="AW159">
        <v>2</v>
      </c>
      <c r="AX159">
        <v>16500150</v>
      </c>
      <c r="AY159">
        <v>1</v>
      </c>
      <c r="AZ159">
        <v>0</v>
      </c>
      <c r="BA159">
        <v>177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Y159*Source!I62</f>
        <v>0.255</v>
      </c>
      <c r="CY159">
        <f t="shared" si="12"/>
        <v>21.64</v>
      </c>
      <c r="CZ159">
        <f t="shared" si="13"/>
        <v>21.64</v>
      </c>
      <c r="DA159">
        <f t="shared" si="14"/>
        <v>1</v>
      </c>
      <c r="DB159">
        <v>0</v>
      </c>
    </row>
    <row r="160" spans="1:106" x14ac:dyDescent="0.2">
      <c r="A160">
        <f>ROW(Source!A62)</f>
        <v>62</v>
      </c>
      <c r="B160">
        <v>16499835</v>
      </c>
      <c r="C160">
        <v>16500145</v>
      </c>
      <c r="D160">
        <v>15249073</v>
      </c>
      <c r="E160">
        <v>1</v>
      </c>
      <c r="F160">
        <v>1</v>
      </c>
      <c r="G160">
        <v>1</v>
      </c>
      <c r="H160">
        <v>2</v>
      </c>
      <c r="I160" t="s">
        <v>631</v>
      </c>
      <c r="J160" t="s">
        <v>632</v>
      </c>
      <c r="K160" t="s">
        <v>633</v>
      </c>
      <c r="L160">
        <v>1368</v>
      </c>
      <c r="N160">
        <v>1011</v>
      </c>
      <c r="O160" t="s">
        <v>634</v>
      </c>
      <c r="P160" t="s">
        <v>634</v>
      </c>
      <c r="Q160">
        <v>1</v>
      </c>
      <c r="W160">
        <v>0</v>
      </c>
      <c r="X160">
        <v>1372534845</v>
      </c>
      <c r="Y160">
        <v>0.28000000000000003</v>
      </c>
      <c r="AA160">
        <v>0</v>
      </c>
      <c r="AB160">
        <v>65.709999999999994</v>
      </c>
      <c r="AC160">
        <v>11.6</v>
      </c>
      <c r="AD160">
        <v>0</v>
      </c>
      <c r="AE160">
        <v>0</v>
      </c>
      <c r="AF160">
        <v>65.709999999999994</v>
      </c>
      <c r="AG160">
        <v>11.6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224</v>
      </c>
      <c r="AT160">
        <v>0.28000000000000003</v>
      </c>
      <c r="AU160" t="s">
        <v>224</v>
      </c>
      <c r="AV160">
        <v>0</v>
      </c>
      <c r="AW160">
        <v>2</v>
      </c>
      <c r="AX160">
        <v>16500151</v>
      </c>
      <c r="AY160">
        <v>1</v>
      </c>
      <c r="AZ160">
        <v>0</v>
      </c>
      <c r="BA160">
        <v>178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Y160*Source!I62</f>
        <v>5.7120000000000004E-2</v>
      </c>
      <c r="CY160">
        <f t="shared" si="12"/>
        <v>65.709999999999994</v>
      </c>
      <c r="CZ160">
        <f t="shared" si="13"/>
        <v>65.709999999999994</v>
      </c>
      <c r="DA160">
        <f t="shared" si="14"/>
        <v>1</v>
      </c>
      <c r="DB160">
        <v>0</v>
      </c>
    </row>
    <row r="161" spans="1:106" x14ac:dyDescent="0.2">
      <c r="A161">
        <f>ROW(Source!A62)</f>
        <v>62</v>
      </c>
      <c r="B161">
        <v>16499835</v>
      </c>
      <c r="C161">
        <v>16500145</v>
      </c>
      <c r="D161">
        <v>15249397</v>
      </c>
      <c r="E161">
        <v>1</v>
      </c>
      <c r="F161">
        <v>1</v>
      </c>
      <c r="G161">
        <v>1</v>
      </c>
      <c r="H161">
        <v>2</v>
      </c>
      <c r="I161" t="s">
        <v>772</v>
      </c>
      <c r="J161" t="s">
        <v>773</v>
      </c>
      <c r="K161" t="s">
        <v>774</v>
      </c>
      <c r="L161">
        <v>1368</v>
      </c>
      <c r="N161">
        <v>1011</v>
      </c>
      <c r="O161" t="s">
        <v>634</v>
      </c>
      <c r="P161" t="s">
        <v>634</v>
      </c>
      <c r="Q161">
        <v>1</v>
      </c>
      <c r="W161">
        <v>0</v>
      </c>
      <c r="X161">
        <v>-514543984</v>
      </c>
      <c r="Y161">
        <v>0.51</v>
      </c>
      <c r="AA161">
        <v>0</v>
      </c>
      <c r="AB161">
        <v>90</v>
      </c>
      <c r="AC161">
        <v>10.06</v>
      </c>
      <c r="AD161">
        <v>0</v>
      </c>
      <c r="AE161">
        <v>0</v>
      </c>
      <c r="AF161">
        <v>90</v>
      </c>
      <c r="AG161">
        <v>10.06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224</v>
      </c>
      <c r="AT161">
        <v>0.51</v>
      </c>
      <c r="AU161" t="s">
        <v>224</v>
      </c>
      <c r="AV161">
        <v>0</v>
      </c>
      <c r="AW161">
        <v>2</v>
      </c>
      <c r="AX161">
        <v>16500152</v>
      </c>
      <c r="AY161">
        <v>1</v>
      </c>
      <c r="AZ161">
        <v>0</v>
      </c>
      <c r="BA161">
        <v>179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Y161*Source!I62</f>
        <v>0.10403999999999999</v>
      </c>
      <c r="CY161">
        <f t="shared" si="12"/>
        <v>90</v>
      </c>
      <c r="CZ161">
        <f t="shared" si="13"/>
        <v>90</v>
      </c>
      <c r="DA161">
        <f t="shared" si="14"/>
        <v>1</v>
      </c>
      <c r="DB161">
        <v>0</v>
      </c>
    </row>
    <row r="162" spans="1:106" x14ac:dyDescent="0.2">
      <c r="A162">
        <f>ROW(Source!A62)</f>
        <v>62</v>
      </c>
      <c r="B162">
        <v>16499835</v>
      </c>
      <c r="C162">
        <v>16500145</v>
      </c>
      <c r="D162">
        <v>15249979</v>
      </c>
      <c r="E162">
        <v>1</v>
      </c>
      <c r="F162">
        <v>1</v>
      </c>
      <c r="G162">
        <v>1</v>
      </c>
      <c r="H162">
        <v>2</v>
      </c>
      <c r="I162" t="s">
        <v>775</v>
      </c>
      <c r="J162" t="s">
        <v>776</v>
      </c>
      <c r="K162" t="s">
        <v>777</v>
      </c>
      <c r="L162">
        <v>1368</v>
      </c>
      <c r="N162">
        <v>1011</v>
      </c>
      <c r="O162" t="s">
        <v>634</v>
      </c>
      <c r="P162" t="s">
        <v>634</v>
      </c>
      <c r="Q162">
        <v>1</v>
      </c>
      <c r="W162">
        <v>0</v>
      </c>
      <c r="X162">
        <v>2131372584</v>
      </c>
      <c r="Y162">
        <v>32</v>
      </c>
      <c r="AA162">
        <v>0</v>
      </c>
      <c r="AB162">
        <v>1.5</v>
      </c>
      <c r="AC162">
        <v>0</v>
      </c>
      <c r="AD162">
        <v>0</v>
      </c>
      <c r="AE162">
        <v>0</v>
      </c>
      <c r="AF162">
        <v>1.5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224</v>
      </c>
      <c r="AT162">
        <v>32</v>
      </c>
      <c r="AU162" t="s">
        <v>224</v>
      </c>
      <c r="AV162">
        <v>0</v>
      </c>
      <c r="AW162">
        <v>2</v>
      </c>
      <c r="AX162">
        <v>16500153</v>
      </c>
      <c r="AY162">
        <v>1</v>
      </c>
      <c r="AZ162">
        <v>0</v>
      </c>
      <c r="BA162">
        <v>180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Y162*Source!I62</f>
        <v>6.5279999999999996</v>
      </c>
      <c r="CY162">
        <f t="shared" si="12"/>
        <v>1.5</v>
      </c>
      <c r="CZ162">
        <f t="shared" si="13"/>
        <v>1.5</v>
      </c>
      <c r="DA162">
        <f t="shared" si="14"/>
        <v>1</v>
      </c>
      <c r="DB162">
        <v>0</v>
      </c>
    </row>
    <row r="163" spans="1:106" x14ac:dyDescent="0.2">
      <c r="A163">
        <f>ROW(Source!A62)</f>
        <v>62</v>
      </c>
      <c r="B163">
        <v>16499835</v>
      </c>
      <c r="C163">
        <v>16500145</v>
      </c>
      <c r="D163">
        <v>15167286</v>
      </c>
      <c r="E163">
        <v>1</v>
      </c>
      <c r="F163">
        <v>1</v>
      </c>
      <c r="G163">
        <v>1</v>
      </c>
      <c r="H163">
        <v>3</v>
      </c>
      <c r="I163" t="s">
        <v>778</v>
      </c>
      <c r="J163" t="s">
        <v>779</v>
      </c>
      <c r="K163" t="s">
        <v>780</v>
      </c>
      <c r="L163">
        <v>1339</v>
      </c>
      <c r="N163">
        <v>1007</v>
      </c>
      <c r="O163" t="s">
        <v>691</v>
      </c>
      <c r="P163" t="s">
        <v>691</v>
      </c>
      <c r="Q163">
        <v>1</v>
      </c>
      <c r="W163">
        <v>0</v>
      </c>
      <c r="X163">
        <v>-1660354250</v>
      </c>
      <c r="Y163">
        <v>0.40100000000000002</v>
      </c>
      <c r="AA163">
        <v>2.44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224</v>
      </c>
      <c r="AT163">
        <v>0.40100000000000002</v>
      </c>
      <c r="AU163" t="s">
        <v>224</v>
      </c>
      <c r="AV163">
        <v>0</v>
      </c>
      <c r="AW163">
        <v>2</v>
      </c>
      <c r="AX163">
        <v>16500154</v>
      </c>
      <c r="AY163">
        <v>1</v>
      </c>
      <c r="AZ163">
        <v>0</v>
      </c>
      <c r="BA163">
        <v>181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Y163*Source!I62</f>
        <v>8.1804000000000002E-2</v>
      </c>
      <c r="CY163">
        <f t="shared" ref="CY163:CY169" si="15">AA163</f>
        <v>2.44</v>
      </c>
      <c r="CZ163">
        <f t="shared" ref="CZ163:CZ169" si="16">AE163</f>
        <v>2.44</v>
      </c>
      <c r="DA163">
        <f t="shared" ref="DA163:DA169" si="17">AI163</f>
        <v>1</v>
      </c>
      <c r="DB163">
        <v>0</v>
      </c>
    </row>
    <row r="164" spans="1:106" x14ac:dyDescent="0.2">
      <c r="A164">
        <f>ROW(Source!A62)</f>
        <v>62</v>
      </c>
      <c r="B164">
        <v>16499835</v>
      </c>
      <c r="C164">
        <v>16500145</v>
      </c>
      <c r="D164">
        <v>15167719</v>
      </c>
      <c r="E164">
        <v>1</v>
      </c>
      <c r="F164">
        <v>1</v>
      </c>
      <c r="G164">
        <v>1</v>
      </c>
      <c r="H164">
        <v>3</v>
      </c>
      <c r="I164" t="s">
        <v>781</v>
      </c>
      <c r="J164" t="s">
        <v>782</v>
      </c>
      <c r="K164" t="s">
        <v>783</v>
      </c>
      <c r="L164">
        <v>1346</v>
      </c>
      <c r="N164">
        <v>1009</v>
      </c>
      <c r="O164" t="s">
        <v>303</v>
      </c>
      <c r="P164" t="s">
        <v>303</v>
      </c>
      <c r="Q164">
        <v>1</v>
      </c>
      <c r="W164">
        <v>0</v>
      </c>
      <c r="X164">
        <v>-1575546811</v>
      </c>
      <c r="Y164">
        <v>284</v>
      </c>
      <c r="AA164">
        <v>16.600000000000001</v>
      </c>
      <c r="AB164">
        <v>0</v>
      </c>
      <c r="AC164">
        <v>0</v>
      </c>
      <c r="AD164">
        <v>0</v>
      </c>
      <c r="AE164">
        <v>16.600000000000001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224</v>
      </c>
      <c r="AT164">
        <v>284</v>
      </c>
      <c r="AU164" t="s">
        <v>224</v>
      </c>
      <c r="AV164">
        <v>0</v>
      </c>
      <c r="AW164">
        <v>2</v>
      </c>
      <c r="AX164">
        <v>16500155</v>
      </c>
      <c r="AY164">
        <v>1</v>
      </c>
      <c r="AZ164">
        <v>0</v>
      </c>
      <c r="BA164">
        <v>182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Y164*Source!I62</f>
        <v>57.935999999999993</v>
      </c>
      <c r="CY164">
        <f t="shared" si="15"/>
        <v>16.600000000000001</v>
      </c>
      <c r="CZ164">
        <f t="shared" si="16"/>
        <v>16.600000000000001</v>
      </c>
      <c r="DA164">
        <f t="shared" si="17"/>
        <v>1</v>
      </c>
      <c r="DB164">
        <v>0</v>
      </c>
    </row>
    <row r="165" spans="1:106" x14ac:dyDescent="0.2">
      <c r="A165">
        <f>ROW(Source!A62)</f>
        <v>62</v>
      </c>
      <c r="B165">
        <v>16499835</v>
      </c>
      <c r="C165">
        <v>16500145</v>
      </c>
      <c r="D165">
        <v>15170537</v>
      </c>
      <c r="E165">
        <v>1</v>
      </c>
      <c r="F165">
        <v>1</v>
      </c>
      <c r="G165">
        <v>1</v>
      </c>
      <c r="H165">
        <v>3</v>
      </c>
      <c r="I165" t="s">
        <v>784</v>
      </c>
      <c r="J165" t="s">
        <v>785</v>
      </c>
      <c r="K165" t="s">
        <v>786</v>
      </c>
      <c r="L165">
        <v>1346</v>
      </c>
      <c r="N165">
        <v>1009</v>
      </c>
      <c r="O165" t="s">
        <v>303</v>
      </c>
      <c r="P165" t="s">
        <v>303</v>
      </c>
      <c r="Q165">
        <v>1</v>
      </c>
      <c r="W165">
        <v>0</v>
      </c>
      <c r="X165">
        <v>-1110671496</v>
      </c>
      <c r="Y165">
        <v>2</v>
      </c>
      <c r="AA165">
        <v>5.71</v>
      </c>
      <c r="AB165">
        <v>0</v>
      </c>
      <c r="AC165">
        <v>0</v>
      </c>
      <c r="AD165">
        <v>0</v>
      </c>
      <c r="AE165">
        <v>5.71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224</v>
      </c>
      <c r="AT165">
        <v>2</v>
      </c>
      <c r="AU165" t="s">
        <v>224</v>
      </c>
      <c r="AV165">
        <v>0</v>
      </c>
      <c r="AW165">
        <v>2</v>
      </c>
      <c r="AX165">
        <v>16500156</v>
      </c>
      <c r="AY165">
        <v>1</v>
      </c>
      <c r="AZ165">
        <v>0</v>
      </c>
      <c r="BA165">
        <v>183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Y165*Source!I62</f>
        <v>0.40799999999999997</v>
      </c>
      <c r="CY165">
        <f t="shared" si="15"/>
        <v>5.71</v>
      </c>
      <c r="CZ165">
        <f t="shared" si="16"/>
        <v>5.71</v>
      </c>
      <c r="DA165">
        <f t="shared" si="17"/>
        <v>1</v>
      </c>
      <c r="DB165">
        <v>0</v>
      </c>
    </row>
    <row r="166" spans="1:106" x14ac:dyDescent="0.2">
      <c r="A166">
        <f>ROW(Source!A62)</f>
        <v>62</v>
      </c>
      <c r="B166">
        <v>16499835</v>
      </c>
      <c r="C166">
        <v>16500145</v>
      </c>
      <c r="D166">
        <v>15171651</v>
      </c>
      <c r="E166">
        <v>1</v>
      </c>
      <c r="F166">
        <v>1</v>
      </c>
      <c r="G166">
        <v>1</v>
      </c>
      <c r="H166">
        <v>3</v>
      </c>
      <c r="I166" t="s">
        <v>787</v>
      </c>
      <c r="J166" t="s">
        <v>788</v>
      </c>
      <c r="K166" t="s">
        <v>789</v>
      </c>
      <c r="L166">
        <v>1339</v>
      </c>
      <c r="N166">
        <v>1007</v>
      </c>
      <c r="O166" t="s">
        <v>691</v>
      </c>
      <c r="P166" t="s">
        <v>691</v>
      </c>
      <c r="Q166">
        <v>1</v>
      </c>
      <c r="W166">
        <v>0</v>
      </c>
      <c r="X166">
        <v>1443696299</v>
      </c>
      <c r="Y166">
        <v>1.39</v>
      </c>
      <c r="AA166">
        <v>96.95</v>
      </c>
      <c r="AB166">
        <v>0</v>
      </c>
      <c r="AC166">
        <v>0</v>
      </c>
      <c r="AD166">
        <v>0</v>
      </c>
      <c r="AE166">
        <v>96.95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224</v>
      </c>
      <c r="AT166">
        <v>1.39</v>
      </c>
      <c r="AU166" t="s">
        <v>224</v>
      </c>
      <c r="AV166">
        <v>0</v>
      </c>
      <c r="AW166">
        <v>2</v>
      </c>
      <c r="AX166">
        <v>16500157</v>
      </c>
      <c r="AY166">
        <v>1</v>
      </c>
      <c r="AZ166">
        <v>0</v>
      </c>
      <c r="BA166">
        <v>184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Y166*Source!I62</f>
        <v>0.28355999999999998</v>
      </c>
      <c r="CY166">
        <f t="shared" si="15"/>
        <v>96.95</v>
      </c>
      <c r="CZ166">
        <f t="shared" si="16"/>
        <v>96.95</v>
      </c>
      <c r="DA166">
        <f t="shared" si="17"/>
        <v>1</v>
      </c>
      <c r="DB166">
        <v>0</v>
      </c>
    </row>
    <row r="167" spans="1:106" x14ac:dyDescent="0.2">
      <c r="A167">
        <f>ROW(Source!A62)</f>
        <v>62</v>
      </c>
      <c r="B167">
        <v>16499835</v>
      </c>
      <c r="C167">
        <v>16500145</v>
      </c>
      <c r="D167">
        <v>15172041</v>
      </c>
      <c r="E167">
        <v>1</v>
      </c>
      <c r="F167">
        <v>1</v>
      </c>
      <c r="G167">
        <v>1</v>
      </c>
      <c r="H167">
        <v>3</v>
      </c>
      <c r="I167" t="s">
        <v>790</v>
      </c>
      <c r="J167" t="s">
        <v>791</v>
      </c>
      <c r="K167" t="s">
        <v>792</v>
      </c>
      <c r="L167">
        <v>1348</v>
      </c>
      <c r="N167">
        <v>1009</v>
      </c>
      <c r="O167" t="s">
        <v>288</v>
      </c>
      <c r="P167" t="s">
        <v>288</v>
      </c>
      <c r="Q167">
        <v>1000</v>
      </c>
      <c r="W167">
        <v>0</v>
      </c>
      <c r="X167">
        <v>-487945645</v>
      </c>
      <c r="Y167">
        <v>0.90900000000000003</v>
      </c>
      <c r="AA167">
        <v>480</v>
      </c>
      <c r="AB167">
        <v>0</v>
      </c>
      <c r="AC167">
        <v>0</v>
      </c>
      <c r="AD167">
        <v>0</v>
      </c>
      <c r="AE167">
        <v>480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224</v>
      </c>
      <c r="AT167">
        <v>0.90900000000000003</v>
      </c>
      <c r="AU167" t="s">
        <v>224</v>
      </c>
      <c r="AV167">
        <v>0</v>
      </c>
      <c r="AW167">
        <v>2</v>
      </c>
      <c r="AX167">
        <v>16500159</v>
      </c>
      <c r="AY167">
        <v>1</v>
      </c>
      <c r="AZ167">
        <v>0</v>
      </c>
      <c r="BA167">
        <v>186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Y167*Source!I62</f>
        <v>0.18543599999999999</v>
      </c>
      <c r="CY167">
        <f t="shared" si="15"/>
        <v>480</v>
      </c>
      <c r="CZ167">
        <f t="shared" si="16"/>
        <v>480</v>
      </c>
      <c r="DA167">
        <f t="shared" si="17"/>
        <v>1</v>
      </c>
      <c r="DB167">
        <v>0</v>
      </c>
    </row>
    <row r="168" spans="1:106" x14ac:dyDescent="0.2">
      <c r="A168">
        <f>ROW(Source!A62)</f>
        <v>62</v>
      </c>
      <c r="B168">
        <v>16499835</v>
      </c>
      <c r="C168">
        <v>16500145</v>
      </c>
      <c r="D168">
        <v>15195806</v>
      </c>
      <c r="E168">
        <v>1</v>
      </c>
      <c r="F168">
        <v>1</v>
      </c>
      <c r="G168">
        <v>1</v>
      </c>
      <c r="H168">
        <v>3</v>
      </c>
      <c r="I168" t="s">
        <v>793</v>
      </c>
      <c r="J168" t="s">
        <v>794</v>
      </c>
      <c r="K168" t="s">
        <v>795</v>
      </c>
      <c r="L168">
        <v>1339</v>
      </c>
      <c r="N168">
        <v>1007</v>
      </c>
      <c r="O168" t="s">
        <v>691</v>
      </c>
      <c r="P168" t="s">
        <v>691</v>
      </c>
      <c r="Q168">
        <v>1</v>
      </c>
      <c r="W168">
        <v>0</v>
      </c>
      <c r="X168">
        <v>835779728</v>
      </c>
      <c r="Y168">
        <v>0.01</v>
      </c>
      <c r="AA168">
        <v>1100</v>
      </c>
      <c r="AB168">
        <v>0</v>
      </c>
      <c r="AC168">
        <v>0</v>
      </c>
      <c r="AD168">
        <v>0</v>
      </c>
      <c r="AE168">
        <v>1100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224</v>
      </c>
      <c r="AT168">
        <v>0.01</v>
      </c>
      <c r="AU168" t="s">
        <v>224</v>
      </c>
      <c r="AV168">
        <v>0</v>
      </c>
      <c r="AW168">
        <v>2</v>
      </c>
      <c r="AX168">
        <v>16500160</v>
      </c>
      <c r="AY168">
        <v>1</v>
      </c>
      <c r="AZ168">
        <v>0</v>
      </c>
      <c r="BA168">
        <v>187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Y168*Source!I62</f>
        <v>2.0399999999999997E-3</v>
      </c>
      <c r="CY168">
        <f t="shared" si="15"/>
        <v>1100</v>
      </c>
      <c r="CZ168">
        <f t="shared" si="16"/>
        <v>1100</v>
      </c>
      <c r="DA168">
        <f t="shared" si="17"/>
        <v>1</v>
      </c>
      <c r="DB168">
        <v>0</v>
      </c>
    </row>
    <row r="169" spans="1:106" x14ac:dyDescent="0.2">
      <c r="A169">
        <f>ROW(Source!A62)</f>
        <v>62</v>
      </c>
      <c r="B169">
        <v>16499835</v>
      </c>
      <c r="C169">
        <v>16500145</v>
      </c>
      <c r="D169">
        <v>15203740</v>
      </c>
      <c r="E169">
        <v>1</v>
      </c>
      <c r="F169">
        <v>1</v>
      </c>
      <c r="G169">
        <v>1</v>
      </c>
      <c r="H169">
        <v>3</v>
      </c>
      <c r="I169" t="s">
        <v>796</v>
      </c>
      <c r="J169" t="s">
        <v>797</v>
      </c>
      <c r="K169" t="s">
        <v>798</v>
      </c>
      <c r="L169">
        <v>1348</v>
      </c>
      <c r="N169">
        <v>1009</v>
      </c>
      <c r="O169" t="s">
        <v>288</v>
      </c>
      <c r="P169" t="s">
        <v>288</v>
      </c>
      <c r="Q169">
        <v>1000</v>
      </c>
      <c r="W169">
        <v>0</v>
      </c>
      <c r="X169">
        <v>570223526</v>
      </c>
      <c r="Y169">
        <v>7.0000000000000007E-2</v>
      </c>
      <c r="AA169">
        <v>15119</v>
      </c>
      <c r="AB169">
        <v>0</v>
      </c>
      <c r="AC169">
        <v>0</v>
      </c>
      <c r="AD169">
        <v>0</v>
      </c>
      <c r="AE169">
        <v>15119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224</v>
      </c>
      <c r="AT169">
        <v>7.0000000000000007E-2</v>
      </c>
      <c r="AU169" t="s">
        <v>224</v>
      </c>
      <c r="AV169">
        <v>0</v>
      </c>
      <c r="AW169">
        <v>2</v>
      </c>
      <c r="AX169">
        <v>16500161</v>
      </c>
      <c r="AY169">
        <v>1</v>
      </c>
      <c r="AZ169">
        <v>0</v>
      </c>
      <c r="BA169">
        <v>188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Y169*Source!I62</f>
        <v>1.4280000000000001E-2</v>
      </c>
      <c r="CY169">
        <f t="shared" si="15"/>
        <v>15119</v>
      </c>
      <c r="CZ169">
        <f t="shared" si="16"/>
        <v>15119</v>
      </c>
      <c r="DA169">
        <f t="shared" si="17"/>
        <v>1</v>
      </c>
      <c r="DB169">
        <v>0</v>
      </c>
    </row>
    <row r="170" spans="1:106" x14ac:dyDescent="0.2">
      <c r="A170">
        <f>ROW(Source!A63)</f>
        <v>63</v>
      </c>
      <c r="B170">
        <v>16499878</v>
      </c>
      <c r="C170">
        <v>16500145</v>
      </c>
      <c r="D170">
        <v>15435721</v>
      </c>
      <c r="E170">
        <v>1</v>
      </c>
      <c r="F170">
        <v>1</v>
      </c>
      <c r="G170">
        <v>1</v>
      </c>
      <c r="H170">
        <v>1</v>
      </c>
      <c r="I170" t="s">
        <v>764</v>
      </c>
      <c r="J170" t="s">
        <v>224</v>
      </c>
      <c r="K170" t="s">
        <v>765</v>
      </c>
      <c r="L170">
        <v>1191</v>
      </c>
      <c r="N170">
        <v>1013</v>
      </c>
      <c r="O170" t="s">
        <v>628</v>
      </c>
      <c r="P170" t="s">
        <v>628</v>
      </c>
      <c r="Q170">
        <v>1</v>
      </c>
      <c r="W170">
        <v>0</v>
      </c>
      <c r="X170">
        <v>1983201532</v>
      </c>
      <c r="Y170">
        <v>118.65</v>
      </c>
      <c r="AA170">
        <v>0</v>
      </c>
      <c r="AB170">
        <v>0</v>
      </c>
      <c r="AC170">
        <v>0</v>
      </c>
      <c r="AD170">
        <v>57.82</v>
      </c>
      <c r="AE170">
        <v>0</v>
      </c>
      <c r="AF170">
        <v>0</v>
      </c>
      <c r="AG170">
        <v>0</v>
      </c>
      <c r="AH170">
        <v>9.51</v>
      </c>
      <c r="AI170">
        <v>1</v>
      </c>
      <c r="AJ170">
        <v>1</v>
      </c>
      <c r="AK170">
        <v>1</v>
      </c>
      <c r="AL170">
        <v>6.08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224</v>
      </c>
      <c r="AT170">
        <v>118.65</v>
      </c>
      <c r="AU170" t="s">
        <v>224</v>
      </c>
      <c r="AV170">
        <v>1</v>
      </c>
      <c r="AW170">
        <v>2</v>
      </c>
      <c r="AX170">
        <v>16500146</v>
      </c>
      <c r="AY170">
        <v>1</v>
      </c>
      <c r="AZ170">
        <v>0</v>
      </c>
      <c r="BA170">
        <v>189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Y170*Source!I63</f>
        <v>24.204599999999999</v>
      </c>
      <c r="CY170">
        <f>AD170</f>
        <v>57.82</v>
      </c>
      <c r="CZ170">
        <f>AH170</f>
        <v>9.51</v>
      </c>
      <c r="DA170">
        <f>AL170</f>
        <v>6.08</v>
      </c>
      <c r="DB170">
        <v>0</v>
      </c>
    </row>
    <row r="171" spans="1:106" x14ac:dyDescent="0.2">
      <c r="A171">
        <f>ROW(Source!A63)</f>
        <v>63</v>
      </c>
      <c r="B171">
        <v>16499878</v>
      </c>
      <c r="C171">
        <v>16500145</v>
      </c>
      <c r="D171">
        <v>15430395</v>
      </c>
      <c r="E171">
        <v>1</v>
      </c>
      <c r="F171">
        <v>1</v>
      </c>
      <c r="G171">
        <v>1</v>
      </c>
      <c r="H171">
        <v>1</v>
      </c>
      <c r="I171" t="s">
        <v>629</v>
      </c>
      <c r="J171" t="s">
        <v>224</v>
      </c>
      <c r="K171" t="s">
        <v>630</v>
      </c>
      <c r="L171">
        <v>1191</v>
      </c>
      <c r="N171">
        <v>1013</v>
      </c>
      <c r="O171" t="s">
        <v>628</v>
      </c>
      <c r="P171" t="s">
        <v>628</v>
      </c>
      <c r="Q171">
        <v>1</v>
      </c>
      <c r="W171">
        <v>0</v>
      </c>
      <c r="X171">
        <v>-1417349443</v>
      </c>
      <c r="Y171">
        <v>3.62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6.08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224</v>
      </c>
      <c r="AT171">
        <v>3.62</v>
      </c>
      <c r="AU171" t="s">
        <v>224</v>
      </c>
      <c r="AV171">
        <v>2</v>
      </c>
      <c r="AW171">
        <v>2</v>
      </c>
      <c r="AX171">
        <v>16500147</v>
      </c>
      <c r="AY171">
        <v>1</v>
      </c>
      <c r="AZ171">
        <v>0</v>
      </c>
      <c r="BA171">
        <v>190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Y171*Source!I63</f>
        <v>0.73848000000000003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ROW(Source!A63)</f>
        <v>63</v>
      </c>
      <c r="B172">
        <v>16499878</v>
      </c>
      <c r="C172">
        <v>16500145</v>
      </c>
      <c r="D172">
        <v>15247905</v>
      </c>
      <c r="E172">
        <v>1</v>
      </c>
      <c r="F172">
        <v>1</v>
      </c>
      <c r="G172">
        <v>1</v>
      </c>
      <c r="H172">
        <v>2</v>
      </c>
      <c r="I172" t="s">
        <v>766</v>
      </c>
      <c r="J172" t="s">
        <v>767</v>
      </c>
      <c r="K172" t="s">
        <v>768</v>
      </c>
      <c r="L172">
        <v>1368</v>
      </c>
      <c r="N172">
        <v>1011</v>
      </c>
      <c r="O172" t="s">
        <v>634</v>
      </c>
      <c r="P172" t="s">
        <v>634</v>
      </c>
      <c r="Q172">
        <v>1</v>
      </c>
      <c r="W172">
        <v>0</v>
      </c>
      <c r="X172">
        <v>1225731627</v>
      </c>
      <c r="Y172">
        <v>0.82</v>
      </c>
      <c r="AA172">
        <v>0</v>
      </c>
      <c r="AB172">
        <v>547.14</v>
      </c>
      <c r="AC172">
        <v>10.06</v>
      </c>
      <c r="AD172">
        <v>0</v>
      </c>
      <c r="AE172">
        <v>0</v>
      </c>
      <c r="AF172">
        <v>89.99</v>
      </c>
      <c r="AG172">
        <v>10.06</v>
      </c>
      <c r="AH172">
        <v>0</v>
      </c>
      <c r="AI172">
        <v>1</v>
      </c>
      <c r="AJ172">
        <v>6.08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224</v>
      </c>
      <c r="AT172">
        <v>0.82</v>
      </c>
      <c r="AU172" t="s">
        <v>224</v>
      </c>
      <c r="AV172">
        <v>0</v>
      </c>
      <c r="AW172">
        <v>2</v>
      </c>
      <c r="AX172">
        <v>16500148</v>
      </c>
      <c r="AY172">
        <v>1</v>
      </c>
      <c r="AZ172">
        <v>0</v>
      </c>
      <c r="BA172">
        <v>191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Y172*Source!I63</f>
        <v>0.16727999999999998</v>
      </c>
      <c r="CY172">
        <f t="shared" ref="CY172:CY177" si="18">AB172</f>
        <v>547.14</v>
      </c>
      <c r="CZ172">
        <f t="shared" ref="CZ172:CZ177" si="19">AF172</f>
        <v>89.99</v>
      </c>
      <c r="DA172">
        <f t="shared" ref="DA172:DA177" si="20">AJ172</f>
        <v>6.08</v>
      </c>
      <c r="DB172">
        <v>0</v>
      </c>
    </row>
    <row r="173" spans="1:106" x14ac:dyDescent="0.2">
      <c r="A173">
        <f>ROW(Source!A63)</f>
        <v>63</v>
      </c>
      <c r="B173">
        <v>16499878</v>
      </c>
      <c r="C173">
        <v>16500145</v>
      </c>
      <c r="D173">
        <v>15247974</v>
      </c>
      <c r="E173">
        <v>1</v>
      </c>
      <c r="F173">
        <v>1</v>
      </c>
      <c r="G173">
        <v>1</v>
      </c>
      <c r="H173">
        <v>2</v>
      </c>
      <c r="I173" t="s">
        <v>640</v>
      </c>
      <c r="J173" t="s">
        <v>641</v>
      </c>
      <c r="K173" t="s">
        <v>642</v>
      </c>
      <c r="L173">
        <v>1368</v>
      </c>
      <c r="N173">
        <v>1011</v>
      </c>
      <c r="O173" t="s">
        <v>634</v>
      </c>
      <c r="P173" t="s">
        <v>634</v>
      </c>
      <c r="Q173">
        <v>1</v>
      </c>
      <c r="W173">
        <v>0</v>
      </c>
      <c r="X173">
        <v>1188625873</v>
      </c>
      <c r="Y173">
        <v>0.76</v>
      </c>
      <c r="AA173">
        <v>0</v>
      </c>
      <c r="AB173">
        <v>190.06</v>
      </c>
      <c r="AC173">
        <v>13.5</v>
      </c>
      <c r="AD173">
        <v>0</v>
      </c>
      <c r="AE173">
        <v>0</v>
      </c>
      <c r="AF173">
        <v>31.26</v>
      </c>
      <c r="AG173">
        <v>13.5</v>
      </c>
      <c r="AH173">
        <v>0</v>
      </c>
      <c r="AI173">
        <v>1</v>
      </c>
      <c r="AJ173">
        <v>6.08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224</v>
      </c>
      <c r="AT173">
        <v>0.76</v>
      </c>
      <c r="AU173" t="s">
        <v>224</v>
      </c>
      <c r="AV173">
        <v>0</v>
      </c>
      <c r="AW173">
        <v>2</v>
      </c>
      <c r="AX173">
        <v>16500149</v>
      </c>
      <c r="AY173">
        <v>1</v>
      </c>
      <c r="AZ173">
        <v>0</v>
      </c>
      <c r="BA173">
        <v>192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Y173*Source!I63</f>
        <v>0.15503999999999998</v>
      </c>
      <c r="CY173">
        <f t="shared" si="18"/>
        <v>190.06</v>
      </c>
      <c r="CZ173">
        <f t="shared" si="19"/>
        <v>31.26</v>
      </c>
      <c r="DA173">
        <f t="shared" si="20"/>
        <v>6.08</v>
      </c>
      <c r="DB173">
        <v>0</v>
      </c>
    </row>
    <row r="174" spans="1:106" x14ac:dyDescent="0.2">
      <c r="A174">
        <f>ROW(Source!A63)</f>
        <v>63</v>
      </c>
      <c r="B174">
        <v>16499878</v>
      </c>
      <c r="C174">
        <v>16500145</v>
      </c>
      <c r="D174">
        <v>15248078</v>
      </c>
      <c r="E174">
        <v>1</v>
      </c>
      <c r="F174">
        <v>1</v>
      </c>
      <c r="G174">
        <v>1</v>
      </c>
      <c r="H174">
        <v>2</v>
      </c>
      <c r="I174" t="s">
        <v>769</v>
      </c>
      <c r="J174" t="s">
        <v>770</v>
      </c>
      <c r="K174" t="s">
        <v>771</v>
      </c>
      <c r="L174">
        <v>1368</v>
      </c>
      <c r="N174">
        <v>1011</v>
      </c>
      <c r="O174" t="s">
        <v>634</v>
      </c>
      <c r="P174" t="s">
        <v>634</v>
      </c>
      <c r="Q174">
        <v>1</v>
      </c>
      <c r="W174">
        <v>0</v>
      </c>
      <c r="X174">
        <v>-2043834721</v>
      </c>
      <c r="Y174">
        <v>1.25</v>
      </c>
      <c r="AA174">
        <v>0</v>
      </c>
      <c r="AB174">
        <v>131.57</v>
      </c>
      <c r="AC174">
        <v>10.06</v>
      </c>
      <c r="AD174">
        <v>0</v>
      </c>
      <c r="AE174">
        <v>0</v>
      </c>
      <c r="AF174">
        <v>21.64</v>
      </c>
      <c r="AG174">
        <v>10.06</v>
      </c>
      <c r="AH174">
        <v>0</v>
      </c>
      <c r="AI174">
        <v>1</v>
      </c>
      <c r="AJ174">
        <v>6.08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224</v>
      </c>
      <c r="AT174">
        <v>1.25</v>
      </c>
      <c r="AU174" t="s">
        <v>224</v>
      </c>
      <c r="AV174">
        <v>0</v>
      </c>
      <c r="AW174">
        <v>2</v>
      </c>
      <c r="AX174">
        <v>16500150</v>
      </c>
      <c r="AY174">
        <v>1</v>
      </c>
      <c r="AZ174">
        <v>0</v>
      </c>
      <c r="BA174">
        <v>193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Y174*Source!I63</f>
        <v>0.255</v>
      </c>
      <c r="CY174">
        <f t="shared" si="18"/>
        <v>131.57</v>
      </c>
      <c r="CZ174">
        <f t="shared" si="19"/>
        <v>21.64</v>
      </c>
      <c r="DA174">
        <f t="shared" si="20"/>
        <v>6.08</v>
      </c>
      <c r="DB174">
        <v>0</v>
      </c>
    </row>
    <row r="175" spans="1:106" x14ac:dyDescent="0.2">
      <c r="A175">
        <f>ROW(Source!A63)</f>
        <v>63</v>
      </c>
      <c r="B175">
        <v>16499878</v>
      </c>
      <c r="C175">
        <v>16500145</v>
      </c>
      <c r="D175">
        <v>15249073</v>
      </c>
      <c r="E175">
        <v>1</v>
      </c>
      <c r="F175">
        <v>1</v>
      </c>
      <c r="G175">
        <v>1</v>
      </c>
      <c r="H175">
        <v>2</v>
      </c>
      <c r="I175" t="s">
        <v>631</v>
      </c>
      <c r="J175" t="s">
        <v>632</v>
      </c>
      <c r="K175" t="s">
        <v>633</v>
      </c>
      <c r="L175">
        <v>1368</v>
      </c>
      <c r="N175">
        <v>1011</v>
      </c>
      <c r="O175" t="s">
        <v>634</v>
      </c>
      <c r="P175" t="s">
        <v>634</v>
      </c>
      <c r="Q175">
        <v>1</v>
      </c>
      <c r="W175">
        <v>0</v>
      </c>
      <c r="X175">
        <v>1372534845</v>
      </c>
      <c r="Y175">
        <v>0.28000000000000003</v>
      </c>
      <c r="AA175">
        <v>0</v>
      </c>
      <c r="AB175">
        <v>399.52</v>
      </c>
      <c r="AC175">
        <v>11.6</v>
      </c>
      <c r="AD175">
        <v>0</v>
      </c>
      <c r="AE175">
        <v>0</v>
      </c>
      <c r="AF175">
        <v>65.709999999999994</v>
      </c>
      <c r="AG175">
        <v>11.6</v>
      </c>
      <c r="AH175">
        <v>0</v>
      </c>
      <c r="AI175">
        <v>1</v>
      </c>
      <c r="AJ175">
        <v>6.08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224</v>
      </c>
      <c r="AT175">
        <v>0.28000000000000003</v>
      </c>
      <c r="AU175" t="s">
        <v>224</v>
      </c>
      <c r="AV175">
        <v>0</v>
      </c>
      <c r="AW175">
        <v>2</v>
      </c>
      <c r="AX175">
        <v>16500151</v>
      </c>
      <c r="AY175">
        <v>1</v>
      </c>
      <c r="AZ175">
        <v>0</v>
      </c>
      <c r="BA175">
        <v>194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Y175*Source!I63</f>
        <v>5.7120000000000004E-2</v>
      </c>
      <c r="CY175">
        <f t="shared" si="18"/>
        <v>399.52</v>
      </c>
      <c r="CZ175">
        <f t="shared" si="19"/>
        <v>65.709999999999994</v>
      </c>
      <c r="DA175">
        <f t="shared" si="20"/>
        <v>6.08</v>
      </c>
      <c r="DB175">
        <v>0</v>
      </c>
    </row>
    <row r="176" spans="1:106" x14ac:dyDescent="0.2">
      <c r="A176">
        <f>ROW(Source!A63)</f>
        <v>63</v>
      </c>
      <c r="B176">
        <v>16499878</v>
      </c>
      <c r="C176">
        <v>16500145</v>
      </c>
      <c r="D176">
        <v>15249397</v>
      </c>
      <c r="E176">
        <v>1</v>
      </c>
      <c r="F176">
        <v>1</v>
      </c>
      <c r="G176">
        <v>1</v>
      </c>
      <c r="H176">
        <v>2</v>
      </c>
      <c r="I176" t="s">
        <v>772</v>
      </c>
      <c r="J176" t="s">
        <v>773</v>
      </c>
      <c r="K176" t="s">
        <v>774</v>
      </c>
      <c r="L176">
        <v>1368</v>
      </c>
      <c r="N176">
        <v>1011</v>
      </c>
      <c r="O176" t="s">
        <v>634</v>
      </c>
      <c r="P176" t="s">
        <v>634</v>
      </c>
      <c r="Q176">
        <v>1</v>
      </c>
      <c r="W176">
        <v>0</v>
      </c>
      <c r="X176">
        <v>-514543984</v>
      </c>
      <c r="Y176">
        <v>0.51</v>
      </c>
      <c r="AA176">
        <v>0</v>
      </c>
      <c r="AB176">
        <v>547.20000000000005</v>
      </c>
      <c r="AC176">
        <v>10.06</v>
      </c>
      <c r="AD176">
        <v>0</v>
      </c>
      <c r="AE176">
        <v>0</v>
      </c>
      <c r="AF176">
        <v>90</v>
      </c>
      <c r="AG176">
        <v>10.06</v>
      </c>
      <c r="AH176">
        <v>0</v>
      </c>
      <c r="AI176">
        <v>1</v>
      </c>
      <c r="AJ176">
        <v>6.08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224</v>
      </c>
      <c r="AT176">
        <v>0.51</v>
      </c>
      <c r="AU176" t="s">
        <v>224</v>
      </c>
      <c r="AV176">
        <v>0</v>
      </c>
      <c r="AW176">
        <v>2</v>
      </c>
      <c r="AX176">
        <v>16500152</v>
      </c>
      <c r="AY176">
        <v>1</v>
      </c>
      <c r="AZ176">
        <v>0</v>
      </c>
      <c r="BA176">
        <v>195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Y176*Source!I63</f>
        <v>0.10403999999999999</v>
      </c>
      <c r="CY176">
        <f t="shared" si="18"/>
        <v>547.20000000000005</v>
      </c>
      <c r="CZ176">
        <f t="shared" si="19"/>
        <v>90</v>
      </c>
      <c r="DA176">
        <f t="shared" si="20"/>
        <v>6.08</v>
      </c>
      <c r="DB176">
        <v>0</v>
      </c>
    </row>
    <row r="177" spans="1:106" x14ac:dyDescent="0.2">
      <c r="A177">
        <f>ROW(Source!A63)</f>
        <v>63</v>
      </c>
      <c r="B177">
        <v>16499878</v>
      </c>
      <c r="C177">
        <v>16500145</v>
      </c>
      <c r="D177">
        <v>15249979</v>
      </c>
      <c r="E177">
        <v>1</v>
      </c>
      <c r="F177">
        <v>1</v>
      </c>
      <c r="G177">
        <v>1</v>
      </c>
      <c r="H177">
        <v>2</v>
      </c>
      <c r="I177" t="s">
        <v>775</v>
      </c>
      <c r="J177" t="s">
        <v>776</v>
      </c>
      <c r="K177" t="s">
        <v>777</v>
      </c>
      <c r="L177">
        <v>1368</v>
      </c>
      <c r="N177">
        <v>1011</v>
      </c>
      <c r="O177" t="s">
        <v>634</v>
      </c>
      <c r="P177" t="s">
        <v>634</v>
      </c>
      <c r="Q177">
        <v>1</v>
      </c>
      <c r="W177">
        <v>0</v>
      </c>
      <c r="X177">
        <v>2131372584</v>
      </c>
      <c r="Y177">
        <v>32</v>
      </c>
      <c r="AA177">
        <v>0</v>
      </c>
      <c r="AB177">
        <v>9.1199999999999992</v>
      </c>
      <c r="AC177">
        <v>0</v>
      </c>
      <c r="AD177">
        <v>0</v>
      </c>
      <c r="AE177">
        <v>0</v>
      </c>
      <c r="AF177">
        <v>1.5</v>
      </c>
      <c r="AG177">
        <v>0</v>
      </c>
      <c r="AH177">
        <v>0</v>
      </c>
      <c r="AI177">
        <v>1</v>
      </c>
      <c r="AJ177">
        <v>6.08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224</v>
      </c>
      <c r="AT177">
        <v>32</v>
      </c>
      <c r="AU177" t="s">
        <v>224</v>
      </c>
      <c r="AV177">
        <v>0</v>
      </c>
      <c r="AW177">
        <v>2</v>
      </c>
      <c r="AX177">
        <v>16500153</v>
      </c>
      <c r="AY177">
        <v>1</v>
      </c>
      <c r="AZ177">
        <v>0</v>
      </c>
      <c r="BA177">
        <v>196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Y177*Source!I63</f>
        <v>6.5279999999999996</v>
      </c>
      <c r="CY177">
        <f t="shared" si="18"/>
        <v>9.1199999999999992</v>
      </c>
      <c r="CZ177">
        <f t="shared" si="19"/>
        <v>1.5</v>
      </c>
      <c r="DA177">
        <f t="shared" si="20"/>
        <v>6.08</v>
      </c>
      <c r="DB177">
        <v>0</v>
      </c>
    </row>
    <row r="178" spans="1:106" x14ac:dyDescent="0.2">
      <c r="A178">
        <f>ROW(Source!A63)</f>
        <v>63</v>
      </c>
      <c r="B178">
        <v>16499878</v>
      </c>
      <c r="C178">
        <v>16500145</v>
      </c>
      <c r="D178">
        <v>15167286</v>
      </c>
      <c r="E178">
        <v>1</v>
      </c>
      <c r="F178">
        <v>1</v>
      </c>
      <c r="G178">
        <v>1</v>
      </c>
      <c r="H178">
        <v>3</v>
      </c>
      <c r="I178" t="s">
        <v>778</v>
      </c>
      <c r="J178" t="s">
        <v>779</v>
      </c>
      <c r="K178" t="s">
        <v>780</v>
      </c>
      <c r="L178">
        <v>1339</v>
      </c>
      <c r="N178">
        <v>1007</v>
      </c>
      <c r="O178" t="s">
        <v>691</v>
      </c>
      <c r="P178" t="s">
        <v>691</v>
      </c>
      <c r="Q178">
        <v>1</v>
      </c>
      <c r="W178">
        <v>0</v>
      </c>
      <c r="X178">
        <v>-1660354250</v>
      </c>
      <c r="Y178">
        <v>0.40100000000000002</v>
      </c>
      <c r="AA178">
        <v>14.84</v>
      </c>
      <c r="AB178">
        <v>0</v>
      </c>
      <c r="AC178">
        <v>0</v>
      </c>
      <c r="AD178">
        <v>0</v>
      </c>
      <c r="AE178">
        <v>2.44</v>
      </c>
      <c r="AF178">
        <v>0</v>
      </c>
      <c r="AG178">
        <v>0</v>
      </c>
      <c r="AH178">
        <v>0</v>
      </c>
      <c r="AI178">
        <v>6.08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224</v>
      </c>
      <c r="AT178">
        <v>0.40100000000000002</v>
      </c>
      <c r="AU178" t="s">
        <v>224</v>
      </c>
      <c r="AV178">
        <v>0</v>
      </c>
      <c r="AW178">
        <v>2</v>
      </c>
      <c r="AX178">
        <v>16500154</v>
      </c>
      <c r="AY178">
        <v>1</v>
      </c>
      <c r="AZ178">
        <v>0</v>
      </c>
      <c r="BA178">
        <v>197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Y178*Source!I63</f>
        <v>8.1804000000000002E-2</v>
      </c>
      <c r="CY178">
        <f t="shared" ref="CY178:CY184" si="21">AA178</f>
        <v>14.84</v>
      </c>
      <c r="CZ178">
        <f t="shared" ref="CZ178:CZ184" si="22">AE178</f>
        <v>2.44</v>
      </c>
      <c r="DA178">
        <f t="shared" ref="DA178:DA184" si="23">AI178</f>
        <v>6.08</v>
      </c>
      <c r="DB178">
        <v>0</v>
      </c>
    </row>
    <row r="179" spans="1:106" x14ac:dyDescent="0.2">
      <c r="A179">
        <f>ROW(Source!A63)</f>
        <v>63</v>
      </c>
      <c r="B179">
        <v>16499878</v>
      </c>
      <c r="C179">
        <v>16500145</v>
      </c>
      <c r="D179">
        <v>15167719</v>
      </c>
      <c r="E179">
        <v>1</v>
      </c>
      <c r="F179">
        <v>1</v>
      </c>
      <c r="G179">
        <v>1</v>
      </c>
      <c r="H179">
        <v>3</v>
      </c>
      <c r="I179" t="s">
        <v>781</v>
      </c>
      <c r="J179" t="s">
        <v>782</v>
      </c>
      <c r="K179" t="s">
        <v>783</v>
      </c>
      <c r="L179">
        <v>1346</v>
      </c>
      <c r="N179">
        <v>1009</v>
      </c>
      <c r="O179" t="s">
        <v>303</v>
      </c>
      <c r="P179" t="s">
        <v>303</v>
      </c>
      <c r="Q179">
        <v>1</v>
      </c>
      <c r="W179">
        <v>0</v>
      </c>
      <c r="X179">
        <v>-1575546811</v>
      </c>
      <c r="Y179">
        <v>284</v>
      </c>
      <c r="AA179">
        <v>100.93</v>
      </c>
      <c r="AB179">
        <v>0</v>
      </c>
      <c r="AC179">
        <v>0</v>
      </c>
      <c r="AD179">
        <v>0</v>
      </c>
      <c r="AE179">
        <v>16.600000000000001</v>
      </c>
      <c r="AF179">
        <v>0</v>
      </c>
      <c r="AG179">
        <v>0</v>
      </c>
      <c r="AH179">
        <v>0</v>
      </c>
      <c r="AI179">
        <v>6.08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224</v>
      </c>
      <c r="AT179">
        <v>284</v>
      </c>
      <c r="AU179" t="s">
        <v>224</v>
      </c>
      <c r="AV179">
        <v>0</v>
      </c>
      <c r="AW179">
        <v>2</v>
      </c>
      <c r="AX179">
        <v>16500155</v>
      </c>
      <c r="AY179">
        <v>1</v>
      </c>
      <c r="AZ179">
        <v>0</v>
      </c>
      <c r="BA179">
        <v>198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Y179*Source!I63</f>
        <v>57.935999999999993</v>
      </c>
      <c r="CY179">
        <f t="shared" si="21"/>
        <v>100.93</v>
      </c>
      <c r="CZ179">
        <f t="shared" si="22"/>
        <v>16.600000000000001</v>
      </c>
      <c r="DA179">
        <f t="shared" si="23"/>
        <v>6.08</v>
      </c>
      <c r="DB179">
        <v>0</v>
      </c>
    </row>
    <row r="180" spans="1:106" x14ac:dyDescent="0.2">
      <c r="A180">
        <f>ROW(Source!A63)</f>
        <v>63</v>
      </c>
      <c r="B180">
        <v>16499878</v>
      </c>
      <c r="C180">
        <v>16500145</v>
      </c>
      <c r="D180">
        <v>15170537</v>
      </c>
      <c r="E180">
        <v>1</v>
      </c>
      <c r="F180">
        <v>1</v>
      </c>
      <c r="G180">
        <v>1</v>
      </c>
      <c r="H180">
        <v>3</v>
      </c>
      <c r="I180" t="s">
        <v>784</v>
      </c>
      <c r="J180" t="s">
        <v>785</v>
      </c>
      <c r="K180" t="s">
        <v>786</v>
      </c>
      <c r="L180">
        <v>1346</v>
      </c>
      <c r="N180">
        <v>1009</v>
      </c>
      <c r="O180" t="s">
        <v>303</v>
      </c>
      <c r="P180" t="s">
        <v>303</v>
      </c>
      <c r="Q180">
        <v>1</v>
      </c>
      <c r="W180">
        <v>0</v>
      </c>
      <c r="X180">
        <v>-1110671496</v>
      </c>
      <c r="Y180">
        <v>2</v>
      </c>
      <c r="AA180">
        <v>34.72</v>
      </c>
      <c r="AB180">
        <v>0</v>
      </c>
      <c r="AC180">
        <v>0</v>
      </c>
      <c r="AD180">
        <v>0</v>
      </c>
      <c r="AE180">
        <v>5.71</v>
      </c>
      <c r="AF180">
        <v>0</v>
      </c>
      <c r="AG180">
        <v>0</v>
      </c>
      <c r="AH180">
        <v>0</v>
      </c>
      <c r="AI180">
        <v>6.08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224</v>
      </c>
      <c r="AT180">
        <v>2</v>
      </c>
      <c r="AU180" t="s">
        <v>224</v>
      </c>
      <c r="AV180">
        <v>0</v>
      </c>
      <c r="AW180">
        <v>2</v>
      </c>
      <c r="AX180">
        <v>16500156</v>
      </c>
      <c r="AY180">
        <v>1</v>
      </c>
      <c r="AZ180">
        <v>0</v>
      </c>
      <c r="BA180">
        <v>199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Y180*Source!I63</f>
        <v>0.40799999999999997</v>
      </c>
      <c r="CY180">
        <f t="shared" si="21"/>
        <v>34.72</v>
      </c>
      <c r="CZ180">
        <f t="shared" si="22"/>
        <v>5.71</v>
      </c>
      <c r="DA180">
        <f t="shared" si="23"/>
        <v>6.08</v>
      </c>
      <c r="DB180">
        <v>0</v>
      </c>
    </row>
    <row r="181" spans="1:106" x14ac:dyDescent="0.2">
      <c r="A181">
        <f>ROW(Source!A63)</f>
        <v>63</v>
      </c>
      <c r="B181">
        <v>16499878</v>
      </c>
      <c r="C181">
        <v>16500145</v>
      </c>
      <c r="D181">
        <v>15171651</v>
      </c>
      <c r="E181">
        <v>1</v>
      </c>
      <c r="F181">
        <v>1</v>
      </c>
      <c r="G181">
        <v>1</v>
      </c>
      <c r="H181">
        <v>3</v>
      </c>
      <c r="I181" t="s">
        <v>787</v>
      </c>
      <c r="J181" t="s">
        <v>788</v>
      </c>
      <c r="K181" t="s">
        <v>789</v>
      </c>
      <c r="L181">
        <v>1339</v>
      </c>
      <c r="N181">
        <v>1007</v>
      </c>
      <c r="O181" t="s">
        <v>691</v>
      </c>
      <c r="P181" t="s">
        <v>691</v>
      </c>
      <c r="Q181">
        <v>1</v>
      </c>
      <c r="W181">
        <v>0</v>
      </c>
      <c r="X181">
        <v>1443696299</v>
      </c>
      <c r="Y181">
        <v>1.39</v>
      </c>
      <c r="AA181">
        <v>589.46</v>
      </c>
      <c r="AB181">
        <v>0</v>
      </c>
      <c r="AC181">
        <v>0</v>
      </c>
      <c r="AD181">
        <v>0</v>
      </c>
      <c r="AE181">
        <v>96.95</v>
      </c>
      <c r="AF181">
        <v>0</v>
      </c>
      <c r="AG181">
        <v>0</v>
      </c>
      <c r="AH181">
        <v>0</v>
      </c>
      <c r="AI181">
        <v>6.08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224</v>
      </c>
      <c r="AT181">
        <v>1.39</v>
      </c>
      <c r="AU181" t="s">
        <v>224</v>
      </c>
      <c r="AV181">
        <v>0</v>
      </c>
      <c r="AW181">
        <v>2</v>
      </c>
      <c r="AX181">
        <v>16500157</v>
      </c>
      <c r="AY181">
        <v>1</v>
      </c>
      <c r="AZ181">
        <v>0</v>
      </c>
      <c r="BA181">
        <v>200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Y181*Source!I63</f>
        <v>0.28355999999999998</v>
      </c>
      <c r="CY181">
        <f t="shared" si="21"/>
        <v>589.46</v>
      </c>
      <c r="CZ181">
        <f t="shared" si="22"/>
        <v>96.95</v>
      </c>
      <c r="DA181">
        <f t="shared" si="23"/>
        <v>6.08</v>
      </c>
      <c r="DB181">
        <v>0</v>
      </c>
    </row>
    <row r="182" spans="1:106" x14ac:dyDescent="0.2">
      <c r="A182">
        <f>ROW(Source!A63)</f>
        <v>63</v>
      </c>
      <c r="B182">
        <v>16499878</v>
      </c>
      <c r="C182">
        <v>16500145</v>
      </c>
      <c r="D182">
        <v>15172041</v>
      </c>
      <c r="E182">
        <v>1</v>
      </c>
      <c r="F182">
        <v>1</v>
      </c>
      <c r="G182">
        <v>1</v>
      </c>
      <c r="H182">
        <v>3</v>
      </c>
      <c r="I182" t="s">
        <v>790</v>
      </c>
      <c r="J182" t="s">
        <v>791</v>
      </c>
      <c r="K182" t="s">
        <v>792</v>
      </c>
      <c r="L182">
        <v>1348</v>
      </c>
      <c r="N182">
        <v>1009</v>
      </c>
      <c r="O182" t="s">
        <v>288</v>
      </c>
      <c r="P182" t="s">
        <v>288</v>
      </c>
      <c r="Q182">
        <v>1000</v>
      </c>
      <c r="W182">
        <v>0</v>
      </c>
      <c r="X182">
        <v>-487945645</v>
      </c>
      <c r="Y182">
        <v>0.90900000000000003</v>
      </c>
      <c r="AA182">
        <v>2918.4</v>
      </c>
      <c r="AB182">
        <v>0</v>
      </c>
      <c r="AC182">
        <v>0</v>
      </c>
      <c r="AD182">
        <v>0</v>
      </c>
      <c r="AE182">
        <v>480</v>
      </c>
      <c r="AF182">
        <v>0</v>
      </c>
      <c r="AG182">
        <v>0</v>
      </c>
      <c r="AH182">
        <v>0</v>
      </c>
      <c r="AI182">
        <v>6.08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224</v>
      </c>
      <c r="AT182">
        <v>0.90900000000000003</v>
      </c>
      <c r="AU182" t="s">
        <v>224</v>
      </c>
      <c r="AV182">
        <v>0</v>
      </c>
      <c r="AW182">
        <v>2</v>
      </c>
      <c r="AX182">
        <v>16500159</v>
      </c>
      <c r="AY182">
        <v>1</v>
      </c>
      <c r="AZ182">
        <v>0</v>
      </c>
      <c r="BA182">
        <v>202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Y182*Source!I63</f>
        <v>0.18543599999999999</v>
      </c>
      <c r="CY182">
        <f t="shared" si="21"/>
        <v>2918.4</v>
      </c>
      <c r="CZ182">
        <f t="shared" si="22"/>
        <v>480</v>
      </c>
      <c r="DA182">
        <f t="shared" si="23"/>
        <v>6.08</v>
      </c>
      <c r="DB182">
        <v>0</v>
      </c>
    </row>
    <row r="183" spans="1:106" x14ac:dyDescent="0.2">
      <c r="A183">
        <f>ROW(Source!A63)</f>
        <v>63</v>
      </c>
      <c r="B183">
        <v>16499878</v>
      </c>
      <c r="C183">
        <v>16500145</v>
      </c>
      <c r="D183">
        <v>15195806</v>
      </c>
      <c r="E183">
        <v>1</v>
      </c>
      <c r="F183">
        <v>1</v>
      </c>
      <c r="G183">
        <v>1</v>
      </c>
      <c r="H183">
        <v>3</v>
      </c>
      <c r="I183" t="s">
        <v>793</v>
      </c>
      <c r="J183" t="s">
        <v>794</v>
      </c>
      <c r="K183" t="s">
        <v>795</v>
      </c>
      <c r="L183">
        <v>1339</v>
      </c>
      <c r="N183">
        <v>1007</v>
      </c>
      <c r="O183" t="s">
        <v>691</v>
      </c>
      <c r="P183" t="s">
        <v>691</v>
      </c>
      <c r="Q183">
        <v>1</v>
      </c>
      <c r="W183">
        <v>0</v>
      </c>
      <c r="X183">
        <v>835779728</v>
      </c>
      <c r="Y183">
        <v>0.01</v>
      </c>
      <c r="AA183">
        <v>6688</v>
      </c>
      <c r="AB183">
        <v>0</v>
      </c>
      <c r="AC183">
        <v>0</v>
      </c>
      <c r="AD183">
        <v>0</v>
      </c>
      <c r="AE183">
        <v>1100</v>
      </c>
      <c r="AF183">
        <v>0</v>
      </c>
      <c r="AG183">
        <v>0</v>
      </c>
      <c r="AH183">
        <v>0</v>
      </c>
      <c r="AI183">
        <v>6.08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224</v>
      </c>
      <c r="AT183">
        <v>0.01</v>
      </c>
      <c r="AU183" t="s">
        <v>224</v>
      </c>
      <c r="AV183">
        <v>0</v>
      </c>
      <c r="AW183">
        <v>2</v>
      </c>
      <c r="AX183">
        <v>16500160</v>
      </c>
      <c r="AY183">
        <v>1</v>
      </c>
      <c r="AZ183">
        <v>0</v>
      </c>
      <c r="BA183">
        <v>203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Y183*Source!I63</f>
        <v>2.0399999999999997E-3</v>
      </c>
      <c r="CY183">
        <f t="shared" si="21"/>
        <v>6688</v>
      </c>
      <c r="CZ183">
        <f t="shared" si="22"/>
        <v>1100</v>
      </c>
      <c r="DA183">
        <f t="shared" si="23"/>
        <v>6.08</v>
      </c>
      <c r="DB183">
        <v>0</v>
      </c>
    </row>
    <row r="184" spans="1:106" x14ac:dyDescent="0.2">
      <c r="A184">
        <f>ROW(Source!A63)</f>
        <v>63</v>
      </c>
      <c r="B184">
        <v>16499878</v>
      </c>
      <c r="C184">
        <v>16500145</v>
      </c>
      <c r="D184">
        <v>15203740</v>
      </c>
      <c r="E184">
        <v>1</v>
      </c>
      <c r="F184">
        <v>1</v>
      </c>
      <c r="G184">
        <v>1</v>
      </c>
      <c r="H184">
        <v>3</v>
      </c>
      <c r="I184" t="s">
        <v>796</v>
      </c>
      <c r="J184" t="s">
        <v>797</v>
      </c>
      <c r="K184" t="s">
        <v>798</v>
      </c>
      <c r="L184">
        <v>1348</v>
      </c>
      <c r="N184">
        <v>1009</v>
      </c>
      <c r="O184" t="s">
        <v>288</v>
      </c>
      <c r="P184" t="s">
        <v>288</v>
      </c>
      <c r="Q184">
        <v>1000</v>
      </c>
      <c r="W184">
        <v>0</v>
      </c>
      <c r="X184">
        <v>570223526</v>
      </c>
      <c r="Y184">
        <v>7.0000000000000007E-2</v>
      </c>
      <c r="AA184">
        <v>91923.520000000004</v>
      </c>
      <c r="AB184">
        <v>0</v>
      </c>
      <c r="AC184">
        <v>0</v>
      </c>
      <c r="AD184">
        <v>0</v>
      </c>
      <c r="AE184">
        <v>15119</v>
      </c>
      <c r="AF184">
        <v>0</v>
      </c>
      <c r="AG184">
        <v>0</v>
      </c>
      <c r="AH184">
        <v>0</v>
      </c>
      <c r="AI184">
        <v>6.08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224</v>
      </c>
      <c r="AT184">
        <v>7.0000000000000007E-2</v>
      </c>
      <c r="AU184" t="s">
        <v>224</v>
      </c>
      <c r="AV184">
        <v>0</v>
      </c>
      <c r="AW184">
        <v>2</v>
      </c>
      <c r="AX184">
        <v>16500161</v>
      </c>
      <c r="AY184">
        <v>1</v>
      </c>
      <c r="AZ184">
        <v>0</v>
      </c>
      <c r="BA184">
        <v>204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Y184*Source!I63</f>
        <v>1.4280000000000001E-2</v>
      </c>
      <c r="CY184">
        <f t="shared" si="21"/>
        <v>91923.520000000004</v>
      </c>
      <c r="CZ184">
        <f t="shared" si="22"/>
        <v>15119</v>
      </c>
      <c r="DA184">
        <f t="shared" si="23"/>
        <v>6.08</v>
      </c>
      <c r="DB184">
        <v>0</v>
      </c>
    </row>
    <row r="185" spans="1:106" x14ac:dyDescent="0.2">
      <c r="A185">
        <f>ROW(Source!A64)</f>
        <v>64</v>
      </c>
      <c r="B185">
        <v>16499835</v>
      </c>
      <c r="C185">
        <v>16500165</v>
      </c>
      <c r="D185">
        <v>15432356</v>
      </c>
      <c r="E185">
        <v>1</v>
      </c>
      <c r="F185">
        <v>1</v>
      </c>
      <c r="G185">
        <v>1</v>
      </c>
      <c r="H185">
        <v>1</v>
      </c>
      <c r="I185" t="s">
        <v>799</v>
      </c>
      <c r="J185" t="s">
        <v>224</v>
      </c>
      <c r="K185" t="s">
        <v>800</v>
      </c>
      <c r="L185">
        <v>1191</v>
      </c>
      <c r="N185">
        <v>1013</v>
      </c>
      <c r="O185" t="s">
        <v>628</v>
      </c>
      <c r="P185" t="s">
        <v>628</v>
      </c>
      <c r="Q185">
        <v>1</v>
      </c>
      <c r="W185">
        <v>0</v>
      </c>
      <c r="X185">
        <v>1850719656</v>
      </c>
      <c r="Y185">
        <v>36.121499999999997</v>
      </c>
      <c r="AA185">
        <v>0</v>
      </c>
      <c r="AB185">
        <v>0</v>
      </c>
      <c r="AC185">
        <v>0</v>
      </c>
      <c r="AD185">
        <v>8.31</v>
      </c>
      <c r="AE185">
        <v>0</v>
      </c>
      <c r="AF185">
        <v>0</v>
      </c>
      <c r="AG185">
        <v>0</v>
      </c>
      <c r="AH185">
        <v>8.31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224</v>
      </c>
      <c r="AT185">
        <v>31.41</v>
      </c>
      <c r="AU185" t="s">
        <v>240</v>
      </c>
      <c r="AV185">
        <v>1</v>
      </c>
      <c r="AW185">
        <v>2</v>
      </c>
      <c r="AX185">
        <v>16500166</v>
      </c>
      <c r="AY185">
        <v>1</v>
      </c>
      <c r="AZ185">
        <v>0</v>
      </c>
      <c r="BA185">
        <v>205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Y185*Source!I64</f>
        <v>7.3687859999999992</v>
      </c>
      <c r="CY185">
        <f>AD185</f>
        <v>8.31</v>
      </c>
      <c r="CZ185">
        <f>AH185</f>
        <v>8.31</v>
      </c>
      <c r="DA185">
        <f>AL185</f>
        <v>1</v>
      </c>
      <c r="DB185">
        <v>0</v>
      </c>
    </row>
    <row r="186" spans="1:106" x14ac:dyDescent="0.2">
      <c r="A186">
        <f>ROW(Source!A64)</f>
        <v>64</v>
      </c>
      <c r="B186">
        <v>16499835</v>
      </c>
      <c r="C186">
        <v>16500165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629</v>
      </c>
      <c r="J186" t="s">
        <v>224</v>
      </c>
      <c r="K186" t="s">
        <v>630</v>
      </c>
      <c r="L186">
        <v>1191</v>
      </c>
      <c r="N186">
        <v>1013</v>
      </c>
      <c r="O186" t="s">
        <v>628</v>
      </c>
      <c r="P186" t="s">
        <v>628</v>
      </c>
      <c r="Q186">
        <v>1</v>
      </c>
      <c r="W186">
        <v>0</v>
      </c>
      <c r="X186">
        <v>-1417349443</v>
      </c>
      <c r="Y186">
        <v>0.82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224</v>
      </c>
      <c r="AT186">
        <v>0.82</v>
      </c>
      <c r="AU186" t="s">
        <v>224</v>
      </c>
      <c r="AV186">
        <v>2</v>
      </c>
      <c r="AW186">
        <v>2</v>
      </c>
      <c r="AX186">
        <v>16500167</v>
      </c>
      <c r="AY186">
        <v>1</v>
      </c>
      <c r="AZ186">
        <v>2048</v>
      </c>
      <c r="BA186">
        <v>206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Y186*Source!I64</f>
        <v>0.16727999999999998</v>
      </c>
      <c r="CY186">
        <f>AD186</f>
        <v>0</v>
      </c>
      <c r="CZ186">
        <f>AH186</f>
        <v>0</v>
      </c>
      <c r="DA186">
        <f>AL186</f>
        <v>1</v>
      </c>
      <c r="DB186">
        <v>0</v>
      </c>
    </row>
    <row r="187" spans="1:106" x14ac:dyDescent="0.2">
      <c r="A187">
        <f>ROW(Source!A64)</f>
        <v>64</v>
      </c>
      <c r="B187">
        <v>16499835</v>
      </c>
      <c r="C187">
        <v>16500165</v>
      </c>
      <c r="D187">
        <v>15247974</v>
      </c>
      <c r="E187">
        <v>1</v>
      </c>
      <c r="F187">
        <v>1</v>
      </c>
      <c r="G187">
        <v>1</v>
      </c>
      <c r="H187">
        <v>2</v>
      </c>
      <c r="I187" t="s">
        <v>640</v>
      </c>
      <c r="J187" t="s">
        <v>641</v>
      </c>
      <c r="K187" t="s">
        <v>642</v>
      </c>
      <c r="L187">
        <v>1368</v>
      </c>
      <c r="N187">
        <v>1011</v>
      </c>
      <c r="O187" t="s">
        <v>634</v>
      </c>
      <c r="P187" t="s">
        <v>634</v>
      </c>
      <c r="Q187">
        <v>1</v>
      </c>
      <c r="W187">
        <v>0</v>
      </c>
      <c r="X187">
        <v>1188625873</v>
      </c>
      <c r="Y187">
        <v>0.42500000000000004</v>
      </c>
      <c r="AA187">
        <v>0</v>
      </c>
      <c r="AB187">
        <v>31.26</v>
      </c>
      <c r="AC187">
        <v>13.5</v>
      </c>
      <c r="AD187">
        <v>0</v>
      </c>
      <c r="AE187">
        <v>0</v>
      </c>
      <c r="AF187">
        <v>31.26</v>
      </c>
      <c r="AG187">
        <v>13.5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224</v>
      </c>
      <c r="AT187">
        <v>0.34</v>
      </c>
      <c r="AU187" t="s">
        <v>239</v>
      </c>
      <c r="AV187">
        <v>0</v>
      </c>
      <c r="AW187">
        <v>2</v>
      </c>
      <c r="AX187">
        <v>16500168</v>
      </c>
      <c r="AY187">
        <v>1</v>
      </c>
      <c r="AZ187">
        <v>0</v>
      </c>
      <c r="BA187">
        <v>207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Y187*Source!I64</f>
        <v>8.6699999999999999E-2</v>
      </c>
      <c r="CY187">
        <f>AB187</f>
        <v>31.26</v>
      </c>
      <c r="CZ187">
        <f>AF187</f>
        <v>31.26</v>
      </c>
      <c r="DA187">
        <f>AJ187</f>
        <v>1</v>
      </c>
      <c r="DB187">
        <v>0</v>
      </c>
    </row>
    <row r="188" spans="1:106" x14ac:dyDescent="0.2">
      <c r="A188">
        <f>ROW(Source!A64)</f>
        <v>64</v>
      </c>
      <c r="B188">
        <v>16499835</v>
      </c>
      <c r="C188">
        <v>16500165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631</v>
      </c>
      <c r="J188" t="s">
        <v>632</v>
      </c>
      <c r="K188" t="s">
        <v>633</v>
      </c>
      <c r="L188">
        <v>1368</v>
      </c>
      <c r="N188">
        <v>1011</v>
      </c>
      <c r="O188" t="s">
        <v>634</v>
      </c>
      <c r="P188" t="s">
        <v>634</v>
      </c>
      <c r="Q188">
        <v>1</v>
      </c>
      <c r="W188">
        <v>0</v>
      </c>
      <c r="X188">
        <v>1372534845</v>
      </c>
      <c r="Y188">
        <v>0.6</v>
      </c>
      <c r="AA188">
        <v>0</v>
      </c>
      <c r="AB188">
        <v>65.709999999999994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224</v>
      </c>
      <c r="AT188">
        <v>0.48</v>
      </c>
      <c r="AU188" t="s">
        <v>239</v>
      </c>
      <c r="AV188">
        <v>0</v>
      </c>
      <c r="AW188">
        <v>2</v>
      </c>
      <c r="AX188">
        <v>16500169</v>
      </c>
      <c r="AY188">
        <v>1</v>
      </c>
      <c r="AZ188">
        <v>0</v>
      </c>
      <c r="BA188">
        <v>208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Y188*Source!I64</f>
        <v>0.12239999999999998</v>
      </c>
      <c r="CY188">
        <f>AB188</f>
        <v>65.709999999999994</v>
      </c>
      <c r="CZ188">
        <f>AF188</f>
        <v>65.709999999999994</v>
      </c>
      <c r="DA188">
        <f>AJ188</f>
        <v>1</v>
      </c>
      <c r="DB188">
        <v>0</v>
      </c>
    </row>
    <row r="189" spans="1:106" x14ac:dyDescent="0.2">
      <c r="A189">
        <f>ROW(Source!A64)</f>
        <v>64</v>
      </c>
      <c r="B189">
        <v>16499835</v>
      </c>
      <c r="C189">
        <v>16500165</v>
      </c>
      <c r="D189">
        <v>15250178</v>
      </c>
      <c r="E189">
        <v>1</v>
      </c>
      <c r="F189">
        <v>1</v>
      </c>
      <c r="G189">
        <v>1</v>
      </c>
      <c r="H189">
        <v>2</v>
      </c>
      <c r="I189" t="s">
        <v>801</v>
      </c>
      <c r="J189" t="s">
        <v>802</v>
      </c>
      <c r="K189" t="s">
        <v>803</v>
      </c>
      <c r="L189">
        <v>1368</v>
      </c>
      <c r="N189">
        <v>1011</v>
      </c>
      <c r="O189" t="s">
        <v>634</v>
      </c>
      <c r="P189" t="s">
        <v>634</v>
      </c>
      <c r="Q189">
        <v>1</v>
      </c>
      <c r="W189">
        <v>0</v>
      </c>
      <c r="X189">
        <v>151647450</v>
      </c>
      <c r="Y189">
        <v>6.625</v>
      </c>
      <c r="AA189">
        <v>0</v>
      </c>
      <c r="AB189">
        <v>3.4</v>
      </c>
      <c r="AC189">
        <v>0</v>
      </c>
      <c r="AD189">
        <v>0</v>
      </c>
      <c r="AE189">
        <v>0</v>
      </c>
      <c r="AF189">
        <v>3.4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224</v>
      </c>
      <c r="AT189">
        <v>5.3</v>
      </c>
      <c r="AU189" t="s">
        <v>239</v>
      </c>
      <c r="AV189">
        <v>0</v>
      </c>
      <c r="AW189">
        <v>2</v>
      </c>
      <c r="AX189">
        <v>16500170</v>
      </c>
      <c r="AY189">
        <v>1</v>
      </c>
      <c r="AZ189">
        <v>0</v>
      </c>
      <c r="BA189">
        <v>209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Y189*Source!I64</f>
        <v>1.3514999999999999</v>
      </c>
      <c r="CY189">
        <f>AB189</f>
        <v>3.4</v>
      </c>
      <c r="CZ189">
        <f>AF189</f>
        <v>3.4</v>
      </c>
      <c r="DA189">
        <f>AJ189</f>
        <v>1</v>
      </c>
      <c r="DB189">
        <v>0</v>
      </c>
    </row>
    <row r="190" spans="1:106" x14ac:dyDescent="0.2">
      <c r="A190">
        <f>ROW(Source!A64)</f>
        <v>64</v>
      </c>
      <c r="B190">
        <v>16499835</v>
      </c>
      <c r="C190">
        <v>16500165</v>
      </c>
      <c r="D190">
        <v>15166985</v>
      </c>
      <c r="E190">
        <v>1</v>
      </c>
      <c r="F190">
        <v>1</v>
      </c>
      <c r="G190">
        <v>1</v>
      </c>
      <c r="H190">
        <v>3</v>
      </c>
      <c r="I190" t="s">
        <v>337</v>
      </c>
      <c r="J190" t="s">
        <v>339</v>
      </c>
      <c r="K190" t="s">
        <v>338</v>
      </c>
      <c r="L190">
        <v>1327</v>
      </c>
      <c r="N190">
        <v>1005</v>
      </c>
      <c r="O190" t="s">
        <v>277</v>
      </c>
      <c r="P190" t="s">
        <v>277</v>
      </c>
      <c r="Q190">
        <v>1</v>
      </c>
      <c r="W190">
        <v>0</v>
      </c>
      <c r="X190">
        <v>1424450329</v>
      </c>
      <c r="Y190">
        <v>102</v>
      </c>
      <c r="AA190">
        <v>141.85</v>
      </c>
      <c r="AB190">
        <v>0</v>
      </c>
      <c r="AC190">
        <v>0</v>
      </c>
      <c r="AD190">
        <v>0</v>
      </c>
      <c r="AE190">
        <v>141.85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224</v>
      </c>
      <c r="AT190">
        <v>102</v>
      </c>
      <c r="AU190" t="s">
        <v>224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224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Y190*Source!I64</f>
        <v>20.808</v>
      </c>
      <c r="CY190">
        <f>AA190</f>
        <v>141.85</v>
      </c>
      <c r="CZ190">
        <f>AE190</f>
        <v>141.85</v>
      </c>
      <c r="DA190">
        <f>AI190</f>
        <v>1</v>
      </c>
      <c r="DB190">
        <v>0</v>
      </c>
    </row>
    <row r="191" spans="1:106" x14ac:dyDescent="0.2">
      <c r="A191">
        <f>ROW(Source!A64)</f>
        <v>64</v>
      </c>
      <c r="B191">
        <v>16499835</v>
      </c>
      <c r="C191">
        <v>16500165</v>
      </c>
      <c r="D191">
        <v>15167684</v>
      </c>
      <c r="E191">
        <v>1</v>
      </c>
      <c r="F191">
        <v>1</v>
      </c>
      <c r="G191">
        <v>1</v>
      </c>
      <c r="H191">
        <v>3</v>
      </c>
      <c r="I191" t="s">
        <v>341</v>
      </c>
      <c r="J191" t="s">
        <v>343</v>
      </c>
      <c r="K191" t="s">
        <v>342</v>
      </c>
      <c r="L191">
        <v>1308</v>
      </c>
      <c r="N191">
        <v>1003</v>
      </c>
      <c r="O191" t="s">
        <v>256</v>
      </c>
      <c r="P191" t="s">
        <v>256</v>
      </c>
      <c r="Q191">
        <v>100</v>
      </c>
      <c r="W191">
        <v>0</v>
      </c>
      <c r="X191">
        <v>-1119837873</v>
      </c>
      <c r="Y191">
        <v>0.68</v>
      </c>
      <c r="AA191">
        <v>99.4</v>
      </c>
      <c r="AB191">
        <v>0</v>
      </c>
      <c r="AC191">
        <v>0</v>
      </c>
      <c r="AD191">
        <v>0</v>
      </c>
      <c r="AE191">
        <v>99.4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224</v>
      </c>
      <c r="AT191">
        <v>0.68</v>
      </c>
      <c r="AU191" t="s">
        <v>224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224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Y191*Source!I64</f>
        <v>0.13872000000000001</v>
      </c>
      <c r="CY191">
        <f>AA191</f>
        <v>99.4</v>
      </c>
      <c r="CZ191">
        <f>AE191</f>
        <v>99.4</v>
      </c>
      <c r="DA191">
        <f>AI191</f>
        <v>1</v>
      </c>
      <c r="DB191">
        <v>0</v>
      </c>
    </row>
    <row r="192" spans="1:106" x14ac:dyDescent="0.2">
      <c r="A192">
        <f>ROW(Source!A65)</f>
        <v>65</v>
      </c>
      <c r="B192">
        <v>16499878</v>
      </c>
      <c r="C192">
        <v>16500165</v>
      </c>
      <c r="D192">
        <v>15432356</v>
      </c>
      <c r="E192">
        <v>1</v>
      </c>
      <c r="F192">
        <v>1</v>
      </c>
      <c r="G192">
        <v>1</v>
      </c>
      <c r="H192">
        <v>1</v>
      </c>
      <c r="I192" t="s">
        <v>799</v>
      </c>
      <c r="J192" t="s">
        <v>224</v>
      </c>
      <c r="K192" t="s">
        <v>800</v>
      </c>
      <c r="L192">
        <v>1191</v>
      </c>
      <c r="N192">
        <v>1013</v>
      </c>
      <c r="O192" t="s">
        <v>628</v>
      </c>
      <c r="P192" t="s">
        <v>628</v>
      </c>
      <c r="Q192">
        <v>1</v>
      </c>
      <c r="W192">
        <v>0</v>
      </c>
      <c r="X192">
        <v>1850719656</v>
      </c>
      <c r="Y192">
        <v>36.121499999999997</v>
      </c>
      <c r="AA192">
        <v>0</v>
      </c>
      <c r="AB192">
        <v>0</v>
      </c>
      <c r="AC192">
        <v>0</v>
      </c>
      <c r="AD192">
        <v>50.52</v>
      </c>
      <c r="AE192">
        <v>0</v>
      </c>
      <c r="AF192">
        <v>0</v>
      </c>
      <c r="AG192">
        <v>0</v>
      </c>
      <c r="AH192">
        <v>8.31</v>
      </c>
      <c r="AI192">
        <v>1</v>
      </c>
      <c r="AJ192">
        <v>1</v>
      </c>
      <c r="AK192">
        <v>1</v>
      </c>
      <c r="AL192">
        <v>6.08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224</v>
      </c>
      <c r="AT192">
        <v>31.41</v>
      </c>
      <c r="AU192" t="s">
        <v>240</v>
      </c>
      <c r="AV192">
        <v>1</v>
      </c>
      <c r="AW192">
        <v>2</v>
      </c>
      <c r="AX192">
        <v>16500166</v>
      </c>
      <c r="AY192">
        <v>1</v>
      </c>
      <c r="AZ192">
        <v>0</v>
      </c>
      <c r="BA192">
        <v>212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Y192*Source!I65</f>
        <v>7.3687859999999992</v>
      </c>
      <c r="CY192">
        <f>AD192</f>
        <v>50.52</v>
      </c>
      <c r="CZ192">
        <f>AH192</f>
        <v>8.31</v>
      </c>
      <c r="DA192">
        <f>AL192</f>
        <v>6.08</v>
      </c>
      <c r="DB192">
        <v>0</v>
      </c>
    </row>
    <row r="193" spans="1:106" x14ac:dyDescent="0.2">
      <c r="A193">
        <f>ROW(Source!A65)</f>
        <v>65</v>
      </c>
      <c r="B193">
        <v>16499878</v>
      </c>
      <c r="C193">
        <v>16500165</v>
      </c>
      <c r="D193">
        <v>15430395</v>
      </c>
      <c r="E193">
        <v>1</v>
      </c>
      <c r="F193">
        <v>1</v>
      </c>
      <c r="G193">
        <v>1</v>
      </c>
      <c r="H193">
        <v>1</v>
      </c>
      <c r="I193" t="s">
        <v>629</v>
      </c>
      <c r="J193" t="s">
        <v>224</v>
      </c>
      <c r="K193" t="s">
        <v>630</v>
      </c>
      <c r="L193">
        <v>1191</v>
      </c>
      <c r="N193">
        <v>1013</v>
      </c>
      <c r="O193" t="s">
        <v>628</v>
      </c>
      <c r="P193" t="s">
        <v>628</v>
      </c>
      <c r="Q193">
        <v>1</v>
      </c>
      <c r="W193">
        <v>0</v>
      </c>
      <c r="X193">
        <v>-1417349443</v>
      </c>
      <c r="Y193">
        <v>0.82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6.08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224</v>
      </c>
      <c r="AT193">
        <v>0.82</v>
      </c>
      <c r="AU193" t="s">
        <v>224</v>
      </c>
      <c r="AV193">
        <v>2</v>
      </c>
      <c r="AW193">
        <v>2</v>
      </c>
      <c r="AX193">
        <v>16500167</v>
      </c>
      <c r="AY193">
        <v>1</v>
      </c>
      <c r="AZ193">
        <v>2048</v>
      </c>
      <c r="BA193">
        <v>213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Y193*Source!I65</f>
        <v>0.16727999999999998</v>
      </c>
      <c r="CY193">
        <f>AD193</f>
        <v>0</v>
      </c>
      <c r="CZ193">
        <f>AH193</f>
        <v>0</v>
      </c>
      <c r="DA193">
        <f>AL193</f>
        <v>1</v>
      </c>
      <c r="DB193">
        <v>0</v>
      </c>
    </row>
    <row r="194" spans="1:106" x14ac:dyDescent="0.2">
      <c r="A194">
        <f>ROW(Source!A65)</f>
        <v>65</v>
      </c>
      <c r="B194">
        <v>16499878</v>
      </c>
      <c r="C194">
        <v>16500165</v>
      </c>
      <c r="D194">
        <v>15247974</v>
      </c>
      <c r="E194">
        <v>1</v>
      </c>
      <c r="F194">
        <v>1</v>
      </c>
      <c r="G194">
        <v>1</v>
      </c>
      <c r="H194">
        <v>2</v>
      </c>
      <c r="I194" t="s">
        <v>640</v>
      </c>
      <c r="J194" t="s">
        <v>641</v>
      </c>
      <c r="K194" t="s">
        <v>642</v>
      </c>
      <c r="L194">
        <v>1368</v>
      </c>
      <c r="N194">
        <v>1011</v>
      </c>
      <c r="O194" t="s">
        <v>634</v>
      </c>
      <c r="P194" t="s">
        <v>634</v>
      </c>
      <c r="Q194">
        <v>1</v>
      </c>
      <c r="W194">
        <v>0</v>
      </c>
      <c r="X194">
        <v>1188625873</v>
      </c>
      <c r="Y194">
        <v>0.42500000000000004</v>
      </c>
      <c r="AA194">
        <v>0</v>
      </c>
      <c r="AB194">
        <v>190.06</v>
      </c>
      <c r="AC194">
        <v>13.5</v>
      </c>
      <c r="AD194">
        <v>0</v>
      </c>
      <c r="AE194">
        <v>0</v>
      </c>
      <c r="AF194">
        <v>31.26</v>
      </c>
      <c r="AG194">
        <v>13.5</v>
      </c>
      <c r="AH194">
        <v>0</v>
      </c>
      <c r="AI194">
        <v>1</v>
      </c>
      <c r="AJ194">
        <v>6.08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224</v>
      </c>
      <c r="AT194">
        <v>0.34</v>
      </c>
      <c r="AU194" t="s">
        <v>239</v>
      </c>
      <c r="AV194">
        <v>0</v>
      </c>
      <c r="AW194">
        <v>2</v>
      </c>
      <c r="AX194">
        <v>16500168</v>
      </c>
      <c r="AY194">
        <v>1</v>
      </c>
      <c r="AZ194">
        <v>0</v>
      </c>
      <c r="BA194">
        <v>214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Y194*Source!I65</f>
        <v>8.6699999999999999E-2</v>
      </c>
      <c r="CY194">
        <f>AB194</f>
        <v>190.06</v>
      </c>
      <c r="CZ194">
        <f>AF194</f>
        <v>31.26</v>
      </c>
      <c r="DA194">
        <f>AJ194</f>
        <v>6.08</v>
      </c>
      <c r="DB194">
        <v>0</v>
      </c>
    </row>
    <row r="195" spans="1:106" x14ac:dyDescent="0.2">
      <c r="A195">
        <f>ROW(Source!A65)</f>
        <v>65</v>
      </c>
      <c r="B195">
        <v>16499878</v>
      </c>
      <c r="C195">
        <v>16500165</v>
      </c>
      <c r="D195">
        <v>15249073</v>
      </c>
      <c r="E195">
        <v>1</v>
      </c>
      <c r="F195">
        <v>1</v>
      </c>
      <c r="G195">
        <v>1</v>
      </c>
      <c r="H195">
        <v>2</v>
      </c>
      <c r="I195" t="s">
        <v>631</v>
      </c>
      <c r="J195" t="s">
        <v>632</v>
      </c>
      <c r="K195" t="s">
        <v>633</v>
      </c>
      <c r="L195">
        <v>1368</v>
      </c>
      <c r="N195">
        <v>1011</v>
      </c>
      <c r="O195" t="s">
        <v>634</v>
      </c>
      <c r="P195" t="s">
        <v>634</v>
      </c>
      <c r="Q195">
        <v>1</v>
      </c>
      <c r="W195">
        <v>0</v>
      </c>
      <c r="X195">
        <v>1372534845</v>
      </c>
      <c r="Y195">
        <v>0.6</v>
      </c>
      <c r="AA195">
        <v>0</v>
      </c>
      <c r="AB195">
        <v>399.52</v>
      </c>
      <c r="AC195">
        <v>11.6</v>
      </c>
      <c r="AD195">
        <v>0</v>
      </c>
      <c r="AE195">
        <v>0</v>
      </c>
      <c r="AF195">
        <v>65.709999999999994</v>
      </c>
      <c r="AG195">
        <v>11.6</v>
      </c>
      <c r="AH195">
        <v>0</v>
      </c>
      <c r="AI195">
        <v>1</v>
      </c>
      <c r="AJ195">
        <v>6.08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224</v>
      </c>
      <c r="AT195">
        <v>0.48</v>
      </c>
      <c r="AU195" t="s">
        <v>239</v>
      </c>
      <c r="AV195">
        <v>0</v>
      </c>
      <c r="AW195">
        <v>2</v>
      </c>
      <c r="AX195">
        <v>16500169</v>
      </c>
      <c r="AY195">
        <v>1</v>
      </c>
      <c r="AZ195">
        <v>0</v>
      </c>
      <c r="BA195">
        <v>215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Y195*Source!I65</f>
        <v>0.12239999999999998</v>
      </c>
      <c r="CY195">
        <f>AB195</f>
        <v>399.52</v>
      </c>
      <c r="CZ195">
        <f>AF195</f>
        <v>65.709999999999994</v>
      </c>
      <c r="DA195">
        <f>AJ195</f>
        <v>6.08</v>
      </c>
      <c r="DB195">
        <v>0</v>
      </c>
    </row>
    <row r="196" spans="1:106" x14ac:dyDescent="0.2">
      <c r="A196">
        <f>ROW(Source!A65)</f>
        <v>65</v>
      </c>
      <c r="B196">
        <v>16499878</v>
      </c>
      <c r="C196">
        <v>16500165</v>
      </c>
      <c r="D196">
        <v>15250178</v>
      </c>
      <c r="E196">
        <v>1</v>
      </c>
      <c r="F196">
        <v>1</v>
      </c>
      <c r="G196">
        <v>1</v>
      </c>
      <c r="H196">
        <v>2</v>
      </c>
      <c r="I196" t="s">
        <v>801</v>
      </c>
      <c r="J196" t="s">
        <v>802</v>
      </c>
      <c r="K196" t="s">
        <v>803</v>
      </c>
      <c r="L196">
        <v>1368</v>
      </c>
      <c r="N196">
        <v>1011</v>
      </c>
      <c r="O196" t="s">
        <v>634</v>
      </c>
      <c r="P196" t="s">
        <v>634</v>
      </c>
      <c r="Q196">
        <v>1</v>
      </c>
      <c r="W196">
        <v>0</v>
      </c>
      <c r="X196">
        <v>151647450</v>
      </c>
      <c r="Y196">
        <v>6.625</v>
      </c>
      <c r="AA196">
        <v>0</v>
      </c>
      <c r="AB196">
        <v>20.67</v>
      </c>
      <c r="AC196">
        <v>0</v>
      </c>
      <c r="AD196">
        <v>0</v>
      </c>
      <c r="AE196">
        <v>0</v>
      </c>
      <c r="AF196">
        <v>3.4</v>
      </c>
      <c r="AG196">
        <v>0</v>
      </c>
      <c r="AH196">
        <v>0</v>
      </c>
      <c r="AI196">
        <v>1</v>
      </c>
      <c r="AJ196">
        <v>6.08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224</v>
      </c>
      <c r="AT196">
        <v>5.3</v>
      </c>
      <c r="AU196" t="s">
        <v>239</v>
      </c>
      <c r="AV196">
        <v>0</v>
      </c>
      <c r="AW196">
        <v>2</v>
      </c>
      <c r="AX196">
        <v>16500170</v>
      </c>
      <c r="AY196">
        <v>1</v>
      </c>
      <c r="AZ196">
        <v>0</v>
      </c>
      <c r="BA196">
        <v>216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Y196*Source!I65</f>
        <v>1.3514999999999999</v>
      </c>
      <c r="CY196">
        <f>AB196</f>
        <v>20.67</v>
      </c>
      <c r="CZ196">
        <f>AF196</f>
        <v>3.4</v>
      </c>
      <c r="DA196">
        <f>AJ196</f>
        <v>6.08</v>
      </c>
      <c r="DB196">
        <v>0</v>
      </c>
    </row>
    <row r="197" spans="1:106" x14ac:dyDescent="0.2">
      <c r="A197">
        <f>ROW(Source!A65)</f>
        <v>65</v>
      </c>
      <c r="B197">
        <v>16499878</v>
      </c>
      <c r="C197">
        <v>16500165</v>
      </c>
      <c r="D197">
        <v>15166985</v>
      </c>
      <c r="E197">
        <v>1</v>
      </c>
      <c r="F197">
        <v>1</v>
      </c>
      <c r="G197">
        <v>1</v>
      </c>
      <c r="H197">
        <v>3</v>
      </c>
      <c r="I197" t="s">
        <v>337</v>
      </c>
      <c r="J197" t="s">
        <v>339</v>
      </c>
      <c r="K197" t="s">
        <v>338</v>
      </c>
      <c r="L197">
        <v>1327</v>
      </c>
      <c r="N197">
        <v>1005</v>
      </c>
      <c r="O197" t="s">
        <v>277</v>
      </c>
      <c r="P197" t="s">
        <v>277</v>
      </c>
      <c r="Q197">
        <v>1</v>
      </c>
      <c r="W197">
        <v>0</v>
      </c>
      <c r="X197">
        <v>1424450329</v>
      </c>
      <c r="Y197">
        <v>102</v>
      </c>
      <c r="AA197">
        <v>862.45</v>
      </c>
      <c r="AB197">
        <v>0</v>
      </c>
      <c r="AC197">
        <v>0</v>
      </c>
      <c r="AD197">
        <v>0</v>
      </c>
      <c r="AE197">
        <v>141.85</v>
      </c>
      <c r="AF197">
        <v>0</v>
      </c>
      <c r="AG197">
        <v>0</v>
      </c>
      <c r="AH197">
        <v>0</v>
      </c>
      <c r="AI197">
        <v>6.08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224</v>
      </c>
      <c r="AT197">
        <v>102</v>
      </c>
      <c r="AU197" t="s">
        <v>224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224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Y197*Source!I65</f>
        <v>20.808</v>
      </c>
      <c r="CY197">
        <f>AA197</f>
        <v>862.45</v>
      </c>
      <c r="CZ197">
        <f>AE197</f>
        <v>141.85</v>
      </c>
      <c r="DA197">
        <f>AI197</f>
        <v>6.08</v>
      </c>
      <c r="DB197">
        <v>0</v>
      </c>
    </row>
    <row r="198" spans="1:106" x14ac:dyDescent="0.2">
      <c r="A198">
        <f>ROW(Source!A65)</f>
        <v>65</v>
      </c>
      <c r="B198">
        <v>16499878</v>
      </c>
      <c r="C198">
        <v>16500165</v>
      </c>
      <c r="D198">
        <v>15167684</v>
      </c>
      <c r="E198">
        <v>1</v>
      </c>
      <c r="F198">
        <v>1</v>
      </c>
      <c r="G198">
        <v>1</v>
      </c>
      <c r="H198">
        <v>3</v>
      </c>
      <c r="I198" t="s">
        <v>341</v>
      </c>
      <c r="J198" t="s">
        <v>343</v>
      </c>
      <c r="K198" t="s">
        <v>342</v>
      </c>
      <c r="L198">
        <v>1308</v>
      </c>
      <c r="N198">
        <v>1003</v>
      </c>
      <c r="O198" t="s">
        <v>256</v>
      </c>
      <c r="P198" t="s">
        <v>256</v>
      </c>
      <c r="Q198">
        <v>100</v>
      </c>
      <c r="W198">
        <v>0</v>
      </c>
      <c r="X198">
        <v>-1119837873</v>
      </c>
      <c r="Y198">
        <v>0.68</v>
      </c>
      <c r="AA198">
        <v>604.35</v>
      </c>
      <c r="AB198">
        <v>0</v>
      </c>
      <c r="AC198">
        <v>0</v>
      </c>
      <c r="AD198">
        <v>0</v>
      </c>
      <c r="AE198">
        <v>99.4</v>
      </c>
      <c r="AF198">
        <v>0</v>
      </c>
      <c r="AG198">
        <v>0</v>
      </c>
      <c r="AH198">
        <v>0</v>
      </c>
      <c r="AI198">
        <v>6.08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224</v>
      </c>
      <c r="AT198">
        <v>0.68</v>
      </c>
      <c r="AU198" t="s">
        <v>224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224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Y198*Source!I65</f>
        <v>0.13872000000000001</v>
      </c>
      <c r="CY198">
        <f>AA198</f>
        <v>604.35</v>
      </c>
      <c r="CZ198">
        <f>AE198</f>
        <v>99.4</v>
      </c>
      <c r="DA198">
        <f>AI198</f>
        <v>6.08</v>
      </c>
      <c r="DB198">
        <v>0</v>
      </c>
    </row>
    <row r="199" spans="1:106" x14ac:dyDescent="0.2">
      <c r="A199">
        <f>ROW(Source!A70)</f>
        <v>70</v>
      </c>
      <c r="B199">
        <v>16499835</v>
      </c>
      <c r="C199">
        <v>16500177</v>
      </c>
      <c r="D199">
        <v>15438286</v>
      </c>
      <c r="E199">
        <v>1</v>
      </c>
      <c r="F199">
        <v>1</v>
      </c>
      <c r="G199">
        <v>1</v>
      </c>
      <c r="H199">
        <v>1</v>
      </c>
      <c r="I199" t="s">
        <v>804</v>
      </c>
      <c r="J199" t="s">
        <v>224</v>
      </c>
      <c r="K199" t="s">
        <v>805</v>
      </c>
      <c r="L199">
        <v>1191</v>
      </c>
      <c r="N199">
        <v>1013</v>
      </c>
      <c r="O199" t="s">
        <v>628</v>
      </c>
      <c r="P199" t="s">
        <v>628</v>
      </c>
      <c r="Q199">
        <v>1</v>
      </c>
      <c r="W199">
        <v>0</v>
      </c>
      <c r="X199">
        <v>-1027537862</v>
      </c>
      <c r="Y199">
        <v>7.6819999999999995</v>
      </c>
      <c r="AA199">
        <v>0</v>
      </c>
      <c r="AB199">
        <v>0</v>
      </c>
      <c r="AC199">
        <v>0</v>
      </c>
      <c r="AD199">
        <v>9.18</v>
      </c>
      <c r="AE199">
        <v>0</v>
      </c>
      <c r="AF199">
        <v>0</v>
      </c>
      <c r="AG199">
        <v>0</v>
      </c>
      <c r="AH199">
        <v>9.18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224</v>
      </c>
      <c r="AT199">
        <v>6.68</v>
      </c>
      <c r="AU199" t="s">
        <v>240</v>
      </c>
      <c r="AV199">
        <v>1</v>
      </c>
      <c r="AW199">
        <v>2</v>
      </c>
      <c r="AX199">
        <v>16500178</v>
      </c>
      <c r="AY199">
        <v>1</v>
      </c>
      <c r="AZ199">
        <v>0</v>
      </c>
      <c r="BA199">
        <v>219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Y199*Source!I70</f>
        <v>1.5364</v>
      </c>
      <c r="CY199">
        <f>AD199</f>
        <v>9.18</v>
      </c>
      <c r="CZ199">
        <f>AH199</f>
        <v>9.18</v>
      </c>
      <c r="DA199">
        <f>AL199</f>
        <v>1</v>
      </c>
      <c r="DB199">
        <v>0</v>
      </c>
    </row>
    <row r="200" spans="1:106" x14ac:dyDescent="0.2">
      <c r="A200">
        <f>ROW(Source!A70)</f>
        <v>70</v>
      </c>
      <c r="B200">
        <v>16499835</v>
      </c>
      <c r="C200">
        <v>16500177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629</v>
      </c>
      <c r="J200" t="s">
        <v>224</v>
      </c>
      <c r="K200" t="s">
        <v>630</v>
      </c>
      <c r="L200">
        <v>1191</v>
      </c>
      <c r="N200">
        <v>1013</v>
      </c>
      <c r="O200" t="s">
        <v>628</v>
      </c>
      <c r="P200" t="s">
        <v>628</v>
      </c>
      <c r="Q200">
        <v>1</v>
      </c>
      <c r="W200">
        <v>0</v>
      </c>
      <c r="X200">
        <v>-1417349443</v>
      </c>
      <c r="Y200">
        <v>0.04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224</v>
      </c>
      <c r="AT200">
        <v>0.04</v>
      </c>
      <c r="AU200" t="s">
        <v>224</v>
      </c>
      <c r="AV200">
        <v>2</v>
      </c>
      <c r="AW200">
        <v>2</v>
      </c>
      <c r="AX200">
        <v>16500179</v>
      </c>
      <c r="AY200">
        <v>1</v>
      </c>
      <c r="AZ200">
        <v>2048</v>
      </c>
      <c r="BA200">
        <v>220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Y200*Source!I70</f>
        <v>8.0000000000000002E-3</v>
      </c>
      <c r="CY200">
        <f>AD200</f>
        <v>0</v>
      </c>
      <c r="CZ200">
        <f>AH200</f>
        <v>0</v>
      </c>
      <c r="DA200">
        <f>AL200</f>
        <v>1</v>
      </c>
      <c r="DB200">
        <v>0</v>
      </c>
    </row>
    <row r="201" spans="1:106" x14ac:dyDescent="0.2">
      <c r="A201">
        <f>ROW(Source!A70)</f>
        <v>70</v>
      </c>
      <c r="B201">
        <v>16499835</v>
      </c>
      <c r="C201">
        <v>16500177</v>
      </c>
      <c r="D201">
        <v>15247974</v>
      </c>
      <c r="E201">
        <v>1</v>
      </c>
      <c r="F201">
        <v>1</v>
      </c>
      <c r="G201">
        <v>1</v>
      </c>
      <c r="H201">
        <v>2</v>
      </c>
      <c r="I201" t="s">
        <v>640</v>
      </c>
      <c r="J201" t="s">
        <v>641</v>
      </c>
      <c r="K201" t="s">
        <v>642</v>
      </c>
      <c r="L201">
        <v>1368</v>
      </c>
      <c r="N201">
        <v>1011</v>
      </c>
      <c r="O201" t="s">
        <v>634</v>
      </c>
      <c r="P201" t="s">
        <v>634</v>
      </c>
      <c r="Q201">
        <v>1</v>
      </c>
      <c r="W201">
        <v>0</v>
      </c>
      <c r="X201">
        <v>1188625873</v>
      </c>
      <c r="Y201">
        <v>6.2500000000000003E-3</v>
      </c>
      <c r="AA201">
        <v>0</v>
      </c>
      <c r="AB201">
        <v>31.26</v>
      </c>
      <c r="AC201">
        <v>13.5</v>
      </c>
      <c r="AD201">
        <v>0</v>
      </c>
      <c r="AE201">
        <v>0</v>
      </c>
      <c r="AF201">
        <v>31.26</v>
      </c>
      <c r="AG201">
        <v>13.5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224</v>
      </c>
      <c r="AT201">
        <v>5.0000000000000001E-3</v>
      </c>
      <c r="AU201" t="s">
        <v>239</v>
      </c>
      <c r="AV201">
        <v>0</v>
      </c>
      <c r="AW201">
        <v>2</v>
      </c>
      <c r="AX201">
        <v>16500180</v>
      </c>
      <c r="AY201">
        <v>1</v>
      </c>
      <c r="AZ201">
        <v>0</v>
      </c>
      <c r="BA201">
        <v>221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Y201*Source!I70</f>
        <v>1.2500000000000002E-3</v>
      </c>
      <c r="CY201">
        <f>AB201</f>
        <v>31.26</v>
      </c>
      <c r="CZ201">
        <f>AF201</f>
        <v>31.26</v>
      </c>
      <c r="DA201">
        <f>AJ201</f>
        <v>1</v>
      </c>
      <c r="DB201">
        <v>0</v>
      </c>
    </row>
    <row r="202" spans="1:106" x14ac:dyDescent="0.2">
      <c r="A202">
        <f>ROW(Source!A70)</f>
        <v>70</v>
      </c>
      <c r="B202">
        <v>16499835</v>
      </c>
      <c r="C202">
        <v>16500177</v>
      </c>
      <c r="D202">
        <v>15249073</v>
      </c>
      <c r="E202">
        <v>1</v>
      </c>
      <c r="F202">
        <v>1</v>
      </c>
      <c r="G202">
        <v>1</v>
      </c>
      <c r="H202">
        <v>2</v>
      </c>
      <c r="I202" t="s">
        <v>631</v>
      </c>
      <c r="J202" t="s">
        <v>632</v>
      </c>
      <c r="K202" t="s">
        <v>633</v>
      </c>
      <c r="L202">
        <v>1368</v>
      </c>
      <c r="N202">
        <v>1011</v>
      </c>
      <c r="O202" t="s">
        <v>634</v>
      </c>
      <c r="P202" t="s">
        <v>634</v>
      </c>
      <c r="Q202">
        <v>1</v>
      </c>
      <c r="W202">
        <v>0</v>
      </c>
      <c r="X202">
        <v>1372534845</v>
      </c>
      <c r="Y202">
        <v>3.7499999999999999E-2</v>
      </c>
      <c r="AA202">
        <v>0</v>
      </c>
      <c r="AB202">
        <v>65.709999999999994</v>
      </c>
      <c r="AC202">
        <v>11.6</v>
      </c>
      <c r="AD202">
        <v>0</v>
      </c>
      <c r="AE202">
        <v>0</v>
      </c>
      <c r="AF202">
        <v>65.709999999999994</v>
      </c>
      <c r="AG202">
        <v>11.6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224</v>
      </c>
      <c r="AT202">
        <v>0.03</v>
      </c>
      <c r="AU202" t="s">
        <v>239</v>
      </c>
      <c r="AV202">
        <v>0</v>
      </c>
      <c r="AW202">
        <v>2</v>
      </c>
      <c r="AX202">
        <v>16500181</v>
      </c>
      <c r="AY202">
        <v>1</v>
      </c>
      <c r="AZ202">
        <v>0</v>
      </c>
      <c r="BA202">
        <v>222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Y202*Source!I70</f>
        <v>7.4999999999999997E-3</v>
      </c>
      <c r="CY202">
        <f>AB202</f>
        <v>65.709999999999994</v>
      </c>
      <c r="CZ202">
        <f>AF202</f>
        <v>65.709999999999994</v>
      </c>
      <c r="DA202">
        <f>AJ202</f>
        <v>1</v>
      </c>
      <c r="DB202">
        <v>0</v>
      </c>
    </row>
    <row r="203" spans="1:106" x14ac:dyDescent="0.2">
      <c r="A203">
        <f>ROW(Source!A70)</f>
        <v>70</v>
      </c>
      <c r="B203">
        <v>16499835</v>
      </c>
      <c r="C203">
        <v>16500177</v>
      </c>
      <c r="D203">
        <v>15169972</v>
      </c>
      <c r="E203">
        <v>1</v>
      </c>
      <c r="F203">
        <v>1</v>
      </c>
      <c r="G203">
        <v>1</v>
      </c>
      <c r="H203">
        <v>3</v>
      </c>
      <c r="I203" t="s">
        <v>806</v>
      </c>
      <c r="J203" t="s">
        <v>807</v>
      </c>
      <c r="K203" t="s">
        <v>808</v>
      </c>
      <c r="L203">
        <v>1355</v>
      </c>
      <c r="N203">
        <v>1010</v>
      </c>
      <c r="O203" t="s">
        <v>356</v>
      </c>
      <c r="P203" t="s">
        <v>356</v>
      </c>
      <c r="Q203">
        <v>100</v>
      </c>
      <c r="W203">
        <v>0</v>
      </c>
      <c r="X203">
        <v>-725528132</v>
      </c>
      <c r="Y203">
        <v>2.63</v>
      </c>
      <c r="AA203">
        <v>12</v>
      </c>
      <c r="AB203">
        <v>0</v>
      </c>
      <c r="AC203">
        <v>0</v>
      </c>
      <c r="AD203">
        <v>0</v>
      </c>
      <c r="AE203">
        <v>12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224</v>
      </c>
      <c r="AT203">
        <v>2.63</v>
      </c>
      <c r="AU203" t="s">
        <v>224</v>
      </c>
      <c r="AV203">
        <v>0</v>
      </c>
      <c r="AW203">
        <v>2</v>
      </c>
      <c r="AX203">
        <v>16500182</v>
      </c>
      <c r="AY203">
        <v>1</v>
      </c>
      <c r="AZ203">
        <v>0</v>
      </c>
      <c r="BA203">
        <v>223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Y203*Source!I70</f>
        <v>0.52600000000000002</v>
      </c>
      <c r="CY203">
        <f t="shared" ref="CY203:CY210" si="24">AA203</f>
        <v>12</v>
      </c>
      <c r="CZ203">
        <f t="shared" ref="CZ203:CZ210" si="25">AE203</f>
        <v>12</v>
      </c>
      <c r="DA203">
        <f t="shared" ref="DA203:DA210" si="26">AI203</f>
        <v>1</v>
      </c>
      <c r="DB203">
        <v>0</v>
      </c>
    </row>
    <row r="204" spans="1:106" x14ac:dyDescent="0.2">
      <c r="A204">
        <f>ROW(Source!A70)</f>
        <v>70</v>
      </c>
      <c r="B204">
        <v>16499835</v>
      </c>
      <c r="C204">
        <v>16500177</v>
      </c>
      <c r="D204">
        <v>15170075</v>
      </c>
      <c r="E204">
        <v>1</v>
      </c>
      <c r="F204">
        <v>1</v>
      </c>
      <c r="G204">
        <v>1</v>
      </c>
      <c r="H204">
        <v>3</v>
      </c>
      <c r="I204" t="s">
        <v>809</v>
      </c>
      <c r="J204" t="s">
        <v>810</v>
      </c>
      <c r="K204" t="s">
        <v>811</v>
      </c>
      <c r="L204">
        <v>1356</v>
      </c>
      <c r="N204">
        <v>1010</v>
      </c>
      <c r="O204" t="s">
        <v>812</v>
      </c>
      <c r="P204" t="s">
        <v>812</v>
      </c>
      <c r="Q204">
        <v>1000</v>
      </c>
      <c r="W204">
        <v>0</v>
      </c>
      <c r="X204">
        <v>1130533903</v>
      </c>
      <c r="Y204">
        <v>0.26300000000000001</v>
      </c>
      <c r="AA204">
        <v>160</v>
      </c>
      <c r="AB204">
        <v>0</v>
      </c>
      <c r="AC204">
        <v>0</v>
      </c>
      <c r="AD204">
        <v>0</v>
      </c>
      <c r="AE204">
        <v>160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224</v>
      </c>
      <c r="AT204">
        <v>0.26300000000000001</v>
      </c>
      <c r="AU204" t="s">
        <v>224</v>
      </c>
      <c r="AV204">
        <v>0</v>
      </c>
      <c r="AW204">
        <v>2</v>
      </c>
      <c r="AX204">
        <v>16500183</v>
      </c>
      <c r="AY204">
        <v>1</v>
      </c>
      <c r="AZ204">
        <v>0</v>
      </c>
      <c r="BA204">
        <v>224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Y204*Source!I70</f>
        <v>5.2600000000000008E-2</v>
      </c>
      <c r="CY204">
        <f t="shared" si="24"/>
        <v>160</v>
      </c>
      <c r="CZ204">
        <f t="shared" si="25"/>
        <v>160</v>
      </c>
      <c r="DA204">
        <f t="shared" si="26"/>
        <v>1</v>
      </c>
      <c r="DB204">
        <v>0</v>
      </c>
    </row>
    <row r="205" spans="1:106" x14ac:dyDescent="0.2">
      <c r="A205">
        <f>ROW(Source!A70)</f>
        <v>70</v>
      </c>
      <c r="B205">
        <v>16499835</v>
      </c>
      <c r="C205">
        <v>16500177</v>
      </c>
      <c r="D205">
        <v>15197683</v>
      </c>
      <c r="E205">
        <v>1</v>
      </c>
      <c r="F205">
        <v>1</v>
      </c>
      <c r="G205">
        <v>1</v>
      </c>
      <c r="H205">
        <v>3</v>
      </c>
      <c r="I205" t="s">
        <v>349</v>
      </c>
      <c r="J205" t="s">
        <v>352</v>
      </c>
      <c r="K205" t="s">
        <v>350</v>
      </c>
      <c r="L205">
        <v>1301</v>
      </c>
      <c r="N205">
        <v>1003</v>
      </c>
      <c r="O205" t="s">
        <v>351</v>
      </c>
      <c r="P205" t="s">
        <v>351</v>
      </c>
      <c r="Q205">
        <v>1</v>
      </c>
      <c r="W205">
        <v>0</v>
      </c>
      <c r="X205">
        <v>1244447769</v>
      </c>
      <c r="Y205">
        <v>101</v>
      </c>
      <c r="AA205">
        <v>20.5</v>
      </c>
      <c r="AB205">
        <v>0</v>
      </c>
      <c r="AC205">
        <v>0</v>
      </c>
      <c r="AD205">
        <v>0</v>
      </c>
      <c r="AE205">
        <v>20.5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224</v>
      </c>
      <c r="AT205">
        <v>101</v>
      </c>
      <c r="AU205" t="s">
        <v>224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224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Y205*Source!I70</f>
        <v>20.200000000000003</v>
      </c>
      <c r="CY205">
        <f t="shared" si="24"/>
        <v>20.5</v>
      </c>
      <c r="CZ205">
        <f t="shared" si="25"/>
        <v>20.5</v>
      </c>
      <c r="DA205">
        <f t="shared" si="26"/>
        <v>1</v>
      </c>
      <c r="DB205">
        <v>0</v>
      </c>
    </row>
    <row r="206" spans="1:106" x14ac:dyDescent="0.2">
      <c r="A206">
        <f>ROW(Source!A70)</f>
        <v>70</v>
      </c>
      <c r="B206">
        <v>16499835</v>
      </c>
      <c r="C206">
        <v>16500177</v>
      </c>
      <c r="D206">
        <v>15197769</v>
      </c>
      <c r="E206">
        <v>1</v>
      </c>
      <c r="F206">
        <v>1</v>
      </c>
      <c r="G206">
        <v>1</v>
      </c>
      <c r="H206">
        <v>3</v>
      </c>
      <c r="I206" t="s">
        <v>354</v>
      </c>
      <c r="J206" t="s">
        <v>357</v>
      </c>
      <c r="K206" t="s">
        <v>355</v>
      </c>
      <c r="L206">
        <v>1355</v>
      </c>
      <c r="N206">
        <v>1010</v>
      </c>
      <c r="O206" t="s">
        <v>356</v>
      </c>
      <c r="P206" t="s">
        <v>356</v>
      </c>
      <c r="Q206">
        <v>100</v>
      </c>
      <c r="W206">
        <v>0</v>
      </c>
      <c r="X206">
        <v>766681708</v>
      </c>
      <c r="Y206">
        <v>0.1</v>
      </c>
      <c r="AA206">
        <v>101</v>
      </c>
      <c r="AB206">
        <v>0</v>
      </c>
      <c r="AC206">
        <v>0</v>
      </c>
      <c r="AD206">
        <v>0</v>
      </c>
      <c r="AE206">
        <v>101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224</v>
      </c>
      <c r="AT206">
        <v>0.1</v>
      </c>
      <c r="AU206" t="s">
        <v>224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224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Y206*Source!I70</f>
        <v>2.0000000000000004E-2</v>
      </c>
      <c r="CY206">
        <f t="shared" si="24"/>
        <v>101</v>
      </c>
      <c r="CZ206">
        <f t="shared" si="25"/>
        <v>101</v>
      </c>
      <c r="DA206">
        <f t="shared" si="26"/>
        <v>1</v>
      </c>
      <c r="DB206">
        <v>0</v>
      </c>
    </row>
    <row r="207" spans="1:106" x14ac:dyDescent="0.2">
      <c r="A207">
        <f>ROW(Source!A70)</f>
        <v>70</v>
      </c>
      <c r="B207">
        <v>16499835</v>
      </c>
      <c r="C207">
        <v>16500177</v>
      </c>
      <c r="D207">
        <v>15197771</v>
      </c>
      <c r="E207">
        <v>1</v>
      </c>
      <c r="F207">
        <v>1</v>
      </c>
      <c r="G207">
        <v>1</v>
      </c>
      <c r="H207">
        <v>3</v>
      </c>
      <c r="I207" t="s">
        <v>359</v>
      </c>
      <c r="J207" t="s">
        <v>361</v>
      </c>
      <c r="K207" t="s">
        <v>360</v>
      </c>
      <c r="L207">
        <v>1355</v>
      </c>
      <c r="N207">
        <v>1010</v>
      </c>
      <c r="O207" t="s">
        <v>356</v>
      </c>
      <c r="P207" t="s">
        <v>356</v>
      </c>
      <c r="Q207">
        <v>100</v>
      </c>
      <c r="W207">
        <v>0</v>
      </c>
      <c r="X207">
        <v>191136453</v>
      </c>
      <c r="Y207">
        <v>0.1</v>
      </c>
      <c r="AA207">
        <v>101</v>
      </c>
      <c r="AB207">
        <v>0</v>
      </c>
      <c r="AC207">
        <v>0</v>
      </c>
      <c r="AD207">
        <v>0</v>
      </c>
      <c r="AE207">
        <v>101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224</v>
      </c>
      <c r="AT207">
        <v>0.1</v>
      </c>
      <c r="AU207" t="s">
        <v>224</v>
      </c>
      <c r="AV207">
        <v>0</v>
      </c>
      <c r="AW207">
        <v>1</v>
      </c>
      <c r="AX207">
        <v>-1</v>
      </c>
      <c r="AY207">
        <v>0</v>
      </c>
      <c r="AZ207">
        <v>0</v>
      </c>
      <c r="BA207" t="s">
        <v>224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Y207*Source!I70</f>
        <v>2.0000000000000004E-2</v>
      </c>
      <c r="CY207">
        <f t="shared" si="24"/>
        <v>101</v>
      </c>
      <c r="CZ207">
        <f t="shared" si="25"/>
        <v>101</v>
      </c>
      <c r="DA207">
        <f t="shared" si="26"/>
        <v>1</v>
      </c>
      <c r="DB207">
        <v>0</v>
      </c>
    </row>
    <row r="208" spans="1:106" x14ac:dyDescent="0.2">
      <c r="A208">
        <f>ROW(Source!A70)</f>
        <v>70</v>
      </c>
      <c r="B208">
        <v>16499835</v>
      </c>
      <c r="C208">
        <v>16500177</v>
      </c>
      <c r="D208">
        <v>15197773</v>
      </c>
      <c r="E208">
        <v>1</v>
      </c>
      <c r="F208">
        <v>1</v>
      </c>
      <c r="G208">
        <v>1</v>
      </c>
      <c r="H208">
        <v>3</v>
      </c>
      <c r="I208" t="s">
        <v>363</v>
      </c>
      <c r="J208" t="s">
        <v>365</v>
      </c>
      <c r="K208" t="s">
        <v>364</v>
      </c>
      <c r="L208">
        <v>1355</v>
      </c>
      <c r="N208">
        <v>1010</v>
      </c>
      <c r="O208" t="s">
        <v>356</v>
      </c>
      <c r="P208" t="s">
        <v>356</v>
      </c>
      <c r="Q208">
        <v>100</v>
      </c>
      <c r="W208">
        <v>0</v>
      </c>
      <c r="X208">
        <v>1073883569</v>
      </c>
      <c r="Y208">
        <v>0.4</v>
      </c>
      <c r="AA208">
        <v>128</v>
      </c>
      <c r="AB208">
        <v>0</v>
      </c>
      <c r="AC208">
        <v>0</v>
      </c>
      <c r="AD208">
        <v>0</v>
      </c>
      <c r="AE208">
        <v>128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224</v>
      </c>
      <c r="AT208">
        <v>0.4</v>
      </c>
      <c r="AU208" t="s">
        <v>224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224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Y208*Source!I70</f>
        <v>8.0000000000000016E-2</v>
      </c>
      <c r="CY208">
        <f t="shared" si="24"/>
        <v>128</v>
      </c>
      <c r="CZ208">
        <f t="shared" si="25"/>
        <v>128</v>
      </c>
      <c r="DA208">
        <f t="shared" si="26"/>
        <v>1</v>
      </c>
      <c r="DB208">
        <v>0</v>
      </c>
    </row>
    <row r="209" spans="1:106" x14ac:dyDescent="0.2">
      <c r="A209">
        <f>ROW(Source!A70)</f>
        <v>70</v>
      </c>
      <c r="B209">
        <v>16499835</v>
      </c>
      <c r="C209">
        <v>16500177</v>
      </c>
      <c r="D209">
        <v>15197775</v>
      </c>
      <c r="E209">
        <v>1</v>
      </c>
      <c r="F209">
        <v>1</v>
      </c>
      <c r="G209">
        <v>1</v>
      </c>
      <c r="H209">
        <v>3</v>
      </c>
      <c r="I209" t="s">
        <v>367</v>
      </c>
      <c r="J209" t="s">
        <v>369</v>
      </c>
      <c r="K209" t="s">
        <v>368</v>
      </c>
      <c r="L209">
        <v>1355</v>
      </c>
      <c r="N209">
        <v>1010</v>
      </c>
      <c r="O209" t="s">
        <v>356</v>
      </c>
      <c r="P209" t="s">
        <v>356</v>
      </c>
      <c r="Q209">
        <v>100</v>
      </c>
      <c r="W209">
        <v>0</v>
      </c>
      <c r="X209">
        <v>1800897042</v>
      </c>
      <c r="Y209">
        <v>0.05</v>
      </c>
      <c r="AA209">
        <v>128</v>
      </c>
      <c r="AB209">
        <v>0</v>
      </c>
      <c r="AC209">
        <v>0</v>
      </c>
      <c r="AD209">
        <v>0</v>
      </c>
      <c r="AE209">
        <v>128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224</v>
      </c>
      <c r="AT209">
        <v>0.05</v>
      </c>
      <c r="AU209" t="s">
        <v>224</v>
      </c>
      <c r="AV209">
        <v>0</v>
      </c>
      <c r="AW209">
        <v>1</v>
      </c>
      <c r="AX209">
        <v>-1</v>
      </c>
      <c r="AY209">
        <v>0</v>
      </c>
      <c r="AZ209">
        <v>0</v>
      </c>
      <c r="BA209" t="s">
        <v>224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Y209*Source!I70</f>
        <v>1.0000000000000002E-2</v>
      </c>
      <c r="CY209">
        <f t="shared" si="24"/>
        <v>128</v>
      </c>
      <c r="CZ209">
        <f t="shared" si="25"/>
        <v>128</v>
      </c>
      <c r="DA209">
        <f t="shared" si="26"/>
        <v>1</v>
      </c>
      <c r="DB209">
        <v>0</v>
      </c>
    </row>
    <row r="210" spans="1:106" x14ac:dyDescent="0.2">
      <c r="A210">
        <f>ROW(Source!A70)</f>
        <v>70</v>
      </c>
      <c r="B210">
        <v>16499835</v>
      </c>
      <c r="C210">
        <v>16500177</v>
      </c>
      <c r="D210">
        <v>15197777</v>
      </c>
      <c r="E210">
        <v>1</v>
      </c>
      <c r="F210">
        <v>1</v>
      </c>
      <c r="G210">
        <v>1</v>
      </c>
      <c r="H210">
        <v>3</v>
      </c>
      <c r="I210" t="s">
        <v>371</v>
      </c>
      <c r="J210" t="s">
        <v>373</v>
      </c>
      <c r="K210" t="s">
        <v>372</v>
      </c>
      <c r="L210">
        <v>1355</v>
      </c>
      <c r="N210">
        <v>1010</v>
      </c>
      <c r="O210" t="s">
        <v>356</v>
      </c>
      <c r="P210" t="s">
        <v>356</v>
      </c>
      <c r="Q210">
        <v>100</v>
      </c>
      <c r="W210">
        <v>0</v>
      </c>
      <c r="X210">
        <v>952646044</v>
      </c>
      <c r="Y210">
        <v>0.05</v>
      </c>
      <c r="AA210">
        <v>128</v>
      </c>
      <c r="AB210">
        <v>0</v>
      </c>
      <c r="AC210">
        <v>0</v>
      </c>
      <c r="AD210">
        <v>0</v>
      </c>
      <c r="AE210">
        <v>128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224</v>
      </c>
      <c r="AT210">
        <v>0.05</v>
      </c>
      <c r="AU210" t="s">
        <v>224</v>
      </c>
      <c r="AV210">
        <v>0</v>
      </c>
      <c r="AW210">
        <v>1</v>
      </c>
      <c r="AX210">
        <v>-1</v>
      </c>
      <c r="AY210">
        <v>0</v>
      </c>
      <c r="AZ210">
        <v>0</v>
      </c>
      <c r="BA210" t="s">
        <v>224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Y210*Source!I70</f>
        <v>1.0000000000000002E-2</v>
      </c>
      <c r="CY210">
        <f t="shared" si="24"/>
        <v>128</v>
      </c>
      <c r="CZ210">
        <f t="shared" si="25"/>
        <v>128</v>
      </c>
      <c r="DA210">
        <f t="shared" si="26"/>
        <v>1</v>
      </c>
      <c r="DB210">
        <v>0</v>
      </c>
    </row>
    <row r="211" spans="1:106" x14ac:dyDescent="0.2">
      <c r="A211">
        <f>ROW(Source!A71)</f>
        <v>71</v>
      </c>
      <c r="B211">
        <v>16499878</v>
      </c>
      <c r="C211">
        <v>16500177</v>
      </c>
      <c r="D211">
        <v>15438286</v>
      </c>
      <c r="E211">
        <v>1</v>
      </c>
      <c r="F211">
        <v>1</v>
      </c>
      <c r="G211">
        <v>1</v>
      </c>
      <c r="H211">
        <v>1</v>
      </c>
      <c r="I211" t="s">
        <v>804</v>
      </c>
      <c r="J211" t="s">
        <v>224</v>
      </c>
      <c r="K211" t="s">
        <v>805</v>
      </c>
      <c r="L211">
        <v>1191</v>
      </c>
      <c r="N211">
        <v>1013</v>
      </c>
      <c r="O211" t="s">
        <v>628</v>
      </c>
      <c r="P211" t="s">
        <v>628</v>
      </c>
      <c r="Q211">
        <v>1</v>
      </c>
      <c r="W211">
        <v>0</v>
      </c>
      <c r="X211">
        <v>-1027537862</v>
      </c>
      <c r="Y211">
        <v>7.6819999999999995</v>
      </c>
      <c r="AA211">
        <v>0</v>
      </c>
      <c r="AB211">
        <v>0</v>
      </c>
      <c r="AC211">
        <v>0</v>
      </c>
      <c r="AD211">
        <v>55.81</v>
      </c>
      <c r="AE211">
        <v>0</v>
      </c>
      <c r="AF211">
        <v>0</v>
      </c>
      <c r="AG211">
        <v>0</v>
      </c>
      <c r="AH211">
        <v>9.18</v>
      </c>
      <c r="AI211">
        <v>1</v>
      </c>
      <c r="AJ211">
        <v>1</v>
      </c>
      <c r="AK211">
        <v>1</v>
      </c>
      <c r="AL211">
        <v>6.08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224</v>
      </c>
      <c r="AT211">
        <v>6.68</v>
      </c>
      <c r="AU211" t="s">
        <v>240</v>
      </c>
      <c r="AV211">
        <v>1</v>
      </c>
      <c r="AW211">
        <v>2</v>
      </c>
      <c r="AX211">
        <v>16500178</v>
      </c>
      <c r="AY211">
        <v>1</v>
      </c>
      <c r="AZ211">
        <v>0</v>
      </c>
      <c r="BA211">
        <v>231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Y211*Source!I71</f>
        <v>1.5364</v>
      </c>
      <c r="CY211">
        <f>AD211</f>
        <v>55.81</v>
      </c>
      <c r="CZ211">
        <f>AH211</f>
        <v>9.18</v>
      </c>
      <c r="DA211">
        <f>AL211</f>
        <v>6.08</v>
      </c>
      <c r="DB211">
        <v>0</v>
      </c>
    </row>
    <row r="212" spans="1:106" x14ac:dyDescent="0.2">
      <c r="A212">
        <f>ROW(Source!A71)</f>
        <v>71</v>
      </c>
      <c r="B212">
        <v>16499878</v>
      </c>
      <c r="C212">
        <v>16500177</v>
      </c>
      <c r="D212">
        <v>15430395</v>
      </c>
      <c r="E212">
        <v>1</v>
      </c>
      <c r="F212">
        <v>1</v>
      </c>
      <c r="G212">
        <v>1</v>
      </c>
      <c r="H212">
        <v>1</v>
      </c>
      <c r="I212" t="s">
        <v>629</v>
      </c>
      <c r="J212" t="s">
        <v>224</v>
      </c>
      <c r="K212" t="s">
        <v>630</v>
      </c>
      <c r="L212">
        <v>1191</v>
      </c>
      <c r="N212">
        <v>1013</v>
      </c>
      <c r="O212" t="s">
        <v>628</v>
      </c>
      <c r="P212" t="s">
        <v>628</v>
      </c>
      <c r="Q212">
        <v>1</v>
      </c>
      <c r="W212">
        <v>0</v>
      </c>
      <c r="X212">
        <v>-1417349443</v>
      </c>
      <c r="Y212">
        <v>0.04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6.08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224</v>
      </c>
      <c r="AT212">
        <v>0.04</v>
      </c>
      <c r="AU212" t="s">
        <v>224</v>
      </c>
      <c r="AV212">
        <v>2</v>
      </c>
      <c r="AW212">
        <v>2</v>
      </c>
      <c r="AX212">
        <v>16500179</v>
      </c>
      <c r="AY212">
        <v>1</v>
      </c>
      <c r="AZ212">
        <v>2048</v>
      </c>
      <c r="BA212">
        <v>232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Y212*Source!I71</f>
        <v>8.0000000000000002E-3</v>
      </c>
      <c r="CY212">
        <f>AD212</f>
        <v>0</v>
      </c>
      <c r="CZ212">
        <f>AH212</f>
        <v>0</v>
      </c>
      <c r="DA212">
        <f>AL212</f>
        <v>1</v>
      </c>
      <c r="DB212">
        <v>0</v>
      </c>
    </row>
    <row r="213" spans="1:106" x14ac:dyDescent="0.2">
      <c r="A213">
        <f>ROW(Source!A71)</f>
        <v>71</v>
      </c>
      <c r="B213">
        <v>16499878</v>
      </c>
      <c r="C213">
        <v>16500177</v>
      </c>
      <c r="D213">
        <v>15247974</v>
      </c>
      <c r="E213">
        <v>1</v>
      </c>
      <c r="F213">
        <v>1</v>
      </c>
      <c r="G213">
        <v>1</v>
      </c>
      <c r="H213">
        <v>2</v>
      </c>
      <c r="I213" t="s">
        <v>640</v>
      </c>
      <c r="J213" t="s">
        <v>641</v>
      </c>
      <c r="K213" t="s">
        <v>642</v>
      </c>
      <c r="L213">
        <v>1368</v>
      </c>
      <c r="N213">
        <v>1011</v>
      </c>
      <c r="O213" t="s">
        <v>634</v>
      </c>
      <c r="P213" t="s">
        <v>634</v>
      </c>
      <c r="Q213">
        <v>1</v>
      </c>
      <c r="W213">
        <v>0</v>
      </c>
      <c r="X213">
        <v>1188625873</v>
      </c>
      <c r="Y213">
        <v>6.2500000000000003E-3</v>
      </c>
      <c r="AA213">
        <v>0</v>
      </c>
      <c r="AB213">
        <v>190.06</v>
      </c>
      <c r="AC213">
        <v>13.5</v>
      </c>
      <c r="AD213">
        <v>0</v>
      </c>
      <c r="AE213">
        <v>0</v>
      </c>
      <c r="AF213">
        <v>31.26</v>
      </c>
      <c r="AG213">
        <v>13.5</v>
      </c>
      <c r="AH213">
        <v>0</v>
      </c>
      <c r="AI213">
        <v>1</v>
      </c>
      <c r="AJ213">
        <v>6.08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224</v>
      </c>
      <c r="AT213">
        <v>5.0000000000000001E-3</v>
      </c>
      <c r="AU213" t="s">
        <v>239</v>
      </c>
      <c r="AV213">
        <v>0</v>
      </c>
      <c r="AW213">
        <v>2</v>
      </c>
      <c r="AX213">
        <v>16500180</v>
      </c>
      <c r="AY213">
        <v>1</v>
      </c>
      <c r="AZ213">
        <v>0</v>
      </c>
      <c r="BA213">
        <v>233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Y213*Source!I71</f>
        <v>1.2500000000000002E-3</v>
      </c>
      <c r="CY213">
        <f>AB213</f>
        <v>190.06</v>
      </c>
      <c r="CZ213">
        <f>AF213</f>
        <v>31.26</v>
      </c>
      <c r="DA213">
        <f>AJ213</f>
        <v>6.08</v>
      </c>
      <c r="DB213">
        <v>0</v>
      </c>
    </row>
    <row r="214" spans="1:106" x14ac:dyDescent="0.2">
      <c r="A214">
        <f>ROW(Source!A71)</f>
        <v>71</v>
      </c>
      <c r="B214">
        <v>16499878</v>
      </c>
      <c r="C214">
        <v>16500177</v>
      </c>
      <c r="D214">
        <v>15249073</v>
      </c>
      <c r="E214">
        <v>1</v>
      </c>
      <c r="F214">
        <v>1</v>
      </c>
      <c r="G214">
        <v>1</v>
      </c>
      <c r="H214">
        <v>2</v>
      </c>
      <c r="I214" t="s">
        <v>631</v>
      </c>
      <c r="J214" t="s">
        <v>632</v>
      </c>
      <c r="K214" t="s">
        <v>633</v>
      </c>
      <c r="L214">
        <v>1368</v>
      </c>
      <c r="N214">
        <v>1011</v>
      </c>
      <c r="O214" t="s">
        <v>634</v>
      </c>
      <c r="P214" t="s">
        <v>634</v>
      </c>
      <c r="Q214">
        <v>1</v>
      </c>
      <c r="W214">
        <v>0</v>
      </c>
      <c r="X214">
        <v>1372534845</v>
      </c>
      <c r="Y214">
        <v>3.7499999999999999E-2</v>
      </c>
      <c r="AA214">
        <v>0</v>
      </c>
      <c r="AB214">
        <v>399.52</v>
      </c>
      <c r="AC214">
        <v>11.6</v>
      </c>
      <c r="AD214">
        <v>0</v>
      </c>
      <c r="AE214">
        <v>0</v>
      </c>
      <c r="AF214">
        <v>65.709999999999994</v>
      </c>
      <c r="AG214">
        <v>11.6</v>
      </c>
      <c r="AH214">
        <v>0</v>
      </c>
      <c r="AI214">
        <v>1</v>
      </c>
      <c r="AJ214">
        <v>6.08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224</v>
      </c>
      <c r="AT214">
        <v>0.03</v>
      </c>
      <c r="AU214" t="s">
        <v>239</v>
      </c>
      <c r="AV214">
        <v>0</v>
      </c>
      <c r="AW214">
        <v>2</v>
      </c>
      <c r="AX214">
        <v>16500181</v>
      </c>
      <c r="AY214">
        <v>1</v>
      </c>
      <c r="AZ214">
        <v>0</v>
      </c>
      <c r="BA214">
        <v>234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Y214*Source!I71</f>
        <v>7.4999999999999997E-3</v>
      </c>
      <c r="CY214">
        <f>AB214</f>
        <v>399.52</v>
      </c>
      <c r="CZ214">
        <f>AF214</f>
        <v>65.709999999999994</v>
      </c>
      <c r="DA214">
        <f>AJ214</f>
        <v>6.08</v>
      </c>
      <c r="DB214">
        <v>0</v>
      </c>
    </row>
    <row r="215" spans="1:106" x14ac:dyDescent="0.2">
      <c r="A215">
        <f>ROW(Source!A71)</f>
        <v>71</v>
      </c>
      <c r="B215">
        <v>16499878</v>
      </c>
      <c r="C215">
        <v>16500177</v>
      </c>
      <c r="D215">
        <v>15169972</v>
      </c>
      <c r="E215">
        <v>1</v>
      </c>
      <c r="F215">
        <v>1</v>
      </c>
      <c r="G215">
        <v>1</v>
      </c>
      <c r="H215">
        <v>3</v>
      </c>
      <c r="I215" t="s">
        <v>806</v>
      </c>
      <c r="J215" t="s">
        <v>807</v>
      </c>
      <c r="K215" t="s">
        <v>808</v>
      </c>
      <c r="L215">
        <v>1355</v>
      </c>
      <c r="N215">
        <v>1010</v>
      </c>
      <c r="O215" t="s">
        <v>356</v>
      </c>
      <c r="P215" t="s">
        <v>356</v>
      </c>
      <c r="Q215">
        <v>100</v>
      </c>
      <c r="W215">
        <v>0</v>
      </c>
      <c r="X215">
        <v>-725528132</v>
      </c>
      <c r="Y215">
        <v>2.63</v>
      </c>
      <c r="AA215">
        <v>72.959999999999994</v>
      </c>
      <c r="AB215">
        <v>0</v>
      </c>
      <c r="AC215">
        <v>0</v>
      </c>
      <c r="AD215">
        <v>0</v>
      </c>
      <c r="AE215">
        <v>12</v>
      </c>
      <c r="AF215">
        <v>0</v>
      </c>
      <c r="AG215">
        <v>0</v>
      </c>
      <c r="AH215">
        <v>0</v>
      </c>
      <c r="AI215">
        <v>6.08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224</v>
      </c>
      <c r="AT215">
        <v>2.63</v>
      </c>
      <c r="AU215" t="s">
        <v>224</v>
      </c>
      <c r="AV215">
        <v>0</v>
      </c>
      <c r="AW215">
        <v>2</v>
      </c>
      <c r="AX215">
        <v>16500182</v>
      </c>
      <c r="AY215">
        <v>1</v>
      </c>
      <c r="AZ215">
        <v>0</v>
      </c>
      <c r="BA215">
        <v>235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Y215*Source!I71</f>
        <v>0.52600000000000002</v>
      </c>
      <c r="CY215">
        <f t="shared" ref="CY215:CY222" si="27">AA215</f>
        <v>72.959999999999994</v>
      </c>
      <c r="CZ215">
        <f t="shared" ref="CZ215:CZ222" si="28">AE215</f>
        <v>12</v>
      </c>
      <c r="DA215">
        <f t="shared" ref="DA215:DA222" si="29">AI215</f>
        <v>6.08</v>
      </c>
      <c r="DB215">
        <v>0</v>
      </c>
    </row>
    <row r="216" spans="1:106" x14ac:dyDescent="0.2">
      <c r="A216">
        <f>ROW(Source!A71)</f>
        <v>71</v>
      </c>
      <c r="B216">
        <v>16499878</v>
      </c>
      <c r="C216">
        <v>16500177</v>
      </c>
      <c r="D216">
        <v>15170075</v>
      </c>
      <c r="E216">
        <v>1</v>
      </c>
      <c r="F216">
        <v>1</v>
      </c>
      <c r="G216">
        <v>1</v>
      </c>
      <c r="H216">
        <v>3</v>
      </c>
      <c r="I216" t="s">
        <v>809</v>
      </c>
      <c r="J216" t="s">
        <v>810</v>
      </c>
      <c r="K216" t="s">
        <v>811</v>
      </c>
      <c r="L216">
        <v>1356</v>
      </c>
      <c r="N216">
        <v>1010</v>
      </c>
      <c r="O216" t="s">
        <v>812</v>
      </c>
      <c r="P216" t="s">
        <v>812</v>
      </c>
      <c r="Q216">
        <v>1000</v>
      </c>
      <c r="W216">
        <v>0</v>
      </c>
      <c r="X216">
        <v>1130533903</v>
      </c>
      <c r="Y216">
        <v>0.26300000000000001</v>
      </c>
      <c r="AA216">
        <v>972.8</v>
      </c>
      <c r="AB216">
        <v>0</v>
      </c>
      <c r="AC216">
        <v>0</v>
      </c>
      <c r="AD216">
        <v>0</v>
      </c>
      <c r="AE216">
        <v>160</v>
      </c>
      <c r="AF216">
        <v>0</v>
      </c>
      <c r="AG216">
        <v>0</v>
      </c>
      <c r="AH216">
        <v>0</v>
      </c>
      <c r="AI216">
        <v>6.08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224</v>
      </c>
      <c r="AT216">
        <v>0.26300000000000001</v>
      </c>
      <c r="AU216" t="s">
        <v>224</v>
      </c>
      <c r="AV216">
        <v>0</v>
      </c>
      <c r="AW216">
        <v>2</v>
      </c>
      <c r="AX216">
        <v>16500183</v>
      </c>
      <c r="AY216">
        <v>1</v>
      </c>
      <c r="AZ216">
        <v>0</v>
      </c>
      <c r="BA216">
        <v>236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Y216*Source!I71</f>
        <v>5.2600000000000008E-2</v>
      </c>
      <c r="CY216">
        <f t="shared" si="27"/>
        <v>972.8</v>
      </c>
      <c r="CZ216">
        <f t="shared" si="28"/>
        <v>160</v>
      </c>
      <c r="DA216">
        <f t="shared" si="29"/>
        <v>6.08</v>
      </c>
      <c r="DB216">
        <v>0</v>
      </c>
    </row>
    <row r="217" spans="1:106" x14ac:dyDescent="0.2">
      <c r="A217">
        <f>ROW(Source!A71)</f>
        <v>71</v>
      </c>
      <c r="B217">
        <v>16499878</v>
      </c>
      <c r="C217">
        <v>16500177</v>
      </c>
      <c r="D217">
        <v>15197683</v>
      </c>
      <c r="E217">
        <v>1</v>
      </c>
      <c r="F217">
        <v>1</v>
      </c>
      <c r="G217">
        <v>1</v>
      </c>
      <c r="H217">
        <v>3</v>
      </c>
      <c r="I217" t="s">
        <v>349</v>
      </c>
      <c r="J217" t="s">
        <v>352</v>
      </c>
      <c r="K217" t="s">
        <v>350</v>
      </c>
      <c r="L217">
        <v>1301</v>
      </c>
      <c r="N217">
        <v>1003</v>
      </c>
      <c r="O217" t="s">
        <v>351</v>
      </c>
      <c r="P217" t="s">
        <v>351</v>
      </c>
      <c r="Q217">
        <v>1</v>
      </c>
      <c r="W217">
        <v>0</v>
      </c>
      <c r="X217">
        <v>1244447769</v>
      </c>
      <c r="Y217">
        <v>101</v>
      </c>
      <c r="AA217">
        <v>124.64</v>
      </c>
      <c r="AB217">
        <v>0</v>
      </c>
      <c r="AC217">
        <v>0</v>
      </c>
      <c r="AD217">
        <v>0</v>
      </c>
      <c r="AE217">
        <v>20.5</v>
      </c>
      <c r="AF217">
        <v>0</v>
      </c>
      <c r="AG217">
        <v>0</v>
      </c>
      <c r="AH217">
        <v>0</v>
      </c>
      <c r="AI217">
        <v>6.08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224</v>
      </c>
      <c r="AT217">
        <v>101</v>
      </c>
      <c r="AU217" t="s">
        <v>224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224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Y217*Source!I71</f>
        <v>20.200000000000003</v>
      </c>
      <c r="CY217">
        <f t="shared" si="27"/>
        <v>124.64</v>
      </c>
      <c r="CZ217">
        <f t="shared" si="28"/>
        <v>20.5</v>
      </c>
      <c r="DA217">
        <f t="shared" si="29"/>
        <v>6.08</v>
      </c>
      <c r="DB217">
        <v>0</v>
      </c>
    </row>
    <row r="218" spans="1:106" x14ac:dyDescent="0.2">
      <c r="A218">
        <f>ROW(Source!A71)</f>
        <v>71</v>
      </c>
      <c r="B218">
        <v>16499878</v>
      </c>
      <c r="C218">
        <v>16500177</v>
      </c>
      <c r="D218">
        <v>15197769</v>
      </c>
      <c r="E218">
        <v>1</v>
      </c>
      <c r="F218">
        <v>1</v>
      </c>
      <c r="G218">
        <v>1</v>
      </c>
      <c r="H218">
        <v>3</v>
      </c>
      <c r="I218" t="s">
        <v>354</v>
      </c>
      <c r="J218" t="s">
        <v>357</v>
      </c>
      <c r="K218" t="s">
        <v>355</v>
      </c>
      <c r="L218">
        <v>1355</v>
      </c>
      <c r="N218">
        <v>1010</v>
      </c>
      <c r="O218" t="s">
        <v>356</v>
      </c>
      <c r="P218" t="s">
        <v>356</v>
      </c>
      <c r="Q218">
        <v>100</v>
      </c>
      <c r="W218">
        <v>0</v>
      </c>
      <c r="X218">
        <v>766681708</v>
      </c>
      <c r="Y218">
        <v>0.1</v>
      </c>
      <c r="AA218">
        <v>614.08000000000004</v>
      </c>
      <c r="AB218">
        <v>0</v>
      </c>
      <c r="AC218">
        <v>0</v>
      </c>
      <c r="AD218">
        <v>0</v>
      </c>
      <c r="AE218">
        <v>101</v>
      </c>
      <c r="AF218">
        <v>0</v>
      </c>
      <c r="AG218">
        <v>0</v>
      </c>
      <c r="AH218">
        <v>0</v>
      </c>
      <c r="AI218">
        <v>6.08</v>
      </c>
      <c r="AJ218">
        <v>1</v>
      </c>
      <c r="AK218">
        <v>1</v>
      </c>
      <c r="AL218">
        <v>1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224</v>
      </c>
      <c r="AT218">
        <v>0.1</v>
      </c>
      <c r="AU218" t="s">
        <v>224</v>
      </c>
      <c r="AV218">
        <v>0</v>
      </c>
      <c r="AW218">
        <v>1</v>
      </c>
      <c r="AX218">
        <v>-1</v>
      </c>
      <c r="AY218">
        <v>0</v>
      </c>
      <c r="AZ218">
        <v>0</v>
      </c>
      <c r="BA218" t="s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Y218*Source!I71</f>
        <v>2.0000000000000004E-2</v>
      </c>
      <c r="CY218">
        <f t="shared" si="27"/>
        <v>614.08000000000004</v>
      </c>
      <c r="CZ218">
        <f t="shared" si="28"/>
        <v>101</v>
      </c>
      <c r="DA218">
        <f t="shared" si="29"/>
        <v>6.08</v>
      </c>
      <c r="DB218">
        <v>0</v>
      </c>
    </row>
    <row r="219" spans="1:106" x14ac:dyDescent="0.2">
      <c r="A219">
        <f>ROW(Source!A71)</f>
        <v>71</v>
      </c>
      <c r="B219">
        <v>16499878</v>
      </c>
      <c r="C219">
        <v>16500177</v>
      </c>
      <c r="D219">
        <v>15197771</v>
      </c>
      <c r="E219">
        <v>1</v>
      </c>
      <c r="F219">
        <v>1</v>
      </c>
      <c r="G219">
        <v>1</v>
      </c>
      <c r="H219">
        <v>3</v>
      </c>
      <c r="I219" t="s">
        <v>359</v>
      </c>
      <c r="J219" t="s">
        <v>361</v>
      </c>
      <c r="K219" t="s">
        <v>360</v>
      </c>
      <c r="L219">
        <v>1355</v>
      </c>
      <c r="N219">
        <v>1010</v>
      </c>
      <c r="O219" t="s">
        <v>356</v>
      </c>
      <c r="P219" t="s">
        <v>356</v>
      </c>
      <c r="Q219">
        <v>100</v>
      </c>
      <c r="W219">
        <v>0</v>
      </c>
      <c r="X219">
        <v>191136453</v>
      </c>
      <c r="Y219">
        <v>0.1</v>
      </c>
      <c r="AA219">
        <v>614.08000000000004</v>
      </c>
      <c r="AB219">
        <v>0</v>
      </c>
      <c r="AC219">
        <v>0</v>
      </c>
      <c r="AD219">
        <v>0</v>
      </c>
      <c r="AE219">
        <v>101</v>
      </c>
      <c r="AF219">
        <v>0</v>
      </c>
      <c r="AG219">
        <v>0</v>
      </c>
      <c r="AH219">
        <v>0</v>
      </c>
      <c r="AI219">
        <v>6.08</v>
      </c>
      <c r="AJ219">
        <v>1</v>
      </c>
      <c r="AK219">
        <v>1</v>
      </c>
      <c r="AL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224</v>
      </c>
      <c r="AT219">
        <v>0.1</v>
      </c>
      <c r="AU219" t="s">
        <v>224</v>
      </c>
      <c r="AV219">
        <v>0</v>
      </c>
      <c r="AW219">
        <v>1</v>
      </c>
      <c r="AX219">
        <v>-1</v>
      </c>
      <c r="AY219">
        <v>0</v>
      </c>
      <c r="AZ219">
        <v>0</v>
      </c>
      <c r="BA219" t="s">
        <v>224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Y219*Source!I71</f>
        <v>2.0000000000000004E-2</v>
      </c>
      <c r="CY219">
        <f t="shared" si="27"/>
        <v>614.08000000000004</v>
      </c>
      <c r="CZ219">
        <f t="shared" si="28"/>
        <v>101</v>
      </c>
      <c r="DA219">
        <f t="shared" si="29"/>
        <v>6.08</v>
      </c>
      <c r="DB219">
        <v>0</v>
      </c>
    </row>
    <row r="220" spans="1:106" x14ac:dyDescent="0.2">
      <c r="A220">
        <f>ROW(Source!A71)</f>
        <v>71</v>
      </c>
      <c r="B220">
        <v>16499878</v>
      </c>
      <c r="C220">
        <v>16500177</v>
      </c>
      <c r="D220">
        <v>15197773</v>
      </c>
      <c r="E220">
        <v>1</v>
      </c>
      <c r="F220">
        <v>1</v>
      </c>
      <c r="G220">
        <v>1</v>
      </c>
      <c r="H220">
        <v>3</v>
      </c>
      <c r="I220" t="s">
        <v>363</v>
      </c>
      <c r="J220" t="s">
        <v>365</v>
      </c>
      <c r="K220" t="s">
        <v>364</v>
      </c>
      <c r="L220">
        <v>1355</v>
      </c>
      <c r="N220">
        <v>1010</v>
      </c>
      <c r="O220" t="s">
        <v>356</v>
      </c>
      <c r="P220" t="s">
        <v>356</v>
      </c>
      <c r="Q220">
        <v>100</v>
      </c>
      <c r="W220">
        <v>0</v>
      </c>
      <c r="X220">
        <v>1073883569</v>
      </c>
      <c r="Y220">
        <v>0.4</v>
      </c>
      <c r="AA220">
        <v>778.24</v>
      </c>
      <c r="AB220">
        <v>0</v>
      </c>
      <c r="AC220">
        <v>0</v>
      </c>
      <c r="AD220">
        <v>0</v>
      </c>
      <c r="AE220">
        <v>128</v>
      </c>
      <c r="AF220">
        <v>0</v>
      </c>
      <c r="AG220">
        <v>0</v>
      </c>
      <c r="AH220">
        <v>0</v>
      </c>
      <c r="AI220">
        <v>6.08</v>
      </c>
      <c r="AJ220">
        <v>1</v>
      </c>
      <c r="AK220">
        <v>1</v>
      </c>
      <c r="AL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224</v>
      </c>
      <c r="AT220">
        <v>0.4</v>
      </c>
      <c r="AU220" t="s">
        <v>224</v>
      </c>
      <c r="AV220">
        <v>0</v>
      </c>
      <c r="AW220">
        <v>1</v>
      </c>
      <c r="AX220">
        <v>-1</v>
      </c>
      <c r="AY220">
        <v>0</v>
      </c>
      <c r="AZ220">
        <v>0</v>
      </c>
      <c r="BA220" t="s">
        <v>224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Y220*Source!I71</f>
        <v>8.0000000000000016E-2</v>
      </c>
      <c r="CY220">
        <f t="shared" si="27"/>
        <v>778.24</v>
      </c>
      <c r="CZ220">
        <f t="shared" si="28"/>
        <v>128</v>
      </c>
      <c r="DA220">
        <f t="shared" si="29"/>
        <v>6.08</v>
      </c>
      <c r="DB220">
        <v>0</v>
      </c>
    </row>
    <row r="221" spans="1:106" x14ac:dyDescent="0.2">
      <c r="A221">
        <f>ROW(Source!A71)</f>
        <v>71</v>
      </c>
      <c r="B221">
        <v>16499878</v>
      </c>
      <c r="C221">
        <v>16500177</v>
      </c>
      <c r="D221">
        <v>15197775</v>
      </c>
      <c r="E221">
        <v>1</v>
      </c>
      <c r="F221">
        <v>1</v>
      </c>
      <c r="G221">
        <v>1</v>
      </c>
      <c r="H221">
        <v>3</v>
      </c>
      <c r="I221" t="s">
        <v>367</v>
      </c>
      <c r="J221" t="s">
        <v>369</v>
      </c>
      <c r="K221" t="s">
        <v>368</v>
      </c>
      <c r="L221">
        <v>1355</v>
      </c>
      <c r="N221">
        <v>1010</v>
      </c>
      <c r="O221" t="s">
        <v>356</v>
      </c>
      <c r="P221" t="s">
        <v>356</v>
      </c>
      <c r="Q221">
        <v>100</v>
      </c>
      <c r="W221">
        <v>0</v>
      </c>
      <c r="X221">
        <v>1800897042</v>
      </c>
      <c r="Y221">
        <v>0.05</v>
      </c>
      <c r="AA221">
        <v>778.24</v>
      </c>
      <c r="AB221">
        <v>0</v>
      </c>
      <c r="AC221">
        <v>0</v>
      </c>
      <c r="AD221">
        <v>0</v>
      </c>
      <c r="AE221">
        <v>128</v>
      </c>
      <c r="AF221">
        <v>0</v>
      </c>
      <c r="AG221">
        <v>0</v>
      </c>
      <c r="AH221">
        <v>0</v>
      </c>
      <c r="AI221">
        <v>6.08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224</v>
      </c>
      <c r="AT221">
        <v>0.05</v>
      </c>
      <c r="AU221" t="s">
        <v>224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224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Y221*Source!I71</f>
        <v>1.0000000000000002E-2</v>
      </c>
      <c r="CY221">
        <f t="shared" si="27"/>
        <v>778.24</v>
      </c>
      <c r="CZ221">
        <f t="shared" si="28"/>
        <v>128</v>
      </c>
      <c r="DA221">
        <f t="shared" si="29"/>
        <v>6.08</v>
      </c>
      <c r="DB221">
        <v>0</v>
      </c>
    </row>
    <row r="222" spans="1:106" x14ac:dyDescent="0.2">
      <c r="A222">
        <f>ROW(Source!A71)</f>
        <v>71</v>
      </c>
      <c r="B222">
        <v>16499878</v>
      </c>
      <c r="C222">
        <v>16500177</v>
      </c>
      <c r="D222">
        <v>15197777</v>
      </c>
      <c r="E222">
        <v>1</v>
      </c>
      <c r="F222">
        <v>1</v>
      </c>
      <c r="G222">
        <v>1</v>
      </c>
      <c r="H222">
        <v>3</v>
      </c>
      <c r="I222" t="s">
        <v>371</v>
      </c>
      <c r="J222" t="s">
        <v>373</v>
      </c>
      <c r="K222" t="s">
        <v>372</v>
      </c>
      <c r="L222">
        <v>1355</v>
      </c>
      <c r="N222">
        <v>1010</v>
      </c>
      <c r="O222" t="s">
        <v>356</v>
      </c>
      <c r="P222" t="s">
        <v>356</v>
      </c>
      <c r="Q222">
        <v>100</v>
      </c>
      <c r="W222">
        <v>0</v>
      </c>
      <c r="X222">
        <v>952646044</v>
      </c>
      <c r="Y222">
        <v>0.05</v>
      </c>
      <c r="AA222">
        <v>778.24</v>
      </c>
      <c r="AB222">
        <v>0</v>
      </c>
      <c r="AC222">
        <v>0</v>
      </c>
      <c r="AD222">
        <v>0</v>
      </c>
      <c r="AE222">
        <v>128</v>
      </c>
      <c r="AF222">
        <v>0</v>
      </c>
      <c r="AG222">
        <v>0</v>
      </c>
      <c r="AH222">
        <v>0</v>
      </c>
      <c r="AI222">
        <v>6.08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224</v>
      </c>
      <c r="AT222">
        <v>0.05</v>
      </c>
      <c r="AU222" t="s">
        <v>224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224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Y222*Source!I71</f>
        <v>1.0000000000000002E-2</v>
      </c>
      <c r="CY222">
        <f t="shared" si="27"/>
        <v>778.24</v>
      </c>
      <c r="CZ222">
        <f t="shared" si="28"/>
        <v>128</v>
      </c>
      <c r="DA222">
        <f t="shared" si="29"/>
        <v>6.08</v>
      </c>
      <c r="DB222">
        <v>0</v>
      </c>
    </row>
    <row r="223" spans="1:106" x14ac:dyDescent="0.2">
      <c r="A223">
        <f>ROW(Source!A84)</f>
        <v>84</v>
      </c>
      <c r="B223">
        <v>16499835</v>
      </c>
      <c r="C223">
        <v>16500208</v>
      </c>
      <c r="D223">
        <v>15436014</v>
      </c>
      <c r="E223">
        <v>1</v>
      </c>
      <c r="F223">
        <v>1</v>
      </c>
      <c r="G223">
        <v>1</v>
      </c>
      <c r="H223">
        <v>1</v>
      </c>
      <c r="I223" t="s">
        <v>756</v>
      </c>
      <c r="J223" t="s">
        <v>224</v>
      </c>
      <c r="K223" t="s">
        <v>757</v>
      </c>
      <c r="L223">
        <v>1191</v>
      </c>
      <c r="N223">
        <v>1013</v>
      </c>
      <c r="O223" t="s">
        <v>628</v>
      </c>
      <c r="P223" t="s">
        <v>628</v>
      </c>
      <c r="Q223">
        <v>1</v>
      </c>
      <c r="W223">
        <v>0</v>
      </c>
      <c r="X223">
        <v>-784637506</v>
      </c>
      <c r="Y223">
        <v>19.135999999999999</v>
      </c>
      <c r="AA223">
        <v>0</v>
      </c>
      <c r="AB223">
        <v>0</v>
      </c>
      <c r="AC223">
        <v>0</v>
      </c>
      <c r="AD223">
        <v>8.74</v>
      </c>
      <c r="AE223">
        <v>0</v>
      </c>
      <c r="AF223">
        <v>0</v>
      </c>
      <c r="AG223">
        <v>0</v>
      </c>
      <c r="AH223">
        <v>8.74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224</v>
      </c>
      <c r="AT223">
        <v>16.64</v>
      </c>
      <c r="AU223" t="s">
        <v>240</v>
      </c>
      <c r="AV223">
        <v>1</v>
      </c>
      <c r="AW223">
        <v>2</v>
      </c>
      <c r="AX223">
        <v>16500209</v>
      </c>
      <c r="AY223">
        <v>1</v>
      </c>
      <c r="AZ223">
        <v>0</v>
      </c>
      <c r="BA223">
        <v>243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Y223*Source!I84</f>
        <v>1.7222399999999998</v>
      </c>
      <c r="CY223">
        <f>AD223</f>
        <v>8.74</v>
      </c>
      <c r="CZ223">
        <f>AH223</f>
        <v>8.74</v>
      </c>
      <c r="DA223">
        <f>AL223</f>
        <v>1</v>
      </c>
      <c r="DB223">
        <v>0</v>
      </c>
    </row>
    <row r="224" spans="1:106" x14ac:dyDescent="0.2">
      <c r="A224">
        <f>ROW(Source!A84)</f>
        <v>84</v>
      </c>
      <c r="B224">
        <v>16499835</v>
      </c>
      <c r="C224">
        <v>16500208</v>
      </c>
      <c r="D224">
        <v>15169972</v>
      </c>
      <c r="E224">
        <v>1</v>
      </c>
      <c r="F224">
        <v>1</v>
      </c>
      <c r="G224">
        <v>1</v>
      </c>
      <c r="H224">
        <v>3</v>
      </c>
      <c r="I224" t="s">
        <v>806</v>
      </c>
      <c r="J224" t="s">
        <v>807</v>
      </c>
      <c r="K224" t="s">
        <v>808</v>
      </c>
      <c r="L224">
        <v>1355</v>
      </c>
      <c r="N224">
        <v>1010</v>
      </c>
      <c r="O224" t="s">
        <v>356</v>
      </c>
      <c r="P224" t="s">
        <v>356</v>
      </c>
      <c r="Q224">
        <v>100</v>
      </c>
      <c r="W224">
        <v>0</v>
      </c>
      <c r="X224">
        <v>-725528132</v>
      </c>
      <c r="Y224">
        <v>6.7</v>
      </c>
      <c r="AA224">
        <v>12</v>
      </c>
      <c r="AB224">
        <v>0</v>
      </c>
      <c r="AC224">
        <v>0</v>
      </c>
      <c r="AD224">
        <v>0</v>
      </c>
      <c r="AE224">
        <v>12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224</v>
      </c>
      <c r="AT224">
        <v>6.7</v>
      </c>
      <c r="AU224" t="s">
        <v>224</v>
      </c>
      <c r="AV224">
        <v>0</v>
      </c>
      <c r="AW224">
        <v>2</v>
      </c>
      <c r="AX224">
        <v>16500210</v>
      </c>
      <c r="AY224">
        <v>1</v>
      </c>
      <c r="AZ224">
        <v>0</v>
      </c>
      <c r="BA224">
        <v>244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Y224*Source!I84</f>
        <v>0.60299999999999998</v>
      </c>
      <c r="CY224">
        <f>AA224</f>
        <v>12</v>
      </c>
      <c r="CZ224">
        <f>AE224</f>
        <v>12</v>
      </c>
      <c r="DA224">
        <f>AI224</f>
        <v>1</v>
      </c>
      <c r="DB224">
        <v>0</v>
      </c>
    </row>
    <row r="225" spans="1:106" x14ac:dyDescent="0.2">
      <c r="A225">
        <f>ROW(Source!A84)</f>
        <v>84</v>
      </c>
      <c r="B225">
        <v>16499835</v>
      </c>
      <c r="C225">
        <v>16500208</v>
      </c>
      <c r="D225">
        <v>15192897</v>
      </c>
      <c r="E225">
        <v>1</v>
      </c>
      <c r="F225">
        <v>1</v>
      </c>
      <c r="G225">
        <v>1</v>
      </c>
      <c r="H225">
        <v>3</v>
      </c>
      <c r="I225" t="s">
        <v>379</v>
      </c>
      <c r="J225" t="s">
        <v>381</v>
      </c>
      <c r="K225" t="s">
        <v>380</v>
      </c>
      <c r="L225">
        <v>1301</v>
      </c>
      <c r="N225">
        <v>1003</v>
      </c>
      <c r="O225" t="s">
        <v>351</v>
      </c>
      <c r="P225" t="s">
        <v>351</v>
      </c>
      <c r="Q225">
        <v>1</v>
      </c>
      <c r="W225">
        <v>0</v>
      </c>
      <c r="X225">
        <v>210460057</v>
      </c>
      <c r="Y225">
        <v>105</v>
      </c>
      <c r="AA225">
        <v>23.19</v>
      </c>
      <c r="AB225">
        <v>0</v>
      </c>
      <c r="AC225">
        <v>0</v>
      </c>
      <c r="AD225">
        <v>0</v>
      </c>
      <c r="AE225">
        <v>23.19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224</v>
      </c>
      <c r="AT225">
        <v>105</v>
      </c>
      <c r="AU225" t="s">
        <v>224</v>
      </c>
      <c r="AV225">
        <v>0</v>
      </c>
      <c r="AW225">
        <v>1</v>
      </c>
      <c r="AX225">
        <v>-1</v>
      </c>
      <c r="AY225">
        <v>0</v>
      </c>
      <c r="AZ225">
        <v>0</v>
      </c>
      <c r="BA225" t="s">
        <v>224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Y225*Source!I84</f>
        <v>9.4499999999999993</v>
      </c>
      <c r="CY225">
        <f>AA225</f>
        <v>23.19</v>
      </c>
      <c r="CZ225">
        <f>AE225</f>
        <v>23.19</v>
      </c>
      <c r="DA225">
        <f>AI225</f>
        <v>1</v>
      </c>
      <c r="DB225">
        <v>0</v>
      </c>
    </row>
    <row r="226" spans="1:106" x14ac:dyDescent="0.2">
      <c r="A226">
        <f>ROW(Source!A85)</f>
        <v>85</v>
      </c>
      <c r="B226">
        <v>16499878</v>
      </c>
      <c r="C226">
        <v>16500208</v>
      </c>
      <c r="D226">
        <v>15436014</v>
      </c>
      <c r="E226">
        <v>1</v>
      </c>
      <c r="F226">
        <v>1</v>
      </c>
      <c r="G226">
        <v>1</v>
      </c>
      <c r="H226">
        <v>1</v>
      </c>
      <c r="I226" t="s">
        <v>756</v>
      </c>
      <c r="J226" t="s">
        <v>224</v>
      </c>
      <c r="K226" t="s">
        <v>757</v>
      </c>
      <c r="L226">
        <v>1191</v>
      </c>
      <c r="N226">
        <v>1013</v>
      </c>
      <c r="O226" t="s">
        <v>628</v>
      </c>
      <c r="P226" t="s">
        <v>628</v>
      </c>
      <c r="Q226">
        <v>1</v>
      </c>
      <c r="W226">
        <v>0</v>
      </c>
      <c r="X226">
        <v>-784637506</v>
      </c>
      <c r="Y226">
        <v>19.135999999999999</v>
      </c>
      <c r="AA226">
        <v>0</v>
      </c>
      <c r="AB226">
        <v>0</v>
      </c>
      <c r="AC226">
        <v>0</v>
      </c>
      <c r="AD226">
        <v>53.14</v>
      </c>
      <c r="AE226">
        <v>0</v>
      </c>
      <c r="AF226">
        <v>0</v>
      </c>
      <c r="AG226">
        <v>0</v>
      </c>
      <c r="AH226">
        <v>8.74</v>
      </c>
      <c r="AI226">
        <v>1</v>
      </c>
      <c r="AJ226">
        <v>1</v>
      </c>
      <c r="AK226">
        <v>1</v>
      </c>
      <c r="AL226">
        <v>6.08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224</v>
      </c>
      <c r="AT226">
        <v>16.64</v>
      </c>
      <c r="AU226" t="s">
        <v>240</v>
      </c>
      <c r="AV226">
        <v>1</v>
      </c>
      <c r="AW226">
        <v>2</v>
      </c>
      <c r="AX226">
        <v>16500209</v>
      </c>
      <c r="AY226">
        <v>1</v>
      </c>
      <c r="AZ226">
        <v>0</v>
      </c>
      <c r="BA226">
        <v>246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Y226*Source!I85</f>
        <v>0.17222399999999999</v>
      </c>
      <c r="CY226">
        <f>AD226</f>
        <v>53.14</v>
      </c>
      <c r="CZ226">
        <f>AH226</f>
        <v>8.74</v>
      </c>
      <c r="DA226">
        <f>AL226</f>
        <v>6.08</v>
      </c>
      <c r="DB226">
        <v>0</v>
      </c>
    </row>
    <row r="227" spans="1:106" x14ac:dyDescent="0.2">
      <c r="A227">
        <f>ROW(Source!A85)</f>
        <v>85</v>
      </c>
      <c r="B227">
        <v>16499878</v>
      </c>
      <c r="C227">
        <v>16500208</v>
      </c>
      <c r="D227">
        <v>15169972</v>
      </c>
      <c r="E227">
        <v>1</v>
      </c>
      <c r="F227">
        <v>1</v>
      </c>
      <c r="G227">
        <v>1</v>
      </c>
      <c r="H227">
        <v>3</v>
      </c>
      <c r="I227" t="s">
        <v>806</v>
      </c>
      <c r="J227" t="s">
        <v>807</v>
      </c>
      <c r="K227" t="s">
        <v>808</v>
      </c>
      <c r="L227">
        <v>1355</v>
      </c>
      <c r="N227">
        <v>1010</v>
      </c>
      <c r="O227" t="s">
        <v>356</v>
      </c>
      <c r="P227" t="s">
        <v>356</v>
      </c>
      <c r="Q227">
        <v>100</v>
      </c>
      <c r="W227">
        <v>0</v>
      </c>
      <c r="X227">
        <v>-725528132</v>
      </c>
      <c r="Y227">
        <v>6.7</v>
      </c>
      <c r="AA227">
        <v>72.959999999999994</v>
      </c>
      <c r="AB227">
        <v>0</v>
      </c>
      <c r="AC227">
        <v>0</v>
      </c>
      <c r="AD227">
        <v>0</v>
      </c>
      <c r="AE227">
        <v>12</v>
      </c>
      <c r="AF227">
        <v>0</v>
      </c>
      <c r="AG227">
        <v>0</v>
      </c>
      <c r="AH227">
        <v>0</v>
      </c>
      <c r="AI227">
        <v>6.08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224</v>
      </c>
      <c r="AT227">
        <v>6.7</v>
      </c>
      <c r="AU227" t="s">
        <v>224</v>
      </c>
      <c r="AV227">
        <v>0</v>
      </c>
      <c r="AW227">
        <v>2</v>
      </c>
      <c r="AX227">
        <v>16500210</v>
      </c>
      <c r="AY227">
        <v>1</v>
      </c>
      <c r="AZ227">
        <v>0</v>
      </c>
      <c r="BA227">
        <v>247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Y227*Source!I85</f>
        <v>6.0299999999999999E-2</v>
      </c>
      <c r="CY227">
        <f>AA227</f>
        <v>72.959999999999994</v>
      </c>
      <c r="CZ227">
        <f>AE227</f>
        <v>12</v>
      </c>
      <c r="DA227">
        <f>AI227</f>
        <v>6.08</v>
      </c>
      <c r="DB227">
        <v>0</v>
      </c>
    </row>
    <row r="228" spans="1:106" x14ac:dyDescent="0.2">
      <c r="A228">
        <f>ROW(Source!A85)</f>
        <v>85</v>
      </c>
      <c r="B228">
        <v>16499878</v>
      </c>
      <c r="C228">
        <v>16500208</v>
      </c>
      <c r="D228">
        <v>15192897</v>
      </c>
      <c r="E228">
        <v>1</v>
      </c>
      <c r="F228">
        <v>1</v>
      </c>
      <c r="G228">
        <v>1</v>
      </c>
      <c r="H228">
        <v>3</v>
      </c>
      <c r="I228" t="s">
        <v>379</v>
      </c>
      <c r="J228" t="s">
        <v>381</v>
      </c>
      <c r="K228" t="s">
        <v>380</v>
      </c>
      <c r="L228">
        <v>1301</v>
      </c>
      <c r="N228">
        <v>1003</v>
      </c>
      <c r="O228" t="s">
        <v>351</v>
      </c>
      <c r="P228" t="s">
        <v>351</v>
      </c>
      <c r="Q228">
        <v>1</v>
      </c>
      <c r="W228">
        <v>0</v>
      </c>
      <c r="X228">
        <v>210460057</v>
      </c>
      <c r="Y228">
        <v>105</v>
      </c>
      <c r="AA228">
        <v>141</v>
      </c>
      <c r="AB228">
        <v>0</v>
      </c>
      <c r="AC228">
        <v>0</v>
      </c>
      <c r="AD228">
        <v>0</v>
      </c>
      <c r="AE228">
        <v>23.19</v>
      </c>
      <c r="AF228">
        <v>0</v>
      </c>
      <c r="AG228">
        <v>0</v>
      </c>
      <c r="AH228">
        <v>0</v>
      </c>
      <c r="AI228">
        <v>6.08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224</v>
      </c>
      <c r="AT228">
        <v>105</v>
      </c>
      <c r="AU228" t="s">
        <v>224</v>
      </c>
      <c r="AV228">
        <v>0</v>
      </c>
      <c r="AW228">
        <v>1</v>
      </c>
      <c r="AX228">
        <v>-1</v>
      </c>
      <c r="AY228">
        <v>0</v>
      </c>
      <c r="AZ228">
        <v>0</v>
      </c>
      <c r="BA228" t="s">
        <v>224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Y228*Source!I85</f>
        <v>0.94499999999999995</v>
      </c>
      <c r="CY228">
        <f>AA228</f>
        <v>141</v>
      </c>
      <c r="CZ228">
        <f>AE228</f>
        <v>23.19</v>
      </c>
      <c r="DA228">
        <f>AI228</f>
        <v>6.08</v>
      </c>
      <c r="DB228">
        <v>0</v>
      </c>
    </row>
    <row r="229" spans="1:106" x14ac:dyDescent="0.2">
      <c r="A229">
        <f>ROW(Source!A88)</f>
        <v>88</v>
      </c>
      <c r="B229">
        <v>16499835</v>
      </c>
      <c r="C229">
        <v>16500238</v>
      </c>
      <c r="D229">
        <v>15430397</v>
      </c>
      <c r="E229">
        <v>1</v>
      </c>
      <c r="F229">
        <v>1</v>
      </c>
      <c r="G229">
        <v>1</v>
      </c>
      <c r="H229">
        <v>1</v>
      </c>
      <c r="I229" t="s">
        <v>739</v>
      </c>
      <c r="J229" t="s">
        <v>224</v>
      </c>
      <c r="K229" t="s">
        <v>740</v>
      </c>
      <c r="L229">
        <v>1191</v>
      </c>
      <c r="N229">
        <v>1013</v>
      </c>
      <c r="O229" t="s">
        <v>628</v>
      </c>
      <c r="P229" t="s">
        <v>628</v>
      </c>
      <c r="Q229">
        <v>1</v>
      </c>
      <c r="W229">
        <v>0</v>
      </c>
      <c r="X229">
        <v>-1081351934</v>
      </c>
      <c r="Y229">
        <v>199.95049999999998</v>
      </c>
      <c r="AA229">
        <v>0</v>
      </c>
      <c r="AB229">
        <v>0</v>
      </c>
      <c r="AC229">
        <v>0</v>
      </c>
      <c r="AD229">
        <v>9.4</v>
      </c>
      <c r="AE229">
        <v>0</v>
      </c>
      <c r="AF229">
        <v>0</v>
      </c>
      <c r="AG229">
        <v>0</v>
      </c>
      <c r="AH229">
        <v>9.4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224</v>
      </c>
      <c r="AT229">
        <v>173.87</v>
      </c>
      <c r="AU229" t="s">
        <v>240</v>
      </c>
      <c r="AV229">
        <v>1</v>
      </c>
      <c r="AW229">
        <v>2</v>
      </c>
      <c r="AX229">
        <v>16500239</v>
      </c>
      <c r="AY229">
        <v>1</v>
      </c>
      <c r="AZ229">
        <v>0</v>
      </c>
      <c r="BA229">
        <v>249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Y229*Source!I88</f>
        <v>709.82427499999983</v>
      </c>
      <c r="CY229">
        <f>AD229</f>
        <v>9.4</v>
      </c>
      <c r="CZ229">
        <f>AH229</f>
        <v>9.4</v>
      </c>
      <c r="DA229">
        <f>AL229</f>
        <v>1</v>
      </c>
      <c r="DB229">
        <v>0</v>
      </c>
    </row>
    <row r="230" spans="1:106" x14ac:dyDescent="0.2">
      <c r="A230">
        <f>ROW(Source!A88)</f>
        <v>88</v>
      </c>
      <c r="B230">
        <v>16499835</v>
      </c>
      <c r="C230">
        <v>16500238</v>
      </c>
      <c r="D230">
        <v>15430395</v>
      </c>
      <c r="E230">
        <v>1</v>
      </c>
      <c r="F230">
        <v>1</v>
      </c>
      <c r="G230">
        <v>1</v>
      </c>
      <c r="H230">
        <v>1</v>
      </c>
      <c r="I230" t="s">
        <v>629</v>
      </c>
      <c r="J230" t="s">
        <v>224</v>
      </c>
      <c r="K230" t="s">
        <v>630</v>
      </c>
      <c r="L230">
        <v>1191</v>
      </c>
      <c r="N230">
        <v>1013</v>
      </c>
      <c r="O230" t="s">
        <v>628</v>
      </c>
      <c r="P230" t="s">
        <v>628</v>
      </c>
      <c r="Q230">
        <v>1</v>
      </c>
      <c r="W230">
        <v>0</v>
      </c>
      <c r="X230">
        <v>-1417349443</v>
      </c>
      <c r="Y230">
        <v>3.21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224</v>
      </c>
      <c r="AT230">
        <v>3.21</v>
      </c>
      <c r="AU230" t="s">
        <v>224</v>
      </c>
      <c r="AV230">
        <v>2</v>
      </c>
      <c r="AW230">
        <v>2</v>
      </c>
      <c r="AX230">
        <v>16500240</v>
      </c>
      <c r="AY230">
        <v>1</v>
      </c>
      <c r="AZ230">
        <v>2048</v>
      </c>
      <c r="BA230">
        <v>250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Y230*Source!I88</f>
        <v>11.3955</v>
      </c>
      <c r="CY230">
        <f>AD230</f>
        <v>0</v>
      </c>
      <c r="CZ230">
        <f>AH230</f>
        <v>0</v>
      </c>
      <c r="DA230">
        <f>AL230</f>
        <v>1</v>
      </c>
      <c r="DB230">
        <v>0</v>
      </c>
    </row>
    <row r="231" spans="1:106" x14ac:dyDescent="0.2">
      <c r="A231">
        <f>ROW(Source!A88)</f>
        <v>88</v>
      </c>
      <c r="B231">
        <v>16499835</v>
      </c>
      <c r="C231">
        <v>16500238</v>
      </c>
      <c r="D231">
        <v>15247680</v>
      </c>
      <c r="E231">
        <v>1</v>
      </c>
      <c r="F231">
        <v>1</v>
      </c>
      <c r="G231">
        <v>1</v>
      </c>
      <c r="H231">
        <v>2</v>
      </c>
      <c r="I231" t="s">
        <v>670</v>
      </c>
      <c r="J231" t="s">
        <v>671</v>
      </c>
      <c r="K231" t="s">
        <v>672</v>
      </c>
      <c r="L231">
        <v>1368</v>
      </c>
      <c r="N231">
        <v>1011</v>
      </c>
      <c r="O231" t="s">
        <v>634</v>
      </c>
      <c r="P231" t="s">
        <v>634</v>
      </c>
      <c r="Q231">
        <v>1</v>
      </c>
      <c r="W231">
        <v>0</v>
      </c>
      <c r="X231">
        <v>-1718674368</v>
      </c>
      <c r="Y231">
        <v>2.1</v>
      </c>
      <c r="AA231">
        <v>0</v>
      </c>
      <c r="AB231">
        <v>111.99</v>
      </c>
      <c r="AC231">
        <v>13.5</v>
      </c>
      <c r="AD231">
        <v>0</v>
      </c>
      <c r="AE231">
        <v>0</v>
      </c>
      <c r="AF231">
        <v>111.99</v>
      </c>
      <c r="AG231">
        <v>13.5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224</v>
      </c>
      <c r="AT231">
        <v>1.68</v>
      </c>
      <c r="AU231" t="s">
        <v>239</v>
      </c>
      <c r="AV231">
        <v>0</v>
      </c>
      <c r="AW231">
        <v>2</v>
      </c>
      <c r="AX231">
        <v>16500241</v>
      </c>
      <c r="AY231">
        <v>1</v>
      </c>
      <c r="AZ231">
        <v>0</v>
      </c>
      <c r="BA231">
        <v>251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Y231*Source!I88</f>
        <v>7.4550000000000001</v>
      </c>
      <c r="CY231">
        <f>AB231</f>
        <v>111.99</v>
      </c>
      <c r="CZ231">
        <f>AF231</f>
        <v>111.99</v>
      </c>
      <c r="DA231">
        <f>AJ231</f>
        <v>1</v>
      </c>
      <c r="DB231">
        <v>0</v>
      </c>
    </row>
    <row r="232" spans="1:106" x14ac:dyDescent="0.2">
      <c r="A232">
        <f>ROW(Source!A88)</f>
        <v>88</v>
      </c>
      <c r="B232">
        <v>16499835</v>
      </c>
      <c r="C232">
        <v>16500238</v>
      </c>
      <c r="D232">
        <v>15249073</v>
      </c>
      <c r="E232">
        <v>1</v>
      </c>
      <c r="F232">
        <v>1</v>
      </c>
      <c r="G232">
        <v>1</v>
      </c>
      <c r="H232">
        <v>2</v>
      </c>
      <c r="I232" t="s">
        <v>631</v>
      </c>
      <c r="J232" t="s">
        <v>632</v>
      </c>
      <c r="K232" t="s">
        <v>633</v>
      </c>
      <c r="L232">
        <v>1368</v>
      </c>
      <c r="N232">
        <v>1011</v>
      </c>
      <c r="O232" t="s">
        <v>634</v>
      </c>
      <c r="P232" t="s">
        <v>634</v>
      </c>
      <c r="Q232">
        <v>1</v>
      </c>
      <c r="W232">
        <v>0</v>
      </c>
      <c r="X232">
        <v>1372534845</v>
      </c>
      <c r="Y232">
        <v>1.9125000000000001</v>
      </c>
      <c r="AA232">
        <v>0</v>
      </c>
      <c r="AB232">
        <v>65.709999999999994</v>
      </c>
      <c r="AC232">
        <v>11.6</v>
      </c>
      <c r="AD232">
        <v>0</v>
      </c>
      <c r="AE232">
        <v>0</v>
      </c>
      <c r="AF232">
        <v>65.709999999999994</v>
      </c>
      <c r="AG232">
        <v>11.6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224</v>
      </c>
      <c r="AT232">
        <v>1.53</v>
      </c>
      <c r="AU232" t="s">
        <v>239</v>
      </c>
      <c r="AV232">
        <v>0</v>
      </c>
      <c r="AW232">
        <v>2</v>
      </c>
      <c r="AX232">
        <v>16500242</v>
      </c>
      <c r="AY232">
        <v>1</v>
      </c>
      <c r="AZ232">
        <v>0</v>
      </c>
      <c r="BA232">
        <v>252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Y232*Source!I88</f>
        <v>6.7893749999999997</v>
      </c>
      <c r="CY232">
        <f>AB232</f>
        <v>65.709999999999994</v>
      </c>
      <c r="CZ232">
        <f>AF232</f>
        <v>65.709999999999994</v>
      </c>
      <c r="DA232">
        <f>AJ232</f>
        <v>1</v>
      </c>
      <c r="DB232">
        <v>0</v>
      </c>
    </row>
    <row r="233" spans="1:106" x14ac:dyDescent="0.2">
      <c r="A233">
        <f>ROW(Source!A88)</f>
        <v>88</v>
      </c>
      <c r="B233">
        <v>16499835</v>
      </c>
      <c r="C233">
        <v>16500238</v>
      </c>
      <c r="D233">
        <v>15250017</v>
      </c>
      <c r="E233">
        <v>1</v>
      </c>
      <c r="F233">
        <v>1</v>
      </c>
      <c r="G233">
        <v>1</v>
      </c>
      <c r="H233">
        <v>2</v>
      </c>
      <c r="I233" t="s">
        <v>813</v>
      </c>
      <c r="J233" t="s">
        <v>814</v>
      </c>
      <c r="K233" t="s">
        <v>815</v>
      </c>
      <c r="L233">
        <v>1368</v>
      </c>
      <c r="N233">
        <v>1011</v>
      </c>
      <c r="O233" t="s">
        <v>634</v>
      </c>
      <c r="P233" t="s">
        <v>634</v>
      </c>
      <c r="Q233">
        <v>1</v>
      </c>
      <c r="W233">
        <v>0</v>
      </c>
      <c r="X233">
        <v>612354663</v>
      </c>
      <c r="Y233">
        <v>11.574999999999999</v>
      </c>
      <c r="AA233">
        <v>0</v>
      </c>
      <c r="AB233">
        <v>33.590000000000003</v>
      </c>
      <c r="AC233">
        <v>0</v>
      </c>
      <c r="AD233">
        <v>0</v>
      </c>
      <c r="AE233">
        <v>0</v>
      </c>
      <c r="AF233">
        <v>33.590000000000003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224</v>
      </c>
      <c r="AT233">
        <v>9.26</v>
      </c>
      <c r="AU233" t="s">
        <v>239</v>
      </c>
      <c r="AV233">
        <v>0</v>
      </c>
      <c r="AW233">
        <v>2</v>
      </c>
      <c r="AX233">
        <v>16500243</v>
      </c>
      <c r="AY233">
        <v>1</v>
      </c>
      <c r="AZ233">
        <v>0</v>
      </c>
      <c r="BA233">
        <v>253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Y233*Source!I88</f>
        <v>41.091249999999995</v>
      </c>
      <c r="CY233">
        <f>AB233</f>
        <v>33.590000000000003</v>
      </c>
      <c r="CZ233">
        <f>AF233</f>
        <v>33.590000000000003</v>
      </c>
      <c r="DA233">
        <f>AJ233</f>
        <v>1</v>
      </c>
      <c r="DB233">
        <v>0</v>
      </c>
    </row>
    <row r="234" spans="1:106" x14ac:dyDescent="0.2">
      <c r="A234">
        <f>ROW(Source!A88)</f>
        <v>88</v>
      </c>
      <c r="B234">
        <v>16499835</v>
      </c>
      <c r="C234">
        <v>16500238</v>
      </c>
      <c r="D234">
        <v>15169965</v>
      </c>
      <c r="E234">
        <v>1</v>
      </c>
      <c r="F234">
        <v>1</v>
      </c>
      <c r="G234">
        <v>1</v>
      </c>
      <c r="H234">
        <v>3</v>
      </c>
      <c r="I234" t="s">
        <v>816</v>
      </c>
      <c r="J234" t="s">
        <v>817</v>
      </c>
      <c r="K234" t="s">
        <v>818</v>
      </c>
      <c r="L234">
        <v>1348</v>
      </c>
      <c r="N234">
        <v>1009</v>
      </c>
      <c r="O234" t="s">
        <v>288</v>
      </c>
      <c r="P234" t="s">
        <v>288</v>
      </c>
      <c r="Q234">
        <v>1000</v>
      </c>
      <c r="W234">
        <v>0</v>
      </c>
      <c r="X234">
        <v>-1153500951</v>
      </c>
      <c r="Y234">
        <v>1.4E-3</v>
      </c>
      <c r="AA234">
        <v>25100</v>
      </c>
      <c r="AB234">
        <v>0</v>
      </c>
      <c r="AC234">
        <v>0</v>
      </c>
      <c r="AD234">
        <v>0</v>
      </c>
      <c r="AE234">
        <v>25100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224</v>
      </c>
      <c r="AT234">
        <v>1.4E-3</v>
      </c>
      <c r="AU234" t="s">
        <v>224</v>
      </c>
      <c r="AV234">
        <v>0</v>
      </c>
      <c r="AW234">
        <v>2</v>
      </c>
      <c r="AX234">
        <v>16500244</v>
      </c>
      <c r="AY234">
        <v>1</v>
      </c>
      <c r="AZ234">
        <v>0</v>
      </c>
      <c r="BA234">
        <v>254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Y234*Source!I88</f>
        <v>4.9699999999999996E-3</v>
      </c>
      <c r="CY234">
        <f t="shared" ref="CY234:CY246" si="30">AA234</f>
        <v>25100</v>
      </c>
      <c r="CZ234">
        <f t="shared" ref="CZ234:CZ246" si="31">AE234</f>
        <v>25100</v>
      </c>
      <c r="DA234">
        <f t="shared" ref="DA234:DA246" si="32">AI234</f>
        <v>1</v>
      </c>
      <c r="DB234">
        <v>0</v>
      </c>
    </row>
    <row r="235" spans="1:106" x14ac:dyDescent="0.2">
      <c r="A235">
        <f>ROW(Source!A88)</f>
        <v>88</v>
      </c>
      <c r="B235">
        <v>16499835</v>
      </c>
      <c r="C235">
        <v>16500238</v>
      </c>
      <c r="D235">
        <v>15170031</v>
      </c>
      <c r="E235">
        <v>1</v>
      </c>
      <c r="F235">
        <v>1</v>
      </c>
      <c r="G235">
        <v>1</v>
      </c>
      <c r="H235">
        <v>3</v>
      </c>
      <c r="I235" t="s">
        <v>819</v>
      </c>
      <c r="J235" t="s">
        <v>820</v>
      </c>
      <c r="K235" t="s">
        <v>821</v>
      </c>
      <c r="L235">
        <v>1348</v>
      </c>
      <c r="N235">
        <v>1009</v>
      </c>
      <c r="O235" t="s">
        <v>288</v>
      </c>
      <c r="P235" t="s">
        <v>288</v>
      </c>
      <c r="Q235">
        <v>1000</v>
      </c>
      <c r="W235">
        <v>0</v>
      </c>
      <c r="X235">
        <v>1521545007</v>
      </c>
      <c r="Y235">
        <v>1.12E-2</v>
      </c>
      <c r="AA235">
        <v>15275.94</v>
      </c>
      <c r="AB235">
        <v>0</v>
      </c>
      <c r="AC235">
        <v>0</v>
      </c>
      <c r="AD235">
        <v>0</v>
      </c>
      <c r="AE235">
        <v>15275.94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224</v>
      </c>
      <c r="AT235">
        <v>1.12E-2</v>
      </c>
      <c r="AU235" t="s">
        <v>224</v>
      </c>
      <c r="AV235">
        <v>0</v>
      </c>
      <c r="AW235">
        <v>2</v>
      </c>
      <c r="AX235">
        <v>16500245</v>
      </c>
      <c r="AY235">
        <v>1</v>
      </c>
      <c r="AZ235">
        <v>0</v>
      </c>
      <c r="BA235">
        <v>255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Y235*Source!I88</f>
        <v>3.9759999999999997E-2</v>
      </c>
      <c r="CY235">
        <f t="shared" si="30"/>
        <v>15275.94</v>
      </c>
      <c r="CZ235">
        <f t="shared" si="31"/>
        <v>15275.94</v>
      </c>
      <c r="DA235">
        <f t="shared" si="32"/>
        <v>1</v>
      </c>
      <c r="DB235">
        <v>0</v>
      </c>
    </row>
    <row r="236" spans="1:106" x14ac:dyDescent="0.2">
      <c r="A236">
        <f>ROW(Source!A88)</f>
        <v>88</v>
      </c>
      <c r="B236">
        <v>16499835</v>
      </c>
      <c r="C236">
        <v>16500238</v>
      </c>
      <c r="D236">
        <v>15170059</v>
      </c>
      <c r="E236">
        <v>1</v>
      </c>
      <c r="F236">
        <v>1</v>
      </c>
      <c r="G236">
        <v>1</v>
      </c>
      <c r="H236">
        <v>3</v>
      </c>
      <c r="I236" t="s">
        <v>822</v>
      </c>
      <c r="J236" t="s">
        <v>823</v>
      </c>
      <c r="K236" t="s">
        <v>824</v>
      </c>
      <c r="L236">
        <v>1348</v>
      </c>
      <c r="N236">
        <v>1009</v>
      </c>
      <c r="O236" t="s">
        <v>288</v>
      </c>
      <c r="P236" t="s">
        <v>288</v>
      </c>
      <c r="Q236">
        <v>1000</v>
      </c>
      <c r="W236">
        <v>0</v>
      </c>
      <c r="X236">
        <v>-1818623805</v>
      </c>
      <c r="Y236">
        <v>4.4999999999999999E-4</v>
      </c>
      <c r="AA236">
        <v>8475</v>
      </c>
      <c r="AB236">
        <v>0</v>
      </c>
      <c r="AC236">
        <v>0</v>
      </c>
      <c r="AD236">
        <v>0</v>
      </c>
      <c r="AE236">
        <v>8475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224</v>
      </c>
      <c r="AT236">
        <v>4.4999999999999999E-4</v>
      </c>
      <c r="AU236" t="s">
        <v>224</v>
      </c>
      <c r="AV236">
        <v>0</v>
      </c>
      <c r="AW236">
        <v>2</v>
      </c>
      <c r="AX236">
        <v>16500246</v>
      </c>
      <c r="AY236">
        <v>1</v>
      </c>
      <c r="AZ236">
        <v>0</v>
      </c>
      <c r="BA236">
        <v>256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Y236*Source!I88</f>
        <v>1.5975E-3</v>
      </c>
      <c r="CY236">
        <f t="shared" si="30"/>
        <v>8475</v>
      </c>
      <c r="CZ236">
        <f t="shared" si="31"/>
        <v>8475</v>
      </c>
      <c r="DA236">
        <f t="shared" si="32"/>
        <v>1</v>
      </c>
      <c r="DB236">
        <v>0</v>
      </c>
    </row>
    <row r="237" spans="1:106" x14ac:dyDescent="0.2">
      <c r="A237">
        <f>ROW(Source!A88)</f>
        <v>88</v>
      </c>
      <c r="B237">
        <v>16499835</v>
      </c>
      <c r="C237">
        <v>16500238</v>
      </c>
      <c r="D237">
        <v>15170392</v>
      </c>
      <c r="E237">
        <v>1</v>
      </c>
      <c r="F237">
        <v>1</v>
      </c>
      <c r="G237">
        <v>1</v>
      </c>
      <c r="H237">
        <v>3</v>
      </c>
      <c r="I237" t="s">
        <v>825</v>
      </c>
      <c r="J237" t="s">
        <v>826</v>
      </c>
      <c r="K237" t="s">
        <v>827</v>
      </c>
      <c r="L237">
        <v>1355</v>
      </c>
      <c r="N237">
        <v>1010</v>
      </c>
      <c r="O237" t="s">
        <v>356</v>
      </c>
      <c r="P237" t="s">
        <v>356</v>
      </c>
      <c r="Q237">
        <v>100</v>
      </c>
      <c r="W237">
        <v>0</v>
      </c>
      <c r="X237">
        <v>1825443087</v>
      </c>
      <c r="Y237">
        <v>0.66700000000000004</v>
      </c>
      <c r="AA237">
        <v>72</v>
      </c>
      <c r="AB237">
        <v>0</v>
      </c>
      <c r="AC237">
        <v>0</v>
      </c>
      <c r="AD237">
        <v>0</v>
      </c>
      <c r="AE237">
        <v>72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224</v>
      </c>
      <c r="AT237">
        <v>0.66700000000000004</v>
      </c>
      <c r="AU237" t="s">
        <v>224</v>
      </c>
      <c r="AV237">
        <v>0</v>
      </c>
      <c r="AW237">
        <v>2</v>
      </c>
      <c r="AX237">
        <v>16500247</v>
      </c>
      <c r="AY237">
        <v>1</v>
      </c>
      <c r="AZ237">
        <v>0</v>
      </c>
      <c r="BA237">
        <v>257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Y237*Source!I88</f>
        <v>2.3678500000000002</v>
      </c>
      <c r="CY237">
        <f t="shared" si="30"/>
        <v>72</v>
      </c>
      <c r="CZ237">
        <f t="shared" si="31"/>
        <v>72</v>
      </c>
      <c r="DA237">
        <f t="shared" si="32"/>
        <v>1</v>
      </c>
      <c r="DB237">
        <v>0</v>
      </c>
    </row>
    <row r="238" spans="1:106" x14ac:dyDescent="0.2">
      <c r="A238">
        <f>ROW(Source!A88)</f>
        <v>88</v>
      </c>
      <c r="B238">
        <v>16499835</v>
      </c>
      <c r="C238">
        <v>16500238</v>
      </c>
      <c r="D238">
        <v>15170411</v>
      </c>
      <c r="E238">
        <v>1</v>
      </c>
      <c r="F238">
        <v>1</v>
      </c>
      <c r="G238">
        <v>1</v>
      </c>
      <c r="H238">
        <v>3</v>
      </c>
      <c r="I238" t="s">
        <v>828</v>
      </c>
      <c r="J238" t="s">
        <v>829</v>
      </c>
      <c r="K238" t="s">
        <v>830</v>
      </c>
      <c r="L238">
        <v>1358</v>
      </c>
      <c r="N238">
        <v>1010</v>
      </c>
      <c r="O238" t="s">
        <v>831</v>
      </c>
      <c r="P238" t="s">
        <v>831</v>
      </c>
      <c r="Q238">
        <v>10</v>
      </c>
      <c r="W238">
        <v>0</v>
      </c>
      <c r="X238">
        <v>-1218181071</v>
      </c>
      <c r="Y238">
        <v>100.8</v>
      </c>
      <c r="AA238">
        <v>58.51</v>
      </c>
      <c r="AB238">
        <v>0</v>
      </c>
      <c r="AC238">
        <v>0</v>
      </c>
      <c r="AD238">
        <v>0</v>
      </c>
      <c r="AE238">
        <v>58.51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224</v>
      </c>
      <c r="AT238">
        <v>100.8</v>
      </c>
      <c r="AU238" t="s">
        <v>224</v>
      </c>
      <c r="AV238">
        <v>0</v>
      </c>
      <c r="AW238">
        <v>2</v>
      </c>
      <c r="AX238">
        <v>16500248</v>
      </c>
      <c r="AY238">
        <v>1</v>
      </c>
      <c r="AZ238">
        <v>0</v>
      </c>
      <c r="BA238">
        <v>258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Y238*Source!I88</f>
        <v>357.84</v>
      </c>
      <c r="CY238">
        <f t="shared" si="30"/>
        <v>58.51</v>
      </c>
      <c r="CZ238">
        <f t="shared" si="31"/>
        <v>58.51</v>
      </c>
      <c r="DA238">
        <f t="shared" si="32"/>
        <v>1</v>
      </c>
      <c r="DB238">
        <v>0</v>
      </c>
    </row>
    <row r="239" spans="1:106" x14ac:dyDescent="0.2">
      <c r="A239">
        <f>ROW(Source!A88)</f>
        <v>88</v>
      </c>
      <c r="B239">
        <v>16499835</v>
      </c>
      <c r="C239">
        <v>16500238</v>
      </c>
      <c r="D239">
        <v>15195779</v>
      </c>
      <c r="E239">
        <v>1</v>
      </c>
      <c r="F239">
        <v>1</v>
      </c>
      <c r="G239">
        <v>1</v>
      </c>
      <c r="H239">
        <v>3</v>
      </c>
      <c r="I239" t="s">
        <v>832</v>
      </c>
      <c r="J239" t="s">
        <v>833</v>
      </c>
      <c r="K239" t="s">
        <v>834</v>
      </c>
      <c r="L239">
        <v>1339</v>
      </c>
      <c r="N239">
        <v>1007</v>
      </c>
      <c r="O239" t="s">
        <v>691</v>
      </c>
      <c r="P239" t="s">
        <v>691</v>
      </c>
      <c r="Q239">
        <v>1</v>
      </c>
      <c r="W239">
        <v>0</v>
      </c>
      <c r="X239">
        <v>-960276570</v>
      </c>
      <c r="Y239">
        <v>0.46</v>
      </c>
      <c r="AA239">
        <v>1631.22</v>
      </c>
      <c r="AB239">
        <v>0</v>
      </c>
      <c r="AC239">
        <v>0</v>
      </c>
      <c r="AD239">
        <v>0</v>
      </c>
      <c r="AE239">
        <v>1631.22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224</v>
      </c>
      <c r="AT239">
        <v>0.46</v>
      </c>
      <c r="AU239" t="s">
        <v>224</v>
      </c>
      <c r="AV239">
        <v>0</v>
      </c>
      <c r="AW239">
        <v>2</v>
      </c>
      <c r="AX239">
        <v>16500250</v>
      </c>
      <c r="AY239">
        <v>1</v>
      </c>
      <c r="AZ239">
        <v>0</v>
      </c>
      <c r="BA239">
        <v>260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Y239*Source!I88</f>
        <v>1.633</v>
      </c>
      <c r="CY239">
        <f t="shared" si="30"/>
        <v>1631.22</v>
      </c>
      <c r="CZ239">
        <f t="shared" si="31"/>
        <v>1631.22</v>
      </c>
      <c r="DA239">
        <f t="shared" si="32"/>
        <v>1</v>
      </c>
      <c r="DB239">
        <v>0</v>
      </c>
    </row>
    <row r="240" spans="1:106" x14ac:dyDescent="0.2">
      <c r="A240">
        <f>ROW(Source!A88)</f>
        <v>88</v>
      </c>
      <c r="B240">
        <v>16499835</v>
      </c>
      <c r="C240">
        <v>16500238</v>
      </c>
      <c r="D240">
        <v>15195942</v>
      </c>
      <c r="E240">
        <v>1</v>
      </c>
      <c r="F240">
        <v>1</v>
      </c>
      <c r="G240">
        <v>1</v>
      </c>
      <c r="H240">
        <v>3</v>
      </c>
      <c r="I240" t="s">
        <v>835</v>
      </c>
      <c r="J240" t="s">
        <v>836</v>
      </c>
      <c r="K240" t="s">
        <v>837</v>
      </c>
      <c r="L240">
        <v>1339</v>
      </c>
      <c r="N240">
        <v>1007</v>
      </c>
      <c r="O240" t="s">
        <v>691</v>
      </c>
      <c r="P240" t="s">
        <v>691</v>
      </c>
      <c r="Q240">
        <v>1</v>
      </c>
      <c r="W240">
        <v>0</v>
      </c>
      <c r="X240">
        <v>-981885452</v>
      </c>
      <c r="Y240">
        <v>1.47</v>
      </c>
      <c r="AA240">
        <v>1611.84</v>
      </c>
      <c r="AB240">
        <v>0</v>
      </c>
      <c r="AC240">
        <v>0</v>
      </c>
      <c r="AD240">
        <v>0</v>
      </c>
      <c r="AE240">
        <v>1611.84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224</v>
      </c>
      <c r="AT240">
        <v>1.47</v>
      </c>
      <c r="AU240" t="s">
        <v>224</v>
      </c>
      <c r="AV240">
        <v>0</v>
      </c>
      <c r="AW240">
        <v>2</v>
      </c>
      <c r="AX240">
        <v>16500251</v>
      </c>
      <c r="AY240">
        <v>1</v>
      </c>
      <c r="AZ240">
        <v>0</v>
      </c>
      <c r="BA240">
        <v>261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Y240*Source!I88</f>
        <v>5.2184999999999997</v>
      </c>
      <c r="CY240">
        <f t="shared" si="30"/>
        <v>1611.84</v>
      </c>
      <c r="CZ240">
        <f t="shared" si="31"/>
        <v>1611.84</v>
      </c>
      <c r="DA240">
        <f t="shared" si="32"/>
        <v>1</v>
      </c>
      <c r="DB240">
        <v>0</v>
      </c>
    </row>
    <row r="241" spans="1:106" x14ac:dyDescent="0.2">
      <c r="A241">
        <f>ROW(Source!A88)</f>
        <v>88</v>
      </c>
      <c r="B241">
        <v>16499835</v>
      </c>
      <c r="C241">
        <v>16500238</v>
      </c>
      <c r="D241">
        <v>15198028</v>
      </c>
      <c r="E241">
        <v>1</v>
      </c>
      <c r="F241">
        <v>1</v>
      </c>
      <c r="G241">
        <v>1</v>
      </c>
      <c r="H241">
        <v>3</v>
      </c>
      <c r="I241" t="s">
        <v>838</v>
      </c>
      <c r="J241" t="s">
        <v>839</v>
      </c>
      <c r="K241" t="s">
        <v>840</v>
      </c>
      <c r="L241">
        <v>1327</v>
      </c>
      <c r="N241">
        <v>1005</v>
      </c>
      <c r="O241" t="s">
        <v>277</v>
      </c>
      <c r="P241" t="s">
        <v>277</v>
      </c>
      <c r="Q241">
        <v>1</v>
      </c>
      <c r="W241">
        <v>0</v>
      </c>
      <c r="X241">
        <v>213052973</v>
      </c>
      <c r="Y241">
        <v>116</v>
      </c>
      <c r="AA241">
        <v>12.37</v>
      </c>
      <c r="AB241">
        <v>0</v>
      </c>
      <c r="AC241">
        <v>0</v>
      </c>
      <c r="AD241">
        <v>0</v>
      </c>
      <c r="AE241">
        <v>12.37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224</v>
      </c>
      <c r="AT241">
        <v>116</v>
      </c>
      <c r="AU241" t="s">
        <v>224</v>
      </c>
      <c r="AV241">
        <v>0</v>
      </c>
      <c r="AW241">
        <v>2</v>
      </c>
      <c r="AX241">
        <v>16500252</v>
      </c>
      <c r="AY241">
        <v>1</v>
      </c>
      <c r="AZ241">
        <v>0</v>
      </c>
      <c r="BA241">
        <v>262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Y241*Source!I88</f>
        <v>411.79999999999995</v>
      </c>
      <c r="CY241">
        <f t="shared" si="30"/>
        <v>12.37</v>
      </c>
      <c r="CZ241">
        <f t="shared" si="31"/>
        <v>12.37</v>
      </c>
      <c r="DA241">
        <f t="shared" si="32"/>
        <v>1</v>
      </c>
      <c r="DB241">
        <v>0</v>
      </c>
    </row>
    <row r="242" spans="1:106" x14ac:dyDescent="0.2">
      <c r="A242">
        <f>ROW(Source!A88)</f>
        <v>88</v>
      </c>
      <c r="B242">
        <v>16499835</v>
      </c>
      <c r="C242">
        <v>16500238</v>
      </c>
      <c r="D242">
        <v>15198456</v>
      </c>
      <c r="E242">
        <v>1</v>
      </c>
      <c r="F242">
        <v>1</v>
      </c>
      <c r="G242">
        <v>1</v>
      </c>
      <c r="H242">
        <v>3</v>
      </c>
      <c r="I242" t="s">
        <v>841</v>
      </c>
      <c r="J242" t="s">
        <v>842</v>
      </c>
      <c r="K242" t="s">
        <v>843</v>
      </c>
      <c r="L242">
        <v>1327</v>
      </c>
      <c r="N242">
        <v>1005</v>
      </c>
      <c r="O242" t="s">
        <v>277</v>
      </c>
      <c r="P242" t="s">
        <v>277</v>
      </c>
      <c r="Q242">
        <v>1</v>
      </c>
      <c r="W242">
        <v>0</v>
      </c>
      <c r="X242">
        <v>1398680772</v>
      </c>
      <c r="Y242">
        <v>3.62</v>
      </c>
      <c r="AA242">
        <v>6.22</v>
      </c>
      <c r="AB242">
        <v>0</v>
      </c>
      <c r="AC242">
        <v>0</v>
      </c>
      <c r="AD242">
        <v>0</v>
      </c>
      <c r="AE242">
        <v>6.22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224</v>
      </c>
      <c r="AT242">
        <v>3.62</v>
      </c>
      <c r="AU242" t="s">
        <v>224</v>
      </c>
      <c r="AV242">
        <v>0</v>
      </c>
      <c r="AW242">
        <v>2</v>
      </c>
      <c r="AX242">
        <v>16500253</v>
      </c>
      <c r="AY242">
        <v>1</v>
      </c>
      <c r="AZ242">
        <v>0</v>
      </c>
      <c r="BA242">
        <v>263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Y242*Source!I88</f>
        <v>12.850999999999999</v>
      </c>
      <c r="CY242">
        <f t="shared" si="30"/>
        <v>6.22</v>
      </c>
      <c r="CZ242">
        <f t="shared" si="31"/>
        <v>6.22</v>
      </c>
      <c r="DA242">
        <f t="shared" si="32"/>
        <v>1</v>
      </c>
      <c r="DB242">
        <v>0</v>
      </c>
    </row>
    <row r="243" spans="1:106" x14ac:dyDescent="0.2">
      <c r="A243">
        <f>ROW(Source!A88)</f>
        <v>88</v>
      </c>
      <c r="B243">
        <v>16499835</v>
      </c>
      <c r="C243">
        <v>16500238</v>
      </c>
      <c r="D243">
        <v>15198487</v>
      </c>
      <c r="E243">
        <v>1</v>
      </c>
      <c r="F243">
        <v>1</v>
      </c>
      <c r="G243">
        <v>1</v>
      </c>
      <c r="H243">
        <v>3</v>
      </c>
      <c r="I243" t="s">
        <v>389</v>
      </c>
      <c r="J243" t="s">
        <v>391</v>
      </c>
      <c r="K243" t="s">
        <v>390</v>
      </c>
      <c r="L243">
        <v>1327</v>
      </c>
      <c r="N243">
        <v>1005</v>
      </c>
      <c r="O243" t="s">
        <v>277</v>
      </c>
      <c r="P243" t="s">
        <v>277</v>
      </c>
      <c r="Q243">
        <v>1</v>
      </c>
      <c r="W243">
        <v>0</v>
      </c>
      <c r="X243">
        <v>-1534712107</v>
      </c>
      <c r="Y243">
        <v>126</v>
      </c>
      <c r="AA243">
        <v>102.93</v>
      </c>
      <c r="AB243">
        <v>0</v>
      </c>
      <c r="AC243">
        <v>0</v>
      </c>
      <c r="AD243">
        <v>0</v>
      </c>
      <c r="AE243">
        <v>102.93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224</v>
      </c>
      <c r="AT243">
        <v>126</v>
      </c>
      <c r="AU243" t="s">
        <v>224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224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Y243*Source!I88</f>
        <v>447.29999999999995</v>
      </c>
      <c r="CY243">
        <f t="shared" si="30"/>
        <v>102.93</v>
      </c>
      <c r="CZ243">
        <f t="shared" si="31"/>
        <v>102.93</v>
      </c>
      <c r="DA243">
        <f t="shared" si="32"/>
        <v>1</v>
      </c>
      <c r="DB243">
        <v>0</v>
      </c>
    </row>
    <row r="244" spans="1:106" x14ac:dyDescent="0.2">
      <c r="A244">
        <f>ROW(Source!A88)</f>
        <v>88</v>
      </c>
      <c r="B244">
        <v>16499835</v>
      </c>
      <c r="C244">
        <v>16500238</v>
      </c>
      <c r="D244">
        <v>15198820</v>
      </c>
      <c r="E244">
        <v>1</v>
      </c>
      <c r="F244">
        <v>1</v>
      </c>
      <c r="G244">
        <v>1</v>
      </c>
      <c r="H244">
        <v>3</v>
      </c>
      <c r="I244" t="s">
        <v>844</v>
      </c>
      <c r="J244" t="s">
        <v>0</v>
      </c>
      <c r="K244" t="s">
        <v>1</v>
      </c>
      <c r="L244">
        <v>1339</v>
      </c>
      <c r="N244">
        <v>1007</v>
      </c>
      <c r="O244" t="s">
        <v>691</v>
      </c>
      <c r="P244" t="s">
        <v>691</v>
      </c>
      <c r="Q244">
        <v>1</v>
      </c>
      <c r="W244">
        <v>0</v>
      </c>
      <c r="X244">
        <v>536171515</v>
      </c>
      <c r="Y244">
        <v>0.31</v>
      </c>
      <c r="AA244">
        <v>200</v>
      </c>
      <c r="AB244">
        <v>0</v>
      </c>
      <c r="AC244">
        <v>0</v>
      </c>
      <c r="AD244">
        <v>0</v>
      </c>
      <c r="AE244">
        <v>200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224</v>
      </c>
      <c r="AT244">
        <v>0.31</v>
      </c>
      <c r="AU244" t="s">
        <v>224</v>
      </c>
      <c r="AV244">
        <v>0</v>
      </c>
      <c r="AW244">
        <v>2</v>
      </c>
      <c r="AX244">
        <v>16500255</v>
      </c>
      <c r="AY244">
        <v>1</v>
      </c>
      <c r="AZ244">
        <v>0</v>
      </c>
      <c r="BA244">
        <v>265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Y244*Source!I88</f>
        <v>1.1005</v>
      </c>
      <c r="CY244">
        <f t="shared" si="30"/>
        <v>200</v>
      </c>
      <c r="CZ244">
        <f t="shared" si="31"/>
        <v>200</v>
      </c>
      <c r="DA244">
        <f t="shared" si="32"/>
        <v>1</v>
      </c>
      <c r="DB244">
        <v>0</v>
      </c>
    </row>
    <row r="245" spans="1:106" x14ac:dyDescent="0.2">
      <c r="A245">
        <f>ROW(Source!A88)</f>
        <v>88</v>
      </c>
      <c r="B245">
        <v>16499835</v>
      </c>
      <c r="C245">
        <v>16500238</v>
      </c>
      <c r="D245">
        <v>15203713</v>
      </c>
      <c r="E245">
        <v>1</v>
      </c>
      <c r="F245">
        <v>1</v>
      </c>
      <c r="G245">
        <v>1</v>
      </c>
      <c r="H245">
        <v>3</v>
      </c>
      <c r="I245" t="s">
        <v>2</v>
      </c>
      <c r="J245" t="s">
        <v>3</v>
      </c>
      <c r="K245" t="s">
        <v>4</v>
      </c>
      <c r="L245">
        <v>1348</v>
      </c>
      <c r="N245">
        <v>1009</v>
      </c>
      <c r="O245" t="s">
        <v>288</v>
      </c>
      <c r="P245" t="s">
        <v>288</v>
      </c>
      <c r="Q245">
        <v>1000</v>
      </c>
      <c r="W245">
        <v>0</v>
      </c>
      <c r="X245">
        <v>1843000216</v>
      </c>
      <c r="Y245">
        <v>2.7000000000000001E-3</v>
      </c>
      <c r="AA245">
        <v>15707</v>
      </c>
      <c r="AB245">
        <v>0</v>
      </c>
      <c r="AC245">
        <v>0</v>
      </c>
      <c r="AD245">
        <v>0</v>
      </c>
      <c r="AE245">
        <v>15707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224</v>
      </c>
      <c r="AT245">
        <v>2.7000000000000001E-3</v>
      </c>
      <c r="AU245" t="s">
        <v>224</v>
      </c>
      <c r="AV245">
        <v>0</v>
      </c>
      <c r="AW245">
        <v>2</v>
      </c>
      <c r="AX245">
        <v>16500256</v>
      </c>
      <c r="AY245">
        <v>1</v>
      </c>
      <c r="AZ245">
        <v>0</v>
      </c>
      <c r="BA245">
        <v>266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Y245*Source!I88</f>
        <v>9.5849999999999998E-3</v>
      </c>
      <c r="CY245">
        <f t="shared" si="30"/>
        <v>15707</v>
      </c>
      <c r="CZ245">
        <f t="shared" si="31"/>
        <v>15707</v>
      </c>
      <c r="DA245">
        <f t="shared" si="32"/>
        <v>1</v>
      </c>
      <c r="DB245">
        <v>0</v>
      </c>
    </row>
    <row r="246" spans="1:106" x14ac:dyDescent="0.2">
      <c r="A246">
        <f>ROW(Source!A88)</f>
        <v>88</v>
      </c>
      <c r="B246">
        <v>16499835</v>
      </c>
      <c r="C246">
        <v>16500238</v>
      </c>
      <c r="D246">
        <v>15204294</v>
      </c>
      <c r="E246">
        <v>1</v>
      </c>
      <c r="F246">
        <v>1</v>
      </c>
      <c r="G246">
        <v>1</v>
      </c>
      <c r="H246">
        <v>3</v>
      </c>
      <c r="I246" t="s">
        <v>5</v>
      </c>
      <c r="J246" t="s">
        <v>6</v>
      </c>
      <c r="K246" t="s">
        <v>7</v>
      </c>
      <c r="L246">
        <v>1296</v>
      </c>
      <c r="N246">
        <v>1002</v>
      </c>
      <c r="O246" t="s">
        <v>8</v>
      </c>
      <c r="P246" t="s">
        <v>8</v>
      </c>
      <c r="Q246">
        <v>1</v>
      </c>
      <c r="W246">
        <v>0</v>
      </c>
      <c r="X246">
        <v>384114285</v>
      </c>
      <c r="Y246">
        <v>0.75</v>
      </c>
      <c r="AA246">
        <v>76.8</v>
      </c>
      <c r="AB246">
        <v>0</v>
      </c>
      <c r="AC246">
        <v>0</v>
      </c>
      <c r="AD246">
        <v>0</v>
      </c>
      <c r="AE246">
        <v>76.8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224</v>
      </c>
      <c r="AT246">
        <v>0.75</v>
      </c>
      <c r="AU246" t="s">
        <v>224</v>
      </c>
      <c r="AV246">
        <v>0</v>
      </c>
      <c r="AW246">
        <v>2</v>
      </c>
      <c r="AX246">
        <v>16500257</v>
      </c>
      <c r="AY246">
        <v>1</v>
      </c>
      <c r="AZ246">
        <v>0</v>
      </c>
      <c r="BA246">
        <v>267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Y246*Source!I88</f>
        <v>2.6624999999999996</v>
      </c>
      <c r="CY246">
        <f t="shared" si="30"/>
        <v>76.8</v>
      </c>
      <c r="CZ246">
        <f t="shared" si="31"/>
        <v>76.8</v>
      </c>
      <c r="DA246">
        <f t="shared" si="32"/>
        <v>1</v>
      </c>
      <c r="DB246">
        <v>0</v>
      </c>
    </row>
    <row r="247" spans="1:106" x14ac:dyDescent="0.2">
      <c r="A247">
        <f>ROW(Source!A89)</f>
        <v>89</v>
      </c>
      <c r="B247">
        <v>16499878</v>
      </c>
      <c r="C247">
        <v>16500238</v>
      </c>
      <c r="D247">
        <v>15430397</v>
      </c>
      <c r="E247">
        <v>1</v>
      </c>
      <c r="F247">
        <v>1</v>
      </c>
      <c r="G247">
        <v>1</v>
      </c>
      <c r="H247">
        <v>1</v>
      </c>
      <c r="I247" t="s">
        <v>739</v>
      </c>
      <c r="J247" t="s">
        <v>224</v>
      </c>
      <c r="K247" t="s">
        <v>740</v>
      </c>
      <c r="L247">
        <v>1191</v>
      </c>
      <c r="N247">
        <v>1013</v>
      </c>
      <c r="O247" t="s">
        <v>628</v>
      </c>
      <c r="P247" t="s">
        <v>628</v>
      </c>
      <c r="Q247">
        <v>1</v>
      </c>
      <c r="W247">
        <v>0</v>
      </c>
      <c r="X247">
        <v>-1081351934</v>
      </c>
      <c r="Y247">
        <v>199.95049999999998</v>
      </c>
      <c r="AA247">
        <v>0</v>
      </c>
      <c r="AB247">
        <v>0</v>
      </c>
      <c r="AC247">
        <v>0</v>
      </c>
      <c r="AD247">
        <v>57.15</v>
      </c>
      <c r="AE247">
        <v>0</v>
      </c>
      <c r="AF247">
        <v>0</v>
      </c>
      <c r="AG247">
        <v>0</v>
      </c>
      <c r="AH247">
        <v>9.4</v>
      </c>
      <c r="AI247">
        <v>1</v>
      </c>
      <c r="AJ247">
        <v>1</v>
      </c>
      <c r="AK247">
        <v>1</v>
      </c>
      <c r="AL247">
        <v>6.08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224</v>
      </c>
      <c r="AT247">
        <v>173.87</v>
      </c>
      <c r="AU247" t="s">
        <v>240</v>
      </c>
      <c r="AV247">
        <v>1</v>
      </c>
      <c r="AW247">
        <v>2</v>
      </c>
      <c r="AX247">
        <v>16500239</v>
      </c>
      <c r="AY247">
        <v>1</v>
      </c>
      <c r="AZ247">
        <v>0</v>
      </c>
      <c r="BA247">
        <v>268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Y247*Source!I89</f>
        <v>709.82427499999983</v>
      </c>
      <c r="CY247">
        <f>AD247</f>
        <v>57.15</v>
      </c>
      <c r="CZ247">
        <f>AH247</f>
        <v>9.4</v>
      </c>
      <c r="DA247">
        <f>AL247</f>
        <v>6.08</v>
      </c>
      <c r="DB247">
        <v>0</v>
      </c>
    </row>
    <row r="248" spans="1:106" x14ac:dyDescent="0.2">
      <c r="A248">
        <f>ROW(Source!A89)</f>
        <v>89</v>
      </c>
      <c r="B248">
        <v>16499878</v>
      </c>
      <c r="C248">
        <v>16500238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629</v>
      </c>
      <c r="J248" t="s">
        <v>224</v>
      </c>
      <c r="K248" t="s">
        <v>630</v>
      </c>
      <c r="L248">
        <v>1191</v>
      </c>
      <c r="N248">
        <v>1013</v>
      </c>
      <c r="O248" t="s">
        <v>628</v>
      </c>
      <c r="P248" t="s">
        <v>628</v>
      </c>
      <c r="Q248">
        <v>1</v>
      </c>
      <c r="W248">
        <v>0</v>
      </c>
      <c r="X248">
        <v>-1417349443</v>
      </c>
      <c r="Y248">
        <v>3.21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6.08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224</v>
      </c>
      <c r="AT248">
        <v>3.21</v>
      </c>
      <c r="AU248" t="s">
        <v>224</v>
      </c>
      <c r="AV248">
        <v>2</v>
      </c>
      <c r="AW248">
        <v>2</v>
      </c>
      <c r="AX248">
        <v>16500240</v>
      </c>
      <c r="AY248">
        <v>1</v>
      </c>
      <c r="AZ248">
        <v>2048</v>
      </c>
      <c r="BA248">
        <v>269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Y248*Source!I89</f>
        <v>11.3955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ROW(Source!A89)</f>
        <v>89</v>
      </c>
      <c r="B249">
        <v>16499878</v>
      </c>
      <c r="C249">
        <v>16500238</v>
      </c>
      <c r="D249">
        <v>15247680</v>
      </c>
      <c r="E249">
        <v>1</v>
      </c>
      <c r="F249">
        <v>1</v>
      </c>
      <c r="G249">
        <v>1</v>
      </c>
      <c r="H249">
        <v>2</v>
      </c>
      <c r="I249" t="s">
        <v>670</v>
      </c>
      <c r="J249" t="s">
        <v>671</v>
      </c>
      <c r="K249" t="s">
        <v>672</v>
      </c>
      <c r="L249">
        <v>1368</v>
      </c>
      <c r="N249">
        <v>1011</v>
      </c>
      <c r="O249" t="s">
        <v>634</v>
      </c>
      <c r="P249" t="s">
        <v>634</v>
      </c>
      <c r="Q249">
        <v>1</v>
      </c>
      <c r="W249">
        <v>0</v>
      </c>
      <c r="X249">
        <v>-1718674368</v>
      </c>
      <c r="Y249">
        <v>2.1</v>
      </c>
      <c r="AA249">
        <v>0</v>
      </c>
      <c r="AB249">
        <v>680.9</v>
      </c>
      <c r="AC249">
        <v>13.5</v>
      </c>
      <c r="AD249">
        <v>0</v>
      </c>
      <c r="AE249">
        <v>0</v>
      </c>
      <c r="AF249">
        <v>111.99</v>
      </c>
      <c r="AG249">
        <v>13.5</v>
      </c>
      <c r="AH249">
        <v>0</v>
      </c>
      <c r="AI249">
        <v>1</v>
      </c>
      <c r="AJ249">
        <v>6.08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224</v>
      </c>
      <c r="AT249">
        <v>1.68</v>
      </c>
      <c r="AU249" t="s">
        <v>239</v>
      </c>
      <c r="AV249">
        <v>0</v>
      </c>
      <c r="AW249">
        <v>2</v>
      </c>
      <c r="AX249">
        <v>16500241</v>
      </c>
      <c r="AY249">
        <v>1</v>
      </c>
      <c r="AZ249">
        <v>0</v>
      </c>
      <c r="BA249">
        <v>270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Y249*Source!I89</f>
        <v>7.4550000000000001</v>
      </c>
      <c r="CY249">
        <f>AB249</f>
        <v>680.9</v>
      </c>
      <c r="CZ249">
        <f>AF249</f>
        <v>111.99</v>
      </c>
      <c r="DA249">
        <f>AJ249</f>
        <v>6.08</v>
      </c>
      <c r="DB249">
        <v>0</v>
      </c>
    </row>
    <row r="250" spans="1:106" x14ac:dyDescent="0.2">
      <c r="A250">
        <f>ROW(Source!A89)</f>
        <v>89</v>
      </c>
      <c r="B250">
        <v>16499878</v>
      </c>
      <c r="C250">
        <v>16500238</v>
      </c>
      <c r="D250">
        <v>15249073</v>
      </c>
      <c r="E250">
        <v>1</v>
      </c>
      <c r="F250">
        <v>1</v>
      </c>
      <c r="G250">
        <v>1</v>
      </c>
      <c r="H250">
        <v>2</v>
      </c>
      <c r="I250" t="s">
        <v>631</v>
      </c>
      <c r="J250" t="s">
        <v>632</v>
      </c>
      <c r="K250" t="s">
        <v>633</v>
      </c>
      <c r="L250">
        <v>1368</v>
      </c>
      <c r="N250">
        <v>1011</v>
      </c>
      <c r="O250" t="s">
        <v>634</v>
      </c>
      <c r="P250" t="s">
        <v>634</v>
      </c>
      <c r="Q250">
        <v>1</v>
      </c>
      <c r="W250">
        <v>0</v>
      </c>
      <c r="X250">
        <v>1372534845</v>
      </c>
      <c r="Y250">
        <v>1.9125000000000001</v>
      </c>
      <c r="AA250">
        <v>0</v>
      </c>
      <c r="AB250">
        <v>399.52</v>
      </c>
      <c r="AC250">
        <v>11.6</v>
      </c>
      <c r="AD250">
        <v>0</v>
      </c>
      <c r="AE250">
        <v>0</v>
      </c>
      <c r="AF250">
        <v>65.709999999999994</v>
      </c>
      <c r="AG250">
        <v>11.6</v>
      </c>
      <c r="AH250">
        <v>0</v>
      </c>
      <c r="AI250">
        <v>1</v>
      </c>
      <c r="AJ250">
        <v>6.08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224</v>
      </c>
      <c r="AT250">
        <v>1.53</v>
      </c>
      <c r="AU250" t="s">
        <v>239</v>
      </c>
      <c r="AV250">
        <v>0</v>
      </c>
      <c r="AW250">
        <v>2</v>
      </c>
      <c r="AX250">
        <v>16500242</v>
      </c>
      <c r="AY250">
        <v>1</v>
      </c>
      <c r="AZ250">
        <v>0</v>
      </c>
      <c r="BA250">
        <v>271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Y250*Source!I89</f>
        <v>6.7893749999999997</v>
      </c>
      <c r="CY250">
        <f>AB250</f>
        <v>399.52</v>
      </c>
      <c r="CZ250">
        <f>AF250</f>
        <v>65.709999999999994</v>
      </c>
      <c r="DA250">
        <f>AJ250</f>
        <v>6.08</v>
      </c>
      <c r="DB250">
        <v>0</v>
      </c>
    </row>
    <row r="251" spans="1:106" x14ac:dyDescent="0.2">
      <c r="A251">
        <f>ROW(Source!A89)</f>
        <v>89</v>
      </c>
      <c r="B251">
        <v>16499878</v>
      </c>
      <c r="C251">
        <v>16500238</v>
      </c>
      <c r="D251">
        <v>15250017</v>
      </c>
      <c r="E251">
        <v>1</v>
      </c>
      <c r="F251">
        <v>1</v>
      </c>
      <c r="G251">
        <v>1</v>
      </c>
      <c r="H251">
        <v>2</v>
      </c>
      <c r="I251" t="s">
        <v>813</v>
      </c>
      <c r="J251" t="s">
        <v>814</v>
      </c>
      <c r="K251" t="s">
        <v>815</v>
      </c>
      <c r="L251">
        <v>1368</v>
      </c>
      <c r="N251">
        <v>1011</v>
      </c>
      <c r="O251" t="s">
        <v>634</v>
      </c>
      <c r="P251" t="s">
        <v>634</v>
      </c>
      <c r="Q251">
        <v>1</v>
      </c>
      <c r="W251">
        <v>0</v>
      </c>
      <c r="X251">
        <v>612354663</v>
      </c>
      <c r="Y251">
        <v>11.574999999999999</v>
      </c>
      <c r="AA251">
        <v>0</v>
      </c>
      <c r="AB251">
        <v>204.23</v>
      </c>
      <c r="AC251">
        <v>0</v>
      </c>
      <c r="AD251">
        <v>0</v>
      </c>
      <c r="AE251">
        <v>0</v>
      </c>
      <c r="AF251">
        <v>33.590000000000003</v>
      </c>
      <c r="AG251">
        <v>0</v>
      </c>
      <c r="AH251">
        <v>0</v>
      </c>
      <c r="AI251">
        <v>1</v>
      </c>
      <c r="AJ251">
        <v>6.08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224</v>
      </c>
      <c r="AT251">
        <v>9.26</v>
      </c>
      <c r="AU251" t="s">
        <v>239</v>
      </c>
      <c r="AV251">
        <v>0</v>
      </c>
      <c r="AW251">
        <v>2</v>
      </c>
      <c r="AX251">
        <v>16500243</v>
      </c>
      <c r="AY251">
        <v>1</v>
      </c>
      <c r="AZ251">
        <v>0</v>
      </c>
      <c r="BA251">
        <v>272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Y251*Source!I89</f>
        <v>41.091249999999995</v>
      </c>
      <c r="CY251">
        <f>AB251</f>
        <v>204.23</v>
      </c>
      <c r="CZ251">
        <f>AF251</f>
        <v>33.590000000000003</v>
      </c>
      <c r="DA251">
        <f>AJ251</f>
        <v>6.08</v>
      </c>
      <c r="DB251">
        <v>0</v>
      </c>
    </row>
    <row r="252" spans="1:106" x14ac:dyDescent="0.2">
      <c r="A252">
        <f>ROW(Source!A89)</f>
        <v>89</v>
      </c>
      <c r="B252">
        <v>16499878</v>
      </c>
      <c r="C252">
        <v>16500238</v>
      </c>
      <c r="D252">
        <v>15169965</v>
      </c>
      <c r="E252">
        <v>1</v>
      </c>
      <c r="F252">
        <v>1</v>
      </c>
      <c r="G252">
        <v>1</v>
      </c>
      <c r="H252">
        <v>3</v>
      </c>
      <c r="I252" t="s">
        <v>816</v>
      </c>
      <c r="J252" t="s">
        <v>817</v>
      </c>
      <c r="K252" t="s">
        <v>818</v>
      </c>
      <c r="L252">
        <v>1348</v>
      </c>
      <c r="N252">
        <v>1009</v>
      </c>
      <c r="O252" t="s">
        <v>288</v>
      </c>
      <c r="P252" t="s">
        <v>288</v>
      </c>
      <c r="Q252">
        <v>1000</v>
      </c>
      <c r="W252">
        <v>0</v>
      </c>
      <c r="X252">
        <v>-1153500951</v>
      </c>
      <c r="Y252">
        <v>1.4E-3</v>
      </c>
      <c r="AA252">
        <v>152608</v>
      </c>
      <c r="AB252">
        <v>0</v>
      </c>
      <c r="AC252">
        <v>0</v>
      </c>
      <c r="AD252">
        <v>0</v>
      </c>
      <c r="AE252">
        <v>25100</v>
      </c>
      <c r="AF252">
        <v>0</v>
      </c>
      <c r="AG252">
        <v>0</v>
      </c>
      <c r="AH252">
        <v>0</v>
      </c>
      <c r="AI252">
        <v>6.08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224</v>
      </c>
      <c r="AT252">
        <v>1.4E-3</v>
      </c>
      <c r="AU252" t="s">
        <v>224</v>
      </c>
      <c r="AV252">
        <v>0</v>
      </c>
      <c r="AW252">
        <v>2</v>
      </c>
      <c r="AX252">
        <v>16500244</v>
      </c>
      <c r="AY252">
        <v>1</v>
      </c>
      <c r="AZ252">
        <v>0</v>
      </c>
      <c r="BA252">
        <v>273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Y252*Source!I89</f>
        <v>4.9699999999999996E-3</v>
      </c>
      <c r="CY252">
        <f t="shared" ref="CY252:CY264" si="33">AA252</f>
        <v>152608</v>
      </c>
      <c r="CZ252">
        <f t="shared" ref="CZ252:CZ264" si="34">AE252</f>
        <v>25100</v>
      </c>
      <c r="DA252">
        <f t="shared" ref="DA252:DA264" si="35">AI252</f>
        <v>6.08</v>
      </c>
      <c r="DB252">
        <v>0</v>
      </c>
    </row>
    <row r="253" spans="1:106" x14ac:dyDescent="0.2">
      <c r="A253">
        <f>ROW(Source!A89)</f>
        <v>89</v>
      </c>
      <c r="B253">
        <v>16499878</v>
      </c>
      <c r="C253">
        <v>16500238</v>
      </c>
      <c r="D253">
        <v>15170031</v>
      </c>
      <c r="E253">
        <v>1</v>
      </c>
      <c r="F253">
        <v>1</v>
      </c>
      <c r="G253">
        <v>1</v>
      </c>
      <c r="H253">
        <v>3</v>
      </c>
      <c r="I253" t="s">
        <v>819</v>
      </c>
      <c r="J253" t="s">
        <v>820</v>
      </c>
      <c r="K253" t="s">
        <v>821</v>
      </c>
      <c r="L253">
        <v>1348</v>
      </c>
      <c r="N253">
        <v>1009</v>
      </c>
      <c r="O253" t="s">
        <v>288</v>
      </c>
      <c r="P253" t="s">
        <v>288</v>
      </c>
      <c r="Q253">
        <v>1000</v>
      </c>
      <c r="W253">
        <v>0</v>
      </c>
      <c r="X253">
        <v>1521545007</v>
      </c>
      <c r="Y253">
        <v>1.12E-2</v>
      </c>
      <c r="AA253">
        <v>92877.72</v>
      </c>
      <c r="AB253">
        <v>0</v>
      </c>
      <c r="AC253">
        <v>0</v>
      </c>
      <c r="AD253">
        <v>0</v>
      </c>
      <c r="AE253">
        <v>15275.94</v>
      </c>
      <c r="AF253">
        <v>0</v>
      </c>
      <c r="AG253">
        <v>0</v>
      </c>
      <c r="AH253">
        <v>0</v>
      </c>
      <c r="AI253">
        <v>6.08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224</v>
      </c>
      <c r="AT253">
        <v>1.12E-2</v>
      </c>
      <c r="AU253" t="s">
        <v>224</v>
      </c>
      <c r="AV253">
        <v>0</v>
      </c>
      <c r="AW253">
        <v>2</v>
      </c>
      <c r="AX253">
        <v>16500245</v>
      </c>
      <c r="AY253">
        <v>1</v>
      </c>
      <c r="AZ253">
        <v>0</v>
      </c>
      <c r="BA253">
        <v>274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Y253*Source!I89</f>
        <v>3.9759999999999997E-2</v>
      </c>
      <c r="CY253">
        <f t="shared" si="33"/>
        <v>92877.72</v>
      </c>
      <c r="CZ253">
        <f t="shared" si="34"/>
        <v>15275.94</v>
      </c>
      <c r="DA253">
        <f t="shared" si="35"/>
        <v>6.08</v>
      </c>
      <c r="DB253">
        <v>0</v>
      </c>
    </row>
    <row r="254" spans="1:106" x14ac:dyDescent="0.2">
      <c r="A254">
        <f>ROW(Source!A89)</f>
        <v>89</v>
      </c>
      <c r="B254">
        <v>16499878</v>
      </c>
      <c r="C254">
        <v>16500238</v>
      </c>
      <c r="D254">
        <v>15170059</v>
      </c>
      <c r="E254">
        <v>1</v>
      </c>
      <c r="F254">
        <v>1</v>
      </c>
      <c r="G254">
        <v>1</v>
      </c>
      <c r="H254">
        <v>3</v>
      </c>
      <c r="I254" t="s">
        <v>822</v>
      </c>
      <c r="J254" t="s">
        <v>823</v>
      </c>
      <c r="K254" t="s">
        <v>824</v>
      </c>
      <c r="L254">
        <v>1348</v>
      </c>
      <c r="N254">
        <v>1009</v>
      </c>
      <c r="O254" t="s">
        <v>288</v>
      </c>
      <c r="P254" t="s">
        <v>288</v>
      </c>
      <c r="Q254">
        <v>1000</v>
      </c>
      <c r="W254">
        <v>0</v>
      </c>
      <c r="X254">
        <v>-1818623805</v>
      </c>
      <c r="Y254">
        <v>4.4999999999999999E-4</v>
      </c>
      <c r="AA254">
        <v>51528</v>
      </c>
      <c r="AB254">
        <v>0</v>
      </c>
      <c r="AC254">
        <v>0</v>
      </c>
      <c r="AD254">
        <v>0</v>
      </c>
      <c r="AE254">
        <v>8475</v>
      </c>
      <c r="AF254">
        <v>0</v>
      </c>
      <c r="AG254">
        <v>0</v>
      </c>
      <c r="AH254">
        <v>0</v>
      </c>
      <c r="AI254">
        <v>6.08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224</v>
      </c>
      <c r="AT254">
        <v>4.4999999999999999E-4</v>
      </c>
      <c r="AU254" t="s">
        <v>224</v>
      </c>
      <c r="AV254">
        <v>0</v>
      </c>
      <c r="AW254">
        <v>2</v>
      </c>
      <c r="AX254">
        <v>16500246</v>
      </c>
      <c r="AY254">
        <v>1</v>
      </c>
      <c r="AZ254">
        <v>0</v>
      </c>
      <c r="BA254">
        <v>275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Y254*Source!I89</f>
        <v>1.5975E-3</v>
      </c>
      <c r="CY254">
        <f t="shared" si="33"/>
        <v>51528</v>
      </c>
      <c r="CZ254">
        <f t="shared" si="34"/>
        <v>8475</v>
      </c>
      <c r="DA254">
        <f t="shared" si="35"/>
        <v>6.08</v>
      </c>
      <c r="DB254">
        <v>0</v>
      </c>
    </row>
    <row r="255" spans="1:106" x14ac:dyDescent="0.2">
      <c r="A255">
        <f>ROW(Source!A89)</f>
        <v>89</v>
      </c>
      <c r="B255">
        <v>16499878</v>
      </c>
      <c r="C255">
        <v>16500238</v>
      </c>
      <c r="D255">
        <v>15170392</v>
      </c>
      <c r="E255">
        <v>1</v>
      </c>
      <c r="F255">
        <v>1</v>
      </c>
      <c r="G255">
        <v>1</v>
      </c>
      <c r="H255">
        <v>3</v>
      </c>
      <c r="I255" t="s">
        <v>825</v>
      </c>
      <c r="J255" t="s">
        <v>826</v>
      </c>
      <c r="K255" t="s">
        <v>827</v>
      </c>
      <c r="L255">
        <v>1355</v>
      </c>
      <c r="N255">
        <v>1010</v>
      </c>
      <c r="O255" t="s">
        <v>356</v>
      </c>
      <c r="P255" t="s">
        <v>356</v>
      </c>
      <c r="Q255">
        <v>100</v>
      </c>
      <c r="W255">
        <v>0</v>
      </c>
      <c r="X255">
        <v>1825443087</v>
      </c>
      <c r="Y255">
        <v>0.66700000000000004</v>
      </c>
      <c r="AA255">
        <v>437.76</v>
      </c>
      <c r="AB255">
        <v>0</v>
      </c>
      <c r="AC255">
        <v>0</v>
      </c>
      <c r="AD255">
        <v>0</v>
      </c>
      <c r="AE255">
        <v>72</v>
      </c>
      <c r="AF255">
        <v>0</v>
      </c>
      <c r="AG255">
        <v>0</v>
      </c>
      <c r="AH255">
        <v>0</v>
      </c>
      <c r="AI255">
        <v>6.08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224</v>
      </c>
      <c r="AT255">
        <v>0.66700000000000004</v>
      </c>
      <c r="AU255" t="s">
        <v>224</v>
      </c>
      <c r="AV255">
        <v>0</v>
      </c>
      <c r="AW255">
        <v>2</v>
      </c>
      <c r="AX255">
        <v>16500247</v>
      </c>
      <c r="AY255">
        <v>1</v>
      </c>
      <c r="AZ255">
        <v>0</v>
      </c>
      <c r="BA255">
        <v>276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Y255*Source!I89</f>
        <v>2.3678500000000002</v>
      </c>
      <c r="CY255">
        <f t="shared" si="33"/>
        <v>437.76</v>
      </c>
      <c r="CZ255">
        <f t="shared" si="34"/>
        <v>72</v>
      </c>
      <c r="DA255">
        <f t="shared" si="35"/>
        <v>6.08</v>
      </c>
      <c r="DB255">
        <v>0</v>
      </c>
    </row>
    <row r="256" spans="1:106" x14ac:dyDescent="0.2">
      <c r="A256">
        <f>ROW(Source!A89)</f>
        <v>89</v>
      </c>
      <c r="B256">
        <v>16499878</v>
      </c>
      <c r="C256">
        <v>16500238</v>
      </c>
      <c r="D256">
        <v>15170411</v>
      </c>
      <c r="E256">
        <v>1</v>
      </c>
      <c r="F256">
        <v>1</v>
      </c>
      <c r="G256">
        <v>1</v>
      </c>
      <c r="H256">
        <v>3</v>
      </c>
      <c r="I256" t="s">
        <v>828</v>
      </c>
      <c r="J256" t="s">
        <v>829</v>
      </c>
      <c r="K256" t="s">
        <v>830</v>
      </c>
      <c r="L256">
        <v>1358</v>
      </c>
      <c r="N256">
        <v>1010</v>
      </c>
      <c r="O256" t="s">
        <v>831</v>
      </c>
      <c r="P256" t="s">
        <v>831</v>
      </c>
      <c r="Q256">
        <v>10</v>
      </c>
      <c r="W256">
        <v>0</v>
      </c>
      <c r="X256">
        <v>-1218181071</v>
      </c>
      <c r="Y256">
        <v>100.8</v>
      </c>
      <c r="AA256">
        <v>355.74</v>
      </c>
      <c r="AB256">
        <v>0</v>
      </c>
      <c r="AC256">
        <v>0</v>
      </c>
      <c r="AD256">
        <v>0</v>
      </c>
      <c r="AE256">
        <v>58.51</v>
      </c>
      <c r="AF256">
        <v>0</v>
      </c>
      <c r="AG256">
        <v>0</v>
      </c>
      <c r="AH256">
        <v>0</v>
      </c>
      <c r="AI256">
        <v>6.08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224</v>
      </c>
      <c r="AT256">
        <v>100.8</v>
      </c>
      <c r="AU256" t="s">
        <v>224</v>
      </c>
      <c r="AV256">
        <v>0</v>
      </c>
      <c r="AW256">
        <v>2</v>
      </c>
      <c r="AX256">
        <v>16500248</v>
      </c>
      <c r="AY256">
        <v>1</v>
      </c>
      <c r="AZ256">
        <v>0</v>
      </c>
      <c r="BA256">
        <v>277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Y256*Source!I89</f>
        <v>357.84</v>
      </c>
      <c r="CY256">
        <f t="shared" si="33"/>
        <v>355.74</v>
      </c>
      <c r="CZ256">
        <f t="shared" si="34"/>
        <v>58.51</v>
      </c>
      <c r="DA256">
        <f t="shared" si="35"/>
        <v>6.08</v>
      </c>
      <c r="DB256">
        <v>0</v>
      </c>
    </row>
    <row r="257" spans="1:106" x14ac:dyDescent="0.2">
      <c r="A257">
        <f>ROW(Source!A89)</f>
        <v>89</v>
      </c>
      <c r="B257">
        <v>16499878</v>
      </c>
      <c r="C257">
        <v>16500238</v>
      </c>
      <c r="D257">
        <v>15195779</v>
      </c>
      <c r="E257">
        <v>1</v>
      </c>
      <c r="F257">
        <v>1</v>
      </c>
      <c r="G257">
        <v>1</v>
      </c>
      <c r="H257">
        <v>3</v>
      </c>
      <c r="I257" t="s">
        <v>832</v>
      </c>
      <c r="J257" t="s">
        <v>833</v>
      </c>
      <c r="K257" t="s">
        <v>834</v>
      </c>
      <c r="L257">
        <v>1339</v>
      </c>
      <c r="N257">
        <v>1007</v>
      </c>
      <c r="O257" t="s">
        <v>691</v>
      </c>
      <c r="P257" t="s">
        <v>691</v>
      </c>
      <c r="Q257">
        <v>1</v>
      </c>
      <c r="W257">
        <v>0</v>
      </c>
      <c r="X257">
        <v>-960276570</v>
      </c>
      <c r="Y257">
        <v>0.46</v>
      </c>
      <c r="AA257">
        <v>9917.82</v>
      </c>
      <c r="AB257">
        <v>0</v>
      </c>
      <c r="AC257">
        <v>0</v>
      </c>
      <c r="AD257">
        <v>0</v>
      </c>
      <c r="AE257">
        <v>1631.22</v>
      </c>
      <c r="AF257">
        <v>0</v>
      </c>
      <c r="AG257">
        <v>0</v>
      </c>
      <c r="AH257">
        <v>0</v>
      </c>
      <c r="AI257">
        <v>6.08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224</v>
      </c>
      <c r="AT257">
        <v>0.46</v>
      </c>
      <c r="AU257" t="s">
        <v>224</v>
      </c>
      <c r="AV257">
        <v>0</v>
      </c>
      <c r="AW257">
        <v>2</v>
      </c>
      <c r="AX257">
        <v>16500250</v>
      </c>
      <c r="AY257">
        <v>1</v>
      </c>
      <c r="AZ257">
        <v>0</v>
      </c>
      <c r="BA257">
        <v>279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Y257*Source!I89</f>
        <v>1.633</v>
      </c>
      <c r="CY257">
        <f t="shared" si="33"/>
        <v>9917.82</v>
      </c>
      <c r="CZ257">
        <f t="shared" si="34"/>
        <v>1631.22</v>
      </c>
      <c r="DA257">
        <f t="shared" si="35"/>
        <v>6.08</v>
      </c>
      <c r="DB257">
        <v>0</v>
      </c>
    </row>
    <row r="258" spans="1:106" x14ac:dyDescent="0.2">
      <c r="A258">
        <f>ROW(Source!A89)</f>
        <v>89</v>
      </c>
      <c r="B258">
        <v>16499878</v>
      </c>
      <c r="C258">
        <v>16500238</v>
      </c>
      <c r="D258">
        <v>15195942</v>
      </c>
      <c r="E258">
        <v>1</v>
      </c>
      <c r="F258">
        <v>1</v>
      </c>
      <c r="G258">
        <v>1</v>
      </c>
      <c r="H258">
        <v>3</v>
      </c>
      <c r="I258" t="s">
        <v>835</v>
      </c>
      <c r="J258" t="s">
        <v>836</v>
      </c>
      <c r="K258" t="s">
        <v>837</v>
      </c>
      <c r="L258">
        <v>1339</v>
      </c>
      <c r="N258">
        <v>1007</v>
      </c>
      <c r="O258" t="s">
        <v>691</v>
      </c>
      <c r="P258" t="s">
        <v>691</v>
      </c>
      <c r="Q258">
        <v>1</v>
      </c>
      <c r="W258">
        <v>0</v>
      </c>
      <c r="X258">
        <v>-981885452</v>
      </c>
      <c r="Y258">
        <v>1.47</v>
      </c>
      <c r="AA258">
        <v>9799.99</v>
      </c>
      <c r="AB258">
        <v>0</v>
      </c>
      <c r="AC258">
        <v>0</v>
      </c>
      <c r="AD258">
        <v>0</v>
      </c>
      <c r="AE258">
        <v>1611.84</v>
      </c>
      <c r="AF258">
        <v>0</v>
      </c>
      <c r="AG258">
        <v>0</v>
      </c>
      <c r="AH258">
        <v>0</v>
      </c>
      <c r="AI258">
        <v>6.08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224</v>
      </c>
      <c r="AT258">
        <v>1.47</v>
      </c>
      <c r="AU258" t="s">
        <v>224</v>
      </c>
      <c r="AV258">
        <v>0</v>
      </c>
      <c r="AW258">
        <v>2</v>
      </c>
      <c r="AX258">
        <v>16500251</v>
      </c>
      <c r="AY258">
        <v>1</v>
      </c>
      <c r="AZ258">
        <v>0</v>
      </c>
      <c r="BA258">
        <v>280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Y258*Source!I89</f>
        <v>5.2184999999999997</v>
      </c>
      <c r="CY258">
        <f t="shared" si="33"/>
        <v>9799.99</v>
      </c>
      <c r="CZ258">
        <f t="shared" si="34"/>
        <v>1611.84</v>
      </c>
      <c r="DA258">
        <f t="shared" si="35"/>
        <v>6.08</v>
      </c>
      <c r="DB258">
        <v>0</v>
      </c>
    </row>
    <row r="259" spans="1:106" x14ac:dyDescent="0.2">
      <c r="A259">
        <f>ROW(Source!A89)</f>
        <v>89</v>
      </c>
      <c r="B259">
        <v>16499878</v>
      </c>
      <c r="C259">
        <v>16500238</v>
      </c>
      <c r="D259">
        <v>15198028</v>
      </c>
      <c r="E259">
        <v>1</v>
      </c>
      <c r="F259">
        <v>1</v>
      </c>
      <c r="G259">
        <v>1</v>
      </c>
      <c r="H259">
        <v>3</v>
      </c>
      <c r="I259" t="s">
        <v>838</v>
      </c>
      <c r="J259" t="s">
        <v>839</v>
      </c>
      <c r="K259" t="s">
        <v>840</v>
      </c>
      <c r="L259">
        <v>1327</v>
      </c>
      <c r="N259">
        <v>1005</v>
      </c>
      <c r="O259" t="s">
        <v>277</v>
      </c>
      <c r="P259" t="s">
        <v>277</v>
      </c>
      <c r="Q259">
        <v>1</v>
      </c>
      <c r="W259">
        <v>0</v>
      </c>
      <c r="X259">
        <v>213052973</v>
      </c>
      <c r="Y259">
        <v>116</v>
      </c>
      <c r="AA259">
        <v>75.209999999999994</v>
      </c>
      <c r="AB259">
        <v>0</v>
      </c>
      <c r="AC259">
        <v>0</v>
      </c>
      <c r="AD259">
        <v>0</v>
      </c>
      <c r="AE259">
        <v>12.37</v>
      </c>
      <c r="AF259">
        <v>0</v>
      </c>
      <c r="AG259">
        <v>0</v>
      </c>
      <c r="AH259">
        <v>0</v>
      </c>
      <c r="AI259">
        <v>6.08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224</v>
      </c>
      <c r="AT259">
        <v>116</v>
      </c>
      <c r="AU259" t="s">
        <v>224</v>
      </c>
      <c r="AV259">
        <v>0</v>
      </c>
      <c r="AW259">
        <v>2</v>
      </c>
      <c r="AX259">
        <v>16500252</v>
      </c>
      <c r="AY259">
        <v>1</v>
      </c>
      <c r="AZ259">
        <v>0</v>
      </c>
      <c r="BA259">
        <v>281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Y259*Source!I89</f>
        <v>411.79999999999995</v>
      </c>
      <c r="CY259">
        <f t="shared" si="33"/>
        <v>75.209999999999994</v>
      </c>
      <c r="CZ259">
        <f t="shared" si="34"/>
        <v>12.37</v>
      </c>
      <c r="DA259">
        <f t="shared" si="35"/>
        <v>6.08</v>
      </c>
      <c r="DB259">
        <v>0</v>
      </c>
    </row>
    <row r="260" spans="1:106" x14ac:dyDescent="0.2">
      <c r="A260">
        <f>ROW(Source!A89)</f>
        <v>89</v>
      </c>
      <c r="B260">
        <v>16499878</v>
      </c>
      <c r="C260">
        <v>16500238</v>
      </c>
      <c r="D260">
        <v>15198456</v>
      </c>
      <c r="E260">
        <v>1</v>
      </c>
      <c r="F260">
        <v>1</v>
      </c>
      <c r="G260">
        <v>1</v>
      </c>
      <c r="H260">
        <v>3</v>
      </c>
      <c r="I260" t="s">
        <v>841</v>
      </c>
      <c r="J260" t="s">
        <v>842</v>
      </c>
      <c r="K260" t="s">
        <v>843</v>
      </c>
      <c r="L260">
        <v>1327</v>
      </c>
      <c r="N260">
        <v>1005</v>
      </c>
      <c r="O260" t="s">
        <v>277</v>
      </c>
      <c r="P260" t="s">
        <v>277</v>
      </c>
      <c r="Q260">
        <v>1</v>
      </c>
      <c r="W260">
        <v>0</v>
      </c>
      <c r="X260">
        <v>1398680772</v>
      </c>
      <c r="Y260">
        <v>3.62</v>
      </c>
      <c r="AA260">
        <v>37.82</v>
      </c>
      <c r="AB260">
        <v>0</v>
      </c>
      <c r="AC260">
        <v>0</v>
      </c>
      <c r="AD260">
        <v>0</v>
      </c>
      <c r="AE260">
        <v>6.22</v>
      </c>
      <c r="AF260">
        <v>0</v>
      </c>
      <c r="AG260">
        <v>0</v>
      </c>
      <c r="AH260">
        <v>0</v>
      </c>
      <c r="AI260">
        <v>6.08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224</v>
      </c>
      <c r="AT260">
        <v>3.62</v>
      </c>
      <c r="AU260" t="s">
        <v>224</v>
      </c>
      <c r="AV260">
        <v>0</v>
      </c>
      <c r="AW260">
        <v>2</v>
      </c>
      <c r="AX260">
        <v>16500253</v>
      </c>
      <c r="AY260">
        <v>1</v>
      </c>
      <c r="AZ260">
        <v>0</v>
      </c>
      <c r="BA260">
        <v>282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Y260*Source!I89</f>
        <v>12.850999999999999</v>
      </c>
      <c r="CY260">
        <f t="shared" si="33"/>
        <v>37.82</v>
      </c>
      <c r="CZ260">
        <f t="shared" si="34"/>
        <v>6.22</v>
      </c>
      <c r="DA260">
        <f t="shared" si="35"/>
        <v>6.08</v>
      </c>
      <c r="DB260">
        <v>0</v>
      </c>
    </row>
    <row r="261" spans="1:106" x14ac:dyDescent="0.2">
      <c r="A261">
        <f>ROW(Source!A89)</f>
        <v>89</v>
      </c>
      <c r="B261">
        <v>16499878</v>
      </c>
      <c r="C261">
        <v>16500238</v>
      </c>
      <c r="D261">
        <v>15198487</v>
      </c>
      <c r="E261">
        <v>1</v>
      </c>
      <c r="F261">
        <v>1</v>
      </c>
      <c r="G261">
        <v>1</v>
      </c>
      <c r="H261">
        <v>3</v>
      </c>
      <c r="I261" t="s">
        <v>389</v>
      </c>
      <c r="J261" t="s">
        <v>391</v>
      </c>
      <c r="K261" t="s">
        <v>390</v>
      </c>
      <c r="L261">
        <v>1327</v>
      </c>
      <c r="N261">
        <v>1005</v>
      </c>
      <c r="O261" t="s">
        <v>277</v>
      </c>
      <c r="P261" t="s">
        <v>277</v>
      </c>
      <c r="Q261">
        <v>1</v>
      </c>
      <c r="W261">
        <v>0</v>
      </c>
      <c r="X261">
        <v>-1534712107</v>
      </c>
      <c r="Y261">
        <v>126</v>
      </c>
      <c r="AA261">
        <v>625.80999999999995</v>
      </c>
      <c r="AB261">
        <v>0</v>
      </c>
      <c r="AC261">
        <v>0</v>
      </c>
      <c r="AD261">
        <v>0</v>
      </c>
      <c r="AE261">
        <v>102.93</v>
      </c>
      <c r="AF261">
        <v>0</v>
      </c>
      <c r="AG261">
        <v>0</v>
      </c>
      <c r="AH261">
        <v>0</v>
      </c>
      <c r="AI261">
        <v>6.08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224</v>
      </c>
      <c r="AT261">
        <v>126</v>
      </c>
      <c r="AU261" t="s">
        <v>224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224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Y261*Source!I89</f>
        <v>447.29999999999995</v>
      </c>
      <c r="CY261">
        <f t="shared" si="33"/>
        <v>625.80999999999995</v>
      </c>
      <c r="CZ261">
        <f t="shared" si="34"/>
        <v>102.93</v>
      </c>
      <c r="DA261">
        <f t="shared" si="35"/>
        <v>6.08</v>
      </c>
      <c r="DB261">
        <v>0</v>
      </c>
    </row>
    <row r="262" spans="1:106" x14ac:dyDescent="0.2">
      <c r="A262">
        <f>ROW(Source!A89)</f>
        <v>89</v>
      </c>
      <c r="B262">
        <v>16499878</v>
      </c>
      <c r="C262">
        <v>16500238</v>
      </c>
      <c r="D262">
        <v>15198820</v>
      </c>
      <c r="E262">
        <v>1</v>
      </c>
      <c r="F262">
        <v>1</v>
      </c>
      <c r="G262">
        <v>1</v>
      </c>
      <c r="H262">
        <v>3</v>
      </c>
      <c r="I262" t="s">
        <v>844</v>
      </c>
      <c r="J262" t="s">
        <v>0</v>
      </c>
      <c r="K262" t="s">
        <v>1</v>
      </c>
      <c r="L262">
        <v>1339</v>
      </c>
      <c r="N262">
        <v>1007</v>
      </c>
      <c r="O262" t="s">
        <v>691</v>
      </c>
      <c r="P262" t="s">
        <v>691</v>
      </c>
      <c r="Q262">
        <v>1</v>
      </c>
      <c r="W262">
        <v>0</v>
      </c>
      <c r="X262">
        <v>536171515</v>
      </c>
      <c r="Y262">
        <v>0.31</v>
      </c>
      <c r="AA262">
        <v>1216</v>
      </c>
      <c r="AB262">
        <v>0</v>
      </c>
      <c r="AC262">
        <v>0</v>
      </c>
      <c r="AD262">
        <v>0</v>
      </c>
      <c r="AE262">
        <v>200</v>
      </c>
      <c r="AF262">
        <v>0</v>
      </c>
      <c r="AG262">
        <v>0</v>
      </c>
      <c r="AH262">
        <v>0</v>
      </c>
      <c r="AI262">
        <v>6.08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224</v>
      </c>
      <c r="AT262">
        <v>0.31</v>
      </c>
      <c r="AU262" t="s">
        <v>224</v>
      </c>
      <c r="AV262">
        <v>0</v>
      </c>
      <c r="AW262">
        <v>2</v>
      </c>
      <c r="AX262">
        <v>16500255</v>
      </c>
      <c r="AY262">
        <v>1</v>
      </c>
      <c r="AZ262">
        <v>0</v>
      </c>
      <c r="BA262">
        <v>284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Y262*Source!I89</f>
        <v>1.1005</v>
      </c>
      <c r="CY262">
        <f t="shared" si="33"/>
        <v>1216</v>
      </c>
      <c r="CZ262">
        <f t="shared" si="34"/>
        <v>200</v>
      </c>
      <c r="DA262">
        <f t="shared" si="35"/>
        <v>6.08</v>
      </c>
      <c r="DB262">
        <v>0</v>
      </c>
    </row>
    <row r="263" spans="1:106" x14ac:dyDescent="0.2">
      <c r="A263">
        <f>ROW(Source!A89)</f>
        <v>89</v>
      </c>
      <c r="B263">
        <v>16499878</v>
      </c>
      <c r="C263">
        <v>16500238</v>
      </c>
      <c r="D263">
        <v>15203713</v>
      </c>
      <c r="E263">
        <v>1</v>
      </c>
      <c r="F263">
        <v>1</v>
      </c>
      <c r="G263">
        <v>1</v>
      </c>
      <c r="H263">
        <v>3</v>
      </c>
      <c r="I263" t="s">
        <v>2</v>
      </c>
      <c r="J263" t="s">
        <v>3</v>
      </c>
      <c r="K263" t="s">
        <v>4</v>
      </c>
      <c r="L263">
        <v>1348</v>
      </c>
      <c r="N263">
        <v>1009</v>
      </c>
      <c r="O263" t="s">
        <v>288</v>
      </c>
      <c r="P263" t="s">
        <v>288</v>
      </c>
      <c r="Q263">
        <v>1000</v>
      </c>
      <c r="W263">
        <v>0</v>
      </c>
      <c r="X263">
        <v>1843000216</v>
      </c>
      <c r="Y263">
        <v>2.7000000000000001E-3</v>
      </c>
      <c r="AA263">
        <v>95498.559999999998</v>
      </c>
      <c r="AB263">
        <v>0</v>
      </c>
      <c r="AC263">
        <v>0</v>
      </c>
      <c r="AD263">
        <v>0</v>
      </c>
      <c r="AE263">
        <v>15707</v>
      </c>
      <c r="AF263">
        <v>0</v>
      </c>
      <c r="AG263">
        <v>0</v>
      </c>
      <c r="AH263">
        <v>0</v>
      </c>
      <c r="AI263">
        <v>6.08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224</v>
      </c>
      <c r="AT263">
        <v>2.7000000000000001E-3</v>
      </c>
      <c r="AU263" t="s">
        <v>224</v>
      </c>
      <c r="AV263">
        <v>0</v>
      </c>
      <c r="AW263">
        <v>2</v>
      </c>
      <c r="AX263">
        <v>16500256</v>
      </c>
      <c r="AY263">
        <v>1</v>
      </c>
      <c r="AZ263">
        <v>0</v>
      </c>
      <c r="BA263">
        <v>285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Y263*Source!I89</f>
        <v>9.5849999999999998E-3</v>
      </c>
      <c r="CY263">
        <f t="shared" si="33"/>
        <v>95498.559999999998</v>
      </c>
      <c r="CZ263">
        <f t="shared" si="34"/>
        <v>15707</v>
      </c>
      <c r="DA263">
        <f t="shared" si="35"/>
        <v>6.08</v>
      </c>
      <c r="DB263">
        <v>0</v>
      </c>
    </row>
    <row r="264" spans="1:106" x14ac:dyDescent="0.2">
      <c r="A264">
        <f>ROW(Source!A89)</f>
        <v>89</v>
      </c>
      <c r="B264">
        <v>16499878</v>
      </c>
      <c r="C264">
        <v>16500238</v>
      </c>
      <c r="D264">
        <v>15204294</v>
      </c>
      <c r="E264">
        <v>1</v>
      </c>
      <c r="F264">
        <v>1</v>
      </c>
      <c r="G264">
        <v>1</v>
      </c>
      <c r="H264">
        <v>3</v>
      </c>
      <c r="I264" t="s">
        <v>5</v>
      </c>
      <c r="J264" t="s">
        <v>6</v>
      </c>
      <c r="K264" t="s">
        <v>7</v>
      </c>
      <c r="L264">
        <v>1296</v>
      </c>
      <c r="N264">
        <v>1002</v>
      </c>
      <c r="O264" t="s">
        <v>8</v>
      </c>
      <c r="P264" t="s">
        <v>8</v>
      </c>
      <c r="Q264">
        <v>1</v>
      </c>
      <c r="W264">
        <v>0</v>
      </c>
      <c r="X264">
        <v>384114285</v>
      </c>
      <c r="Y264">
        <v>0.75</v>
      </c>
      <c r="AA264">
        <v>466.94</v>
      </c>
      <c r="AB264">
        <v>0</v>
      </c>
      <c r="AC264">
        <v>0</v>
      </c>
      <c r="AD264">
        <v>0</v>
      </c>
      <c r="AE264">
        <v>76.8</v>
      </c>
      <c r="AF264">
        <v>0</v>
      </c>
      <c r="AG264">
        <v>0</v>
      </c>
      <c r="AH264">
        <v>0</v>
      </c>
      <c r="AI264">
        <v>6.08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224</v>
      </c>
      <c r="AT264">
        <v>0.75</v>
      </c>
      <c r="AU264" t="s">
        <v>224</v>
      </c>
      <c r="AV264">
        <v>0</v>
      </c>
      <c r="AW264">
        <v>2</v>
      </c>
      <c r="AX264">
        <v>16500257</v>
      </c>
      <c r="AY264">
        <v>1</v>
      </c>
      <c r="AZ264">
        <v>0</v>
      </c>
      <c r="BA264">
        <v>286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Y264*Source!I89</f>
        <v>2.6624999999999996</v>
      </c>
      <c r="CY264">
        <f t="shared" si="33"/>
        <v>466.94</v>
      </c>
      <c r="CZ264">
        <f t="shared" si="34"/>
        <v>76.8</v>
      </c>
      <c r="DA264">
        <f t="shared" si="35"/>
        <v>6.08</v>
      </c>
      <c r="DB264">
        <v>0</v>
      </c>
    </row>
    <row r="265" spans="1:106" x14ac:dyDescent="0.2">
      <c r="A265">
        <f>ROW(Source!A92)</f>
        <v>92</v>
      </c>
      <c r="B265">
        <v>16499835</v>
      </c>
      <c r="C265">
        <v>16500600</v>
      </c>
      <c r="D265">
        <v>15430767</v>
      </c>
      <c r="E265">
        <v>1</v>
      </c>
      <c r="F265">
        <v>1</v>
      </c>
      <c r="G265">
        <v>1</v>
      </c>
      <c r="H265">
        <v>1</v>
      </c>
      <c r="I265" t="s">
        <v>9</v>
      </c>
      <c r="J265" t="s">
        <v>224</v>
      </c>
      <c r="K265" t="s">
        <v>10</v>
      </c>
      <c r="L265">
        <v>1191</v>
      </c>
      <c r="N265">
        <v>1013</v>
      </c>
      <c r="O265" t="s">
        <v>628</v>
      </c>
      <c r="P265" t="s">
        <v>628</v>
      </c>
      <c r="Q265">
        <v>1</v>
      </c>
      <c r="W265">
        <v>0</v>
      </c>
      <c r="X265">
        <v>-400197608</v>
      </c>
      <c r="Y265">
        <v>84.75</v>
      </c>
      <c r="AA265">
        <v>0</v>
      </c>
      <c r="AB265">
        <v>0</v>
      </c>
      <c r="AC265">
        <v>0</v>
      </c>
      <c r="AD265">
        <v>8.5299999999999994</v>
      </c>
      <c r="AE265">
        <v>0</v>
      </c>
      <c r="AF265">
        <v>0</v>
      </c>
      <c r="AG265">
        <v>0</v>
      </c>
      <c r="AH265">
        <v>8.5299999999999994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224</v>
      </c>
      <c r="AT265">
        <v>84.75</v>
      </c>
      <c r="AU265" t="s">
        <v>224</v>
      </c>
      <c r="AV265">
        <v>1</v>
      </c>
      <c r="AW265">
        <v>2</v>
      </c>
      <c r="AX265">
        <v>16500601</v>
      </c>
      <c r="AY265">
        <v>1</v>
      </c>
      <c r="AZ265">
        <v>0</v>
      </c>
      <c r="BA265">
        <v>287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Y265*Source!I92</f>
        <v>25.425000000000001</v>
      </c>
      <c r="CY265">
        <f>AD265</f>
        <v>8.5299999999999994</v>
      </c>
      <c r="CZ265">
        <f>AH265</f>
        <v>8.5299999999999994</v>
      </c>
      <c r="DA265">
        <f>AL265</f>
        <v>1</v>
      </c>
      <c r="DB265">
        <v>0</v>
      </c>
    </row>
    <row r="266" spans="1:106" x14ac:dyDescent="0.2">
      <c r="A266">
        <f>ROW(Source!A92)</f>
        <v>92</v>
      </c>
      <c r="B266">
        <v>16499835</v>
      </c>
      <c r="C266">
        <v>16500600</v>
      </c>
      <c r="D266">
        <v>15430395</v>
      </c>
      <c r="E266">
        <v>1</v>
      </c>
      <c r="F266">
        <v>1</v>
      </c>
      <c r="G266">
        <v>1</v>
      </c>
      <c r="H266">
        <v>1</v>
      </c>
      <c r="I266" t="s">
        <v>629</v>
      </c>
      <c r="J266" t="s">
        <v>224</v>
      </c>
      <c r="K266" t="s">
        <v>630</v>
      </c>
      <c r="L266">
        <v>1191</v>
      </c>
      <c r="N266">
        <v>1013</v>
      </c>
      <c r="O266" t="s">
        <v>628</v>
      </c>
      <c r="P266" t="s">
        <v>628</v>
      </c>
      <c r="Q266">
        <v>1</v>
      </c>
      <c r="W266">
        <v>0</v>
      </c>
      <c r="X266">
        <v>-1417349443</v>
      </c>
      <c r="Y266">
        <v>3.19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224</v>
      </c>
      <c r="AT266">
        <v>3.19</v>
      </c>
      <c r="AU266" t="s">
        <v>224</v>
      </c>
      <c r="AV266">
        <v>2</v>
      </c>
      <c r="AW266">
        <v>2</v>
      </c>
      <c r="AX266">
        <v>16500602</v>
      </c>
      <c r="AY266">
        <v>1</v>
      </c>
      <c r="AZ266">
        <v>0</v>
      </c>
      <c r="BA266">
        <v>288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Y266*Source!I92</f>
        <v>0.95699999999999996</v>
      </c>
      <c r="CY266">
        <f>AD266</f>
        <v>0</v>
      </c>
      <c r="CZ266">
        <f>AH266</f>
        <v>0</v>
      </c>
      <c r="DA266">
        <f>AL266</f>
        <v>1</v>
      </c>
      <c r="DB266">
        <v>0</v>
      </c>
    </row>
    <row r="267" spans="1:106" x14ac:dyDescent="0.2">
      <c r="A267">
        <f>ROW(Source!A92)</f>
        <v>92</v>
      </c>
      <c r="B267">
        <v>16499835</v>
      </c>
      <c r="C267">
        <v>16500600</v>
      </c>
      <c r="D267">
        <v>15247578</v>
      </c>
      <c r="E267">
        <v>1</v>
      </c>
      <c r="F267">
        <v>1</v>
      </c>
      <c r="G267">
        <v>1</v>
      </c>
      <c r="H267">
        <v>2</v>
      </c>
      <c r="I267" t="s">
        <v>11</v>
      </c>
      <c r="J267" t="s">
        <v>12</v>
      </c>
      <c r="K267" t="s">
        <v>13</v>
      </c>
      <c r="L267">
        <v>1368</v>
      </c>
      <c r="N267">
        <v>1011</v>
      </c>
      <c r="O267" t="s">
        <v>634</v>
      </c>
      <c r="P267" t="s">
        <v>634</v>
      </c>
      <c r="Q267">
        <v>1</v>
      </c>
      <c r="W267">
        <v>0</v>
      </c>
      <c r="X267">
        <v>-1460065968</v>
      </c>
      <c r="Y267">
        <v>1.34</v>
      </c>
      <c r="AA267">
        <v>0</v>
      </c>
      <c r="AB267">
        <v>86.4</v>
      </c>
      <c r="AC267">
        <v>13.5</v>
      </c>
      <c r="AD267">
        <v>0</v>
      </c>
      <c r="AE267">
        <v>0</v>
      </c>
      <c r="AF267">
        <v>86.4</v>
      </c>
      <c r="AG267">
        <v>13.5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224</v>
      </c>
      <c r="AT267">
        <v>1.34</v>
      </c>
      <c r="AU267" t="s">
        <v>224</v>
      </c>
      <c r="AV267">
        <v>0</v>
      </c>
      <c r="AW267">
        <v>2</v>
      </c>
      <c r="AX267">
        <v>16500603</v>
      </c>
      <c r="AY267">
        <v>1</v>
      </c>
      <c r="AZ267">
        <v>0</v>
      </c>
      <c r="BA267">
        <v>289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Y267*Source!I92</f>
        <v>0.40200000000000002</v>
      </c>
      <c r="CY267">
        <f>AB267</f>
        <v>86.4</v>
      </c>
      <c r="CZ267">
        <f>AF267</f>
        <v>86.4</v>
      </c>
      <c r="DA267">
        <f>AJ267</f>
        <v>1</v>
      </c>
      <c r="DB267">
        <v>0</v>
      </c>
    </row>
    <row r="268" spans="1:106" x14ac:dyDescent="0.2">
      <c r="A268">
        <f>ROW(Source!A92)</f>
        <v>92</v>
      </c>
      <c r="B268">
        <v>16499835</v>
      </c>
      <c r="C268">
        <v>16500600</v>
      </c>
      <c r="D268">
        <v>15247680</v>
      </c>
      <c r="E268">
        <v>1</v>
      </c>
      <c r="F268">
        <v>1</v>
      </c>
      <c r="G268">
        <v>1</v>
      </c>
      <c r="H268">
        <v>2</v>
      </c>
      <c r="I268" t="s">
        <v>670</v>
      </c>
      <c r="J268" t="s">
        <v>671</v>
      </c>
      <c r="K268" t="s">
        <v>672</v>
      </c>
      <c r="L268">
        <v>1368</v>
      </c>
      <c r="N268">
        <v>1011</v>
      </c>
      <c r="O268" t="s">
        <v>634</v>
      </c>
      <c r="P268" t="s">
        <v>634</v>
      </c>
      <c r="Q268">
        <v>1</v>
      </c>
      <c r="W268">
        <v>0</v>
      </c>
      <c r="X268">
        <v>-1718674368</v>
      </c>
      <c r="Y268">
        <v>0.77</v>
      </c>
      <c r="AA268">
        <v>0</v>
      </c>
      <c r="AB268">
        <v>111.99</v>
      </c>
      <c r="AC268">
        <v>13.5</v>
      </c>
      <c r="AD268">
        <v>0</v>
      </c>
      <c r="AE268">
        <v>0</v>
      </c>
      <c r="AF268">
        <v>111.99</v>
      </c>
      <c r="AG268">
        <v>13.5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224</v>
      </c>
      <c r="AT268">
        <v>0.77</v>
      </c>
      <c r="AU268" t="s">
        <v>224</v>
      </c>
      <c r="AV268">
        <v>0</v>
      </c>
      <c r="AW268">
        <v>2</v>
      </c>
      <c r="AX268">
        <v>16500604</v>
      </c>
      <c r="AY268">
        <v>1</v>
      </c>
      <c r="AZ268">
        <v>0</v>
      </c>
      <c r="BA268">
        <v>290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Y268*Source!I92</f>
        <v>0.23099999999999998</v>
      </c>
      <c r="CY268">
        <f>AB268</f>
        <v>111.99</v>
      </c>
      <c r="CZ268">
        <f>AF268</f>
        <v>111.99</v>
      </c>
      <c r="DA268">
        <f>AJ268</f>
        <v>1</v>
      </c>
      <c r="DB268">
        <v>0</v>
      </c>
    </row>
    <row r="269" spans="1:106" x14ac:dyDescent="0.2">
      <c r="A269">
        <f>ROW(Source!A92)</f>
        <v>92</v>
      </c>
      <c r="B269">
        <v>16499835</v>
      </c>
      <c r="C269">
        <v>16500600</v>
      </c>
      <c r="D269">
        <v>15249073</v>
      </c>
      <c r="E269">
        <v>1</v>
      </c>
      <c r="F269">
        <v>1</v>
      </c>
      <c r="G269">
        <v>1</v>
      </c>
      <c r="H269">
        <v>2</v>
      </c>
      <c r="I269" t="s">
        <v>631</v>
      </c>
      <c r="J269" t="s">
        <v>632</v>
      </c>
      <c r="K269" t="s">
        <v>633</v>
      </c>
      <c r="L269">
        <v>1368</v>
      </c>
      <c r="N269">
        <v>1011</v>
      </c>
      <c r="O269" t="s">
        <v>634</v>
      </c>
      <c r="P269" t="s">
        <v>634</v>
      </c>
      <c r="Q269">
        <v>1</v>
      </c>
      <c r="W269">
        <v>0</v>
      </c>
      <c r="X269">
        <v>1372534845</v>
      </c>
      <c r="Y269">
        <v>1.08</v>
      </c>
      <c r="AA269">
        <v>0</v>
      </c>
      <c r="AB269">
        <v>65.709999999999994</v>
      </c>
      <c r="AC269">
        <v>11.6</v>
      </c>
      <c r="AD269">
        <v>0</v>
      </c>
      <c r="AE269">
        <v>0</v>
      </c>
      <c r="AF269">
        <v>65.709999999999994</v>
      </c>
      <c r="AG269">
        <v>11.6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224</v>
      </c>
      <c r="AT269">
        <v>1.08</v>
      </c>
      <c r="AU269" t="s">
        <v>224</v>
      </c>
      <c r="AV269">
        <v>0</v>
      </c>
      <c r="AW269">
        <v>2</v>
      </c>
      <c r="AX269">
        <v>16500605</v>
      </c>
      <c r="AY269">
        <v>1</v>
      </c>
      <c r="AZ269">
        <v>0</v>
      </c>
      <c r="BA269">
        <v>291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Y269*Source!I92</f>
        <v>0.32400000000000001</v>
      </c>
      <c r="CY269">
        <f>AB269</f>
        <v>65.709999999999994</v>
      </c>
      <c r="CZ269">
        <f>AF269</f>
        <v>65.709999999999994</v>
      </c>
      <c r="DA269">
        <f>AJ269</f>
        <v>1</v>
      </c>
      <c r="DB269">
        <v>0</v>
      </c>
    </row>
    <row r="270" spans="1:106" x14ac:dyDescent="0.2">
      <c r="A270">
        <f>ROW(Source!A92)</f>
        <v>92</v>
      </c>
      <c r="B270">
        <v>16499835</v>
      </c>
      <c r="C270">
        <v>16500600</v>
      </c>
      <c r="D270">
        <v>15170033</v>
      </c>
      <c r="E270">
        <v>1</v>
      </c>
      <c r="F270">
        <v>1</v>
      </c>
      <c r="G270">
        <v>1</v>
      </c>
      <c r="H270">
        <v>3</v>
      </c>
      <c r="I270" t="s">
        <v>14</v>
      </c>
      <c r="J270" t="s">
        <v>15</v>
      </c>
      <c r="K270" t="s">
        <v>16</v>
      </c>
      <c r="L270">
        <v>1348</v>
      </c>
      <c r="N270">
        <v>1009</v>
      </c>
      <c r="O270" t="s">
        <v>288</v>
      </c>
      <c r="P270" t="s">
        <v>288</v>
      </c>
      <c r="Q270">
        <v>1000</v>
      </c>
      <c r="W270">
        <v>0</v>
      </c>
      <c r="X270">
        <v>34773134</v>
      </c>
      <c r="Y270">
        <v>1.14E-2</v>
      </c>
      <c r="AA270">
        <v>11978</v>
      </c>
      <c r="AB270">
        <v>0</v>
      </c>
      <c r="AC270">
        <v>0</v>
      </c>
      <c r="AD270">
        <v>0</v>
      </c>
      <c r="AE270">
        <v>11978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224</v>
      </c>
      <c r="AT270">
        <v>1.14E-2</v>
      </c>
      <c r="AU270" t="s">
        <v>224</v>
      </c>
      <c r="AV270">
        <v>0</v>
      </c>
      <c r="AW270">
        <v>2</v>
      </c>
      <c r="AX270">
        <v>16500606</v>
      </c>
      <c r="AY270">
        <v>1</v>
      </c>
      <c r="AZ270">
        <v>0</v>
      </c>
      <c r="BA270">
        <v>292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Y270*Source!I92</f>
        <v>3.4199999999999999E-3</v>
      </c>
      <c r="CY270">
        <f t="shared" ref="CY270:CY276" si="36">AA270</f>
        <v>11978</v>
      </c>
      <c r="CZ270">
        <f t="shared" ref="CZ270:CZ276" si="37">AE270</f>
        <v>11978</v>
      </c>
      <c r="DA270">
        <f t="shared" ref="DA270:DA276" si="38">AI270</f>
        <v>1</v>
      </c>
      <c r="DB270">
        <v>0</v>
      </c>
    </row>
    <row r="271" spans="1:106" x14ac:dyDescent="0.2">
      <c r="A271">
        <f>ROW(Source!A92)</f>
        <v>92</v>
      </c>
      <c r="B271">
        <v>16499835</v>
      </c>
      <c r="C271">
        <v>16500600</v>
      </c>
      <c r="D271">
        <v>15170059</v>
      </c>
      <c r="E271">
        <v>1</v>
      </c>
      <c r="F271">
        <v>1</v>
      </c>
      <c r="G271">
        <v>1</v>
      </c>
      <c r="H271">
        <v>3</v>
      </c>
      <c r="I271" t="s">
        <v>822</v>
      </c>
      <c r="J271" t="s">
        <v>823</v>
      </c>
      <c r="K271" t="s">
        <v>824</v>
      </c>
      <c r="L271">
        <v>1348</v>
      </c>
      <c r="N271">
        <v>1009</v>
      </c>
      <c r="O271" t="s">
        <v>288</v>
      </c>
      <c r="P271" t="s">
        <v>288</v>
      </c>
      <c r="Q271">
        <v>1000</v>
      </c>
      <c r="W271">
        <v>0</v>
      </c>
      <c r="X271">
        <v>-1818623805</v>
      </c>
      <c r="Y271">
        <v>2.5000000000000001E-3</v>
      </c>
      <c r="AA271">
        <v>8475</v>
      </c>
      <c r="AB271">
        <v>0</v>
      </c>
      <c r="AC271">
        <v>0</v>
      </c>
      <c r="AD271">
        <v>0</v>
      </c>
      <c r="AE271">
        <v>8475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224</v>
      </c>
      <c r="AT271">
        <v>2.5000000000000001E-3</v>
      </c>
      <c r="AU271" t="s">
        <v>224</v>
      </c>
      <c r="AV271">
        <v>0</v>
      </c>
      <c r="AW271">
        <v>2</v>
      </c>
      <c r="AX271">
        <v>16500607</v>
      </c>
      <c r="AY271">
        <v>1</v>
      </c>
      <c r="AZ271">
        <v>0</v>
      </c>
      <c r="BA271">
        <v>293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Y271*Source!I92</f>
        <v>7.5000000000000002E-4</v>
      </c>
      <c r="CY271">
        <f t="shared" si="36"/>
        <v>8475</v>
      </c>
      <c r="CZ271">
        <f t="shared" si="37"/>
        <v>8475</v>
      </c>
      <c r="DA271">
        <f t="shared" si="38"/>
        <v>1</v>
      </c>
      <c r="DB271">
        <v>0</v>
      </c>
    </row>
    <row r="272" spans="1:106" x14ac:dyDescent="0.2">
      <c r="A272">
        <f>ROW(Source!A92)</f>
        <v>92</v>
      </c>
      <c r="B272">
        <v>16499835</v>
      </c>
      <c r="C272">
        <v>16500600</v>
      </c>
      <c r="D272">
        <v>15189804</v>
      </c>
      <c r="E272">
        <v>1</v>
      </c>
      <c r="F272">
        <v>1</v>
      </c>
      <c r="G272">
        <v>1</v>
      </c>
      <c r="H272">
        <v>3</v>
      </c>
      <c r="I272" t="s">
        <v>17</v>
      </c>
      <c r="J272" t="s">
        <v>18</v>
      </c>
      <c r="K272" t="s">
        <v>19</v>
      </c>
      <c r="L272">
        <v>1348</v>
      </c>
      <c r="N272">
        <v>1009</v>
      </c>
      <c r="O272" t="s">
        <v>288</v>
      </c>
      <c r="P272" t="s">
        <v>288</v>
      </c>
      <c r="Q272">
        <v>1000</v>
      </c>
      <c r="W272">
        <v>0</v>
      </c>
      <c r="X272">
        <v>-1519930531</v>
      </c>
      <c r="Y272">
        <v>0.1</v>
      </c>
      <c r="AA272">
        <v>7977</v>
      </c>
      <c r="AB272">
        <v>0</v>
      </c>
      <c r="AC272">
        <v>0</v>
      </c>
      <c r="AD272">
        <v>0</v>
      </c>
      <c r="AE272">
        <v>7977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224</v>
      </c>
      <c r="AT272">
        <v>0.1</v>
      </c>
      <c r="AU272" t="s">
        <v>224</v>
      </c>
      <c r="AV272">
        <v>0</v>
      </c>
      <c r="AW272">
        <v>2</v>
      </c>
      <c r="AX272">
        <v>16500608</v>
      </c>
      <c r="AY272">
        <v>1</v>
      </c>
      <c r="AZ272">
        <v>0</v>
      </c>
      <c r="BA272">
        <v>294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Y272*Source!I92</f>
        <v>0.03</v>
      </c>
      <c r="CY272">
        <f t="shared" si="36"/>
        <v>7977</v>
      </c>
      <c r="CZ272">
        <f t="shared" si="37"/>
        <v>7977</v>
      </c>
      <c r="DA272">
        <f t="shared" si="38"/>
        <v>1</v>
      </c>
      <c r="DB272">
        <v>0</v>
      </c>
    </row>
    <row r="273" spans="1:106" x14ac:dyDescent="0.2">
      <c r="A273">
        <f>ROW(Source!A92)</f>
        <v>92</v>
      </c>
      <c r="B273">
        <v>16499835</v>
      </c>
      <c r="C273">
        <v>16500600</v>
      </c>
      <c r="D273">
        <v>15191387</v>
      </c>
      <c r="E273">
        <v>1</v>
      </c>
      <c r="F273">
        <v>1</v>
      </c>
      <c r="G273">
        <v>1</v>
      </c>
      <c r="H273">
        <v>3</v>
      </c>
      <c r="I273" t="s">
        <v>20</v>
      </c>
      <c r="J273" t="s">
        <v>21</v>
      </c>
      <c r="K273" t="s">
        <v>22</v>
      </c>
      <c r="L273">
        <v>1348</v>
      </c>
      <c r="N273">
        <v>1009</v>
      </c>
      <c r="O273" t="s">
        <v>288</v>
      </c>
      <c r="P273" t="s">
        <v>288</v>
      </c>
      <c r="Q273">
        <v>1000</v>
      </c>
      <c r="W273">
        <v>0</v>
      </c>
      <c r="X273">
        <v>-272931147</v>
      </c>
      <c r="Y273">
        <v>1.1100000000000001</v>
      </c>
      <c r="AA273">
        <v>11200</v>
      </c>
      <c r="AB273">
        <v>0</v>
      </c>
      <c r="AC273">
        <v>0</v>
      </c>
      <c r="AD273">
        <v>0</v>
      </c>
      <c r="AE273">
        <v>11200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224</v>
      </c>
      <c r="AT273">
        <v>1.1100000000000001</v>
      </c>
      <c r="AU273" t="s">
        <v>224</v>
      </c>
      <c r="AV273">
        <v>0</v>
      </c>
      <c r="AW273">
        <v>2</v>
      </c>
      <c r="AX273">
        <v>16500609</v>
      </c>
      <c r="AY273">
        <v>1</v>
      </c>
      <c r="AZ273">
        <v>0</v>
      </c>
      <c r="BA273">
        <v>295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Y273*Source!I92</f>
        <v>0.33300000000000002</v>
      </c>
      <c r="CY273">
        <f t="shared" si="36"/>
        <v>11200</v>
      </c>
      <c r="CZ273">
        <f t="shared" si="37"/>
        <v>11200</v>
      </c>
      <c r="DA273">
        <f t="shared" si="38"/>
        <v>1</v>
      </c>
      <c r="DB273">
        <v>0</v>
      </c>
    </row>
    <row r="274" spans="1:106" x14ac:dyDescent="0.2">
      <c r="A274">
        <f>ROW(Source!A92)</f>
        <v>92</v>
      </c>
      <c r="B274">
        <v>16499835</v>
      </c>
      <c r="C274">
        <v>16500600</v>
      </c>
      <c r="D274">
        <v>15196000</v>
      </c>
      <c r="E274">
        <v>1</v>
      </c>
      <c r="F274">
        <v>1</v>
      </c>
      <c r="G274">
        <v>1</v>
      </c>
      <c r="H274">
        <v>3</v>
      </c>
      <c r="I274" t="s">
        <v>23</v>
      </c>
      <c r="J274" t="s">
        <v>24</v>
      </c>
      <c r="K274" t="s">
        <v>25</v>
      </c>
      <c r="L274">
        <v>1339</v>
      </c>
      <c r="N274">
        <v>1007</v>
      </c>
      <c r="O274" t="s">
        <v>691</v>
      </c>
      <c r="P274" t="s">
        <v>691</v>
      </c>
      <c r="Q274">
        <v>1</v>
      </c>
      <c r="W274">
        <v>0</v>
      </c>
      <c r="X274">
        <v>-2038575302</v>
      </c>
      <c r="Y274">
        <v>4.45</v>
      </c>
      <c r="AA274">
        <v>968</v>
      </c>
      <c r="AB274">
        <v>0</v>
      </c>
      <c r="AC274">
        <v>0</v>
      </c>
      <c r="AD274">
        <v>0</v>
      </c>
      <c r="AE274">
        <v>968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224</v>
      </c>
      <c r="AT274">
        <v>4.45</v>
      </c>
      <c r="AU274" t="s">
        <v>224</v>
      </c>
      <c r="AV274">
        <v>0</v>
      </c>
      <c r="AW274">
        <v>2</v>
      </c>
      <c r="AX274">
        <v>16500610</v>
      </c>
      <c r="AY274">
        <v>1</v>
      </c>
      <c r="AZ274">
        <v>0</v>
      </c>
      <c r="BA274">
        <v>296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Y274*Source!I92</f>
        <v>1.335</v>
      </c>
      <c r="CY274">
        <f t="shared" si="36"/>
        <v>968</v>
      </c>
      <c r="CZ274">
        <f t="shared" si="37"/>
        <v>968</v>
      </c>
      <c r="DA274">
        <f t="shared" si="38"/>
        <v>1</v>
      </c>
      <c r="DB274">
        <v>0</v>
      </c>
    </row>
    <row r="275" spans="1:106" x14ac:dyDescent="0.2">
      <c r="A275">
        <f>ROW(Source!A92)</f>
        <v>92</v>
      </c>
      <c r="B275">
        <v>16499835</v>
      </c>
      <c r="C275">
        <v>16500600</v>
      </c>
      <c r="D275">
        <v>15198456</v>
      </c>
      <c r="E275">
        <v>1</v>
      </c>
      <c r="F275">
        <v>1</v>
      </c>
      <c r="G275">
        <v>1</v>
      </c>
      <c r="H275">
        <v>3</v>
      </c>
      <c r="I275" t="s">
        <v>841</v>
      </c>
      <c r="J275" t="s">
        <v>842</v>
      </c>
      <c r="K275" t="s">
        <v>843</v>
      </c>
      <c r="L275">
        <v>1327</v>
      </c>
      <c r="N275">
        <v>1005</v>
      </c>
      <c r="O275" t="s">
        <v>277</v>
      </c>
      <c r="P275" t="s">
        <v>277</v>
      </c>
      <c r="Q275">
        <v>1</v>
      </c>
      <c r="W275">
        <v>0</v>
      </c>
      <c r="X275">
        <v>1398680772</v>
      </c>
      <c r="Y275">
        <v>20.100000000000001</v>
      </c>
      <c r="AA275">
        <v>6.22</v>
      </c>
      <c r="AB275">
        <v>0</v>
      </c>
      <c r="AC275">
        <v>0</v>
      </c>
      <c r="AD275">
        <v>0</v>
      </c>
      <c r="AE275">
        <v>6.22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224</v>
      </c>
      <c r="AT275">
        <v>20.100000000000001</v>
      </c>
      <c r="AU275" t="s">
        <v>224</v>
      </c>
      <c r="AV275">
        <v>0</v>
      </c>
      <c r="AW275">
        <v>2</v>
      </c>
      <c r="AX275">
        <v>16500611</v>
      </c>
      <c r="AY275">
        <v>1</v>
      </c>
      <c r="AZ275">
        <v>0</v>
      </c>
      <c r="BA275">
        <v>297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Y275*Source!I92</f>
        <v>6.03</v>
      </c>
      <c r="CY275">
        <f t="shared" si="36"/>
        <v>6.22</v>
      </c>
      <c r="CZ275">
        <f t="shared" si="37"/>
        <v>6.22</v>
      </c>
      <c r="DA275">
        <f t="shared" si="38"/>
        <v>1</v>
      </c>
      <c r="DB275">
        <v>0</v>
      </c>
    </row>
    <row r="276" spans="1:106" x14ac:dyDescent="0.2">
      <c r="A276">
        <f>ROW(Source!A92)</f>
        <v>92</v>
      </c>
      <c r="B276">
        <v>16499835</v>
      </c>
      <c r="C276">
        <v>16500600</v>
      </c>
      <c r="D276">
        <v>15202950</v>
      </c>
      <c r="E276">
        <v>1</v>
      </c>
      <c r="F276">
        <v>1</v>
      </c>
      <c r="G276">
        <v>1</v>
      </c>
      <c r="H276">
        <v>3</v>
      </c>
      <c r="I276" t="s">
        <v>26</v>
      </c>
      <c r="J276" t="s">
        <v>27</v>
      </c>
      <c r="K276" t="s">
        <v>28</v>
      </c>
      <c r="L276">
        <v>1348</v>
      </c>
      <c r="N276">
        <v>1009</v>
      </c>
      <c r="O276" t="s">
        <v>288</v>
      </c>
      <c r="P276" t="s">
        <v>288</v>
      </c>
      <c r="Q276">
        <v>1000</v>
      </c>
      <c r="W276">
        <v>0</v>
      </c>
      <c r="X276">
        <v>-1133395207</v>
      </c>
      <c r="Y276">
        <v>6.7000000000000004E-2</v>
      </c>
      <c r="AA276">
        <v>1695</v>
      </c>
      <c r="AB276">
        <v>0</v>
      </c>
      <c r="AC276">
        <v>0</v>
      </c>
      <c r="AD276">
        <v>0</v>
      </c>
      <c r="AE276">
        <v>1695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224</v>
      </c>
      <c r="AT276">
        <v>6.7000000000000004E-2</v>
      </c>
      <c r="AU276" t="s">
        <v>224</v>
      </c>
      <c r="AV276">
        <v>0</v>
      </c>
      <c r="AW276">
        <v>2</v>
      </c>
      <c r="AX276">
        <v>16500612</v>
      </c>
      <c r="AY276">
        <v>1</v>
      </c>
      <c r="AZ276">
        <v>0</v>
      </c>
      <c r="BA276">
        <v>298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Y276*Source!I92</f>
        <v>2.01E-2</v>
      </c>
      <c r="CY276">
        <f t="shared" si="36"/>
        <v>1695</v>
      </c>
      <c r="CZ276">
        <f t="shared" si="37"/>
        <v>1695</v>
      </c>
      <c r="DA276">
        <f t="shared" si="38"/>
        <v>1</v>
      </c>
      <c r="DB276">
        <v>0</v>
      </c>
    </row>
    <row r="277" spans="1:106" x14ac:dyDescent="0.2">
      <c r="A277">
        <f>ROW(Source!A93)</f>
        <v>93</v>
      </c>
      <c r="B277">
        <v>16499878</v>
      </c>
      <c r="C277">
        <v>16500600</v>
      </c>
      <c r="D277">
        <v>15430767</v>
      </c>
      <c r="E277">
        <v>1</v>
      </c>
      <c r="F277">
        <v>1</v>
      </c>
      <c r="G277">
        <v>1</v>
      </c>
      <c r="H277">
        <v>1</v>
      </c>
      <c r="I277" t="s">
        <v>9</v>
      </c>
      <c r="J277" t="s">
        <v>224</v>
      </c>
      <c r="K277" t="s">
        <v>10</v>
      </c>
      <c r="L277">
        <v>1191</v>
      </c>
      <c r="N277">
        <v>1013</v>
      </c>
      <c r="O277" t="s">
        <v>628</v>
      </c>
      <c r="P277" t="s">
        <v>628</v>
      </c>
      <c r="Q277">
        <v>1</v>
      </c>
      <c r="W277">
        <v>0</v>
      </c>
      <c r="X277">
        <v>-400197608</v>
      </c>
      <c r="Y277">
        <v>84.75</v>
      </c>
      <c r="AA277">
        <v>0</v>
      </c>
      <c r="AB277">
        <v>0</v>
      </c>
      <c r="AC277">
        <v>0</v>
      </c>
      <c r="AD277">
        <v>51.86</v>
      </c>
      <c r="AE277">
        <v>0</v>
      </c>
      <c r="AF277">
        <v>0</v>
      </c>
      <c r="AG277">
        <v>0</v>
      </c>
      <c r="AH277">
        <v>8.5299999999999994</v>
      </c>
      <c r="AI277">
        <v>1</v>
      </c>
      <c r="AJ277">
        <v>1</v>
      </c>
      <c r="AK277">
        <v>1</v>
      </c>
      <c r="AL277">
        <v>6.08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224</v>
      </c>
      <c r="AT277">
        <v>84.75</v>
      </c>
      <c r="AU277" t="s">
        <v>224</v>
      </c>
      <c r="AV277">
        <v>1</v>
      </c>
      <c r="AW277">
        <v>2</v>
      </c>
      <c r="AX277">
        <v>16500601</v>
      </c>
      <c r="AY277">
        <v>1</v>
      </c>
      <c r="AZ277">
        <v>0</v>
      </c>
      <c r="BA277">
        <v>299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Y277*Source!I93</f>
        <v>25.425000000000001</v>
      </c>
      <c r="CY277">
        <f>AD277</f>
        <v>51.86</v>
      </c>
      <c r="CZ277">
        <f>AH277</f>
        <v>8.5299999999999994</v>
      </c>
      <c r="DA277">
        <f>AL277</f>
        <v>6.08</v>
      </c>
      <c r="DB277">
        <v>0</v>
      </c>
    </row>
    <row r="278" spans="1:106" x14ac:dyDescent="0.2">
      <c r="A278">
        <f>ROW(Source!A93)</f>
        <v>93</v>
      </c>
      <c r="B278">
        <v>16499878</v>
      </c>
      <c r="C278">
        <v>16500600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629</v>
      </c>
      <c r="J278" t="s">
        <v>224</v>
      </c>
      <c r="K278" t="s">
        <v>630</v>
      </c>
      <c r="L278">
        <v>1191</v>
      </c>
      <c r="N278">
        <v>1013</v>
      </c>
      <c r="O278" t="s">
        <v>628</v>
      </c>
      <c r="P278" t="s">
        <v>628</v>
      </c>
      <c r="Q278">
        <v>1</v>
      </c>
      <c r="W278">
        <v>0</v>
      </c>
      <c r="X278">
        <v>-1417349443</v>
      </c>
      <c r="Y278">
        <v>3.19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6.08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224</v>
      </c>
      <c r="AT278">
        <v>3.19</v>
      </c>
      <c r="AU278" t="s">
        <v>224</v>
      </c>
      <c r="AV278">
        <v>2</v>
      </c>
      <c r="AW278">
        <v>2</v>
      </c>
      <c r="AX278">
        <v>16500602</v>
      </c>
      <c r="AY278">
        <v>1</v>
      </c>
      <c r="AZ278">
        <v>0</v>
      </c>
      <c r="BA278">
        <v>300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Y278*Source!I93</f>
        <v>0.95699999999999996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ROW(Source!A93)</f>
        <v>93</v>
      </c>
      <c r="B279">
        <v>16499878</v>
      </c>
      <c r="C279">
        <v>16500600</v>
      </c>
      <c r="D279">
        <v>15247578</v>
      </c>
      <c r="E279">
        <v>1</v>
      </c>
      <c r="F279">
        <v>1</v>
      </c>
      <c r="G279">
        <v>1</v>
      </c>
      <c r="H279">
        <v>2</v>
      </c>
      <c r="I279" t="s">
        <v>11</v>
      </c>
      <c r="J279" t="s">
        <v>12</v>
      </c>
      <c r="K279" t="s">
        <v>13</v>
      </c>
      <c r="L279">
        <v>1368</v>
      </c>
      <c r="N279">
        <v>1011</v>
      </c>
      <c r="O279" t="s">
        <v>634</v>
      </c>
      <c r="P279" t="s">
        <v>634</v>
      </c>
      <c r="Q279">
        <v>1</v>
      </c>
      <c r="W279">
        <v>0</v>
      </c>
      <c r="X279">
        <v>-1460065968</v>
      </c>
      <c r="Y279">
        <v>1.34</v>
      </c>
      <c r="AA279">
        <v>0</v>
      </c>
      <c r="AB279">
        <v>525.30999999999995</v>
      </c>
      <c r="AC279">
        <v>13.5</v>
      </c>
      <c r="AD279">
        <v>0</v>
      </c>
      <c r="AE279">
        <v>0</v>
      </c>
      <c r="AF279">
        <v>86.4</v>
      </c>
      <c r="AG279">
        <v>13.5</v>
      </c>
      <c r="AH279">
        <v>0</v>
      </c>
      <c r="AI279">
        <v>1</v>
      </c>
      <c r="AJ279">
        <v>6.08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224</v>
      </c>
      <c r="AT279">
        <v>1.34</v>
      </c>
      <c r="AU279" t="s">
        <v>224</v>
      </c>
      <c r="AV279">
        <v>0</v>
      </c>
      <c r="AW279">
        <v>2</v>
      </c>
      <c r="AX279">
        <v>16500603</v>
      </c>
      <c r="AY279">
        <v>1</v>
      </c>
      <c r="AZ279">
        <v>0</v>
      </c>
      <c r="BA279">
        <v>301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Y279*Source!I93</f>
        <v>0.40200000000000002</v>
      </c>
      <c r="CY279">
        <f>AB279</f>
        <v>525.30999999999995</v>
      </c>
      <c r="CZ279">
        <f>AF279</f>
        <v>86.4</v>
      </c>
      <c r="DA279">
        <f>AJ279</f>
        <v>6.08</v>
      </c>
      <c r="DB279">
        <v>0</v>
      </c>
    </row>
    <row r="280" spans="1:106" x14ac:dyDescent="0.2">
      <c r="A280">
        <f>ROW(Source!A93)</f>
        <v>93</v>
      </c>
      <c r="B280">
        <v>16499878</v>
      </c>
      <c r="C280">
        <v>16500600</v>
      </c>
      <c r="D280">
        <v>15247680</v>
      </c>
      <c r="E280">
        <v>1</v>
      </c>
      <c r="F280">
        <v>1</v>
      </c>
      <c r="G280">
        <v>1</v>
      </c>
      <c r="H280">
        <v>2</v>
      </c>
      <c r="I280" t="s">
        <v>670</v>
      </c>
      <c r="J280" t="s">
        <v>671</v>
      </c>
      <c r="K280" t="s">
        <v>672</v>
      </c>
      <c r="L280">
        <v>1368</v>
      </c>
      <c r="N280">
        <v>1011</v>
      </c>
      <c r="O280" t="s">
        <v>634</v>
      </c>
      <c r="P280" t="s">
        <v>634</v>
      </c>
      <c r="Q280">
        <v>1</v>
      </c>
      <c r="W280">
        <v>0</v>
      </c>
      <c r="X280">
        <v>-1718674368</v>
      </c>
      <c r="Y280">
        <v>0.77</v>
      </c>
      <c r="AA280">
        <v>0</v>
      </c>
      <c r="AB280">
        <v>680.9</v>
      </c>
      <c r="AC280">
        <v>13.5</v>
      </c>
      <c r="AD280">
        <v>0</v>
      </c>
      <c r="AE280">
        <v>0</v>
      </c>
      <c r="AF280">
        <v>111.99</v>
      </c>
      <c r="AG280">
        <v>13.5</v>
      </c>
      <c r="AH280">
        <v>0</v>
      </c>
      <c r="AI280">
        <v>1</v>
      </c>
      <c r="AJ280">
        <v>6.08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224</v>
      </c>
      <c r="AT280">
        <v>0.77</v>
      </c>
      <c r="AU280" t="s">
        <v>224</v>
      </c>
      <c r="AV280">
        <v>0</v>
      </c>
      <c r="AW280">
        <v>2</v>
      </c>
      <c r="AX280">
        <v>16500604</v>
      </c>
      <c r="AY280">
        <v>1</v>
      </c>
      <c r="AZ280">
        <v>0</v>
      </c>
      <c r="BA280">
        <v>302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Y280*Source!I93</f>
        <v>0.23099999999999998</v>
      </c>
      <c r="CY280">
        <f>AB280</f>
        <v>680.9</v>
      </c>
      <c r="CZ280">
        <f>AF280</f>
        <v>111.99</v>
      </c>
      <c r="DA280">
        <f>AJ280</f>
        <v>6.08</v>
      </c>
      <c r="DB280">
        <v>0</v>
      </c>
    </row>
    <row r="281" spans="1:106" x14ac:dyDescent="0.2">
      <c r="A281">
        <f>ROW(Source!A93)</f>
        <v>93</v>
      </c>
      <c r="B281">
        <v>16499878</v>
      </c>
      <c r="C281">
        <v>16500600</v>
      </c>
      <c r="D281">
        <v>15249073</v>
      </c>
      <c r="E281">
        <v>1</v>
      </c>
      <c r="F281">
        <v>1</v>
      </c>
      <c r="G281">
        <v>1</v>
      </c>
      <c r="H281">
        <v>2</v>
      </c>
      <c r="I281" t="s">
        <v>631</v>
      </c>
      <c r="J281" t="s">
        <v>632</v>
      </c>
      <c r="K281" t="s">
        <v>633</v>
      </c>
      <c r="L281">
        <v>1368</v>
      </c>
      <c r="N281">
        <v>1011</v>
      </c>
      <c r="O281" t="s">
        <v>634</v>
      </c>
      <c r="P281" t="s">
        <v>634</v>
      </c>
      <c r="Q281">
        <v>1</v>
      </c>
      <c r="W281">
        <v>0</v>
      </c>
      <c r="X281">
        <v>1372534845</v>
      </c>
      <c r="Y281">
        <v>1.08</v>
      </c>
      <c r="AA281">
        <v>0</v>
      </c>
      <c r="AB281">
        <v>399.52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6.08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224</v>
      </c>
      <c r="AT281">
        <v>1.08</v>
      </c>
      <c r="AU281" t="s">
        <v>224</v>
      </c>
      <c r="AV281">
        <v>0</v>
      </c>
      <c r="AW281">
        <v>2</v>
      </c>
      <c r="AX281">
        <v>16500605</v>
      </c>
      <c r="AY281">
        <v>1</v>
      </c>
      <c r="AZ281">
        <v>0</v>
      </c>
      <c r="BA281">
        <v>303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Y281*Source!I93</f>
        <v>0.32400000000000001</v>
      </c>
      <c r="CY281">
        <f>AB281</f>
        <v>399.52</v>
      </c>
      <c r="CZ281">
        <f>AF281</f>
        <v>65.709999999999994</v>
      </c>
      <c r="DA281">
        <f>AJ281</f>
        <v>6.08</v>
      </c>
      <c r="DB281">
        <v>0</v>
      </c>
    </row>
    <row r="282" spans="1:106" x14ac:dyDescent="0.2">
      <c r="A282">
        <f>ROW(Source!A93)</f>
        <v>93</v>
      </c>
      <c r="B282">
        <v>16499878</v>
      </c>
      <c r="C282">
        <v>16500600</v>
      </c>
      <c r="D282">
        <v>15170033</v>
      </c>
      <c r="E282">
        <v>1</v>
      </c>
      <c r="F282">
        <v>1</v>
      </c>
      <c r="G282">
        <v>1</v>
      </c>
      <c r="H282">
        <v>3</v>
      </c>
      <c r="I282" t="s">
        <v>14</v>
      </c>
      <c r="J282" t="s">
        <v>15</v>
      </c>
      <c r="K282" t="s">
        <v>16</v>
      </c>
      <c r="L282">
        <v>1348</v>
      </c>
      <c r="N282">
        <v>1009</v>
      </c>
      <c r="O282" t="s">
        <v>288</v>
      </c>
      <c r="P282" t="s">
        <v>288</v>
      </c>
      <c r="Q282">
        <v>1000</v>
      </c>
      <c r="W282">
        <v>0</v>
      </c>
      <c r="X282">
        <v>34773134</v>
      </c>
      <c r="Y282">
        <v>1.14E-2</v>
      </c>
      <c r="AA282">
        <v>72826.240000000005</v>
      </c>
      <c r="AB282">
        <v>0</v>
      </c>
      <c r="AC282">
        <v>0</v>
      </c>
      <c r="AD282">
        <v>0</v>
      </c>
      <c r="AE282">
        <v>11978</v>
      </c>
      <c r="AF282">
        <v>0</v>
      </c>
      <c r="AG282">
        <v>0</v>
      </c>
      <c r="AH282">
        <v>0</v>
      </c>
      <c r="AI282">
        <v>6.08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224</v>
      </c>
      <c r="AT282">
        <v>1.14E-2</v>
      </c>
      <c r="AU282" t="s">
        <v>224</v>
      </c>
      <c r="AV282">
        <v>0</v>
      </c>
      <c r="AW282">
        <v>2</v>
      </c>
      <c r="AX282">
        <v>16500606</v>
      </c>
      <c r="AY282">
        <v>1</v>
      </c>
      <c r="AZ282">
        <v>0</v>
      </c>
      <c r="BA282">
        <v>304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Y282*Source!I93</f>
        <v>3.4199999999999999E-3</v>
      </c>
      <c r="CY282">
        <f t="shared" ref="CY282:CY288" si="39">AA282</f>
        <v>72826.240000000005</v>
      </c>
      <c r="CZ282">
        <f t="shared" ref="CZ282:CZ288" si="40">AE282</f>
        <v>11978</v>
      </c>
      <c r="DA282">
        <f t="shared" ref="DA282:DA288" si="41">AI282</f>
        <v>6.08</v>
      </c>
      <c r="DB282">
        <v>0</v>
      </c>
    </row>
    <row r="283" spans="1:106" x14ac:dyDescent="0.2">
      <c r="A283">
        <f>ROW(Source!A93)</f>
        <v>93</v>
      </c>
      <c r="B283">
        <v>16499878</v>
      </c>
      <c r="C283">
        <v>16500600</v>
      </c>
      <c r="D283">
        <v>15170059</v>
      </c>
      <c r="E283">
        <v>1</v>
      </c>
      <c r="F283">
        <v>1</v>
      </c>
      <c r="G283">
        <v>1</v>
      </c>
      <c r="H283">
        <v>3</v>
      </c>
      <c r="I283" t="s">
        <v>822</v>
      </c>
      <c r="J283" t="s">
        <v>823</v>
      </c>
      <c r="K283" t="s">
        <v>824</v>
      </c>
      <c r="L283">
        <v>1348</v>
      </c>
      <c r="N283">
        <v>1009</v>
      </c>
      <c r="O283" t="s">
        <v>288</v>
      </c>
      <c r="P283" t="s">
        <v>288</v>
      </c>
      <c r="Q283">
        <v>1000</v>
      </c>
      <c r="W283">
        <v>0</v>
      </c>
      <c r="X283">
        <v>-1818623805</v>
      </c>
      <c r="Y283">
        <v>2.5000000000000001E-3</v>
      </c>
      <c r="AA283">
        <v>51528</v>
      </c>
      <c r="AB283">
        <v>0</v>
      </c>
      <c r="AC283">
        <v>0</v>
      </c>
      <c r="AD283">
        <v>0</v>
      </c>
      <c r="AE283">
        <v>8475</v>
      </c>
      <c r="AF283">
        <v>0</v>
      </c>
      <c r="AG283">
        <v>0</v>
      </c>
      <c r="AH283">
        <v>0</v>
      </c>
      <c r="AI283">
        <v>6.08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224</v>
      </c>
      <c r="AT283">
        <v>2.5000000000000001E-3</v>
      </c>
      <c r="AU283" t="s">
        <v>224</v>
      </c>
      <c r="AV283">
        <v>0</v>
      </c>
      <c r="AW283">
        <v>2</v>
      </c>
      <c r="AX283">
        <v>16500607</v>
      </c>
      <c r="AY283">
        <v>1</v>
      </c>
      <c r="AZ283">
        <v>0</v>
      </c>
      <c r="BA283">
        <v>305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Y283*Source!I93</f>
        <v>7.5000000000000002E-4</v>
      </c>
      <c r="CY283">
        <f t="shared" si="39"/>
        <v>51528</v>
      </c>
      <c r="CZ283">
        <f t="shared" si="40"/>
        <v>8475</v>
      </c>
      <c r="DA283">
        <f t="shared" si="41"/>
        <v>6.08</v>
      </c>
      <c r="DB283">
        <v>0</v>
      </c>
    </row>
    <row r="284" spans="1:106" x14ac:dyDescent="0.2">
      <c r="A284">
        <f>ROW(Source!A93)</f>
        <v>93</v>
      </c>
      <c r="B284">
        <v>16499878</v>
      </c>
      <c r="C284">
        <v>16500600</v>
      </c>
      <c r="D284">
        <v>15189804</v>
      </c>
      <c r="E284">
        <v>1</v>
      </c>
      <c r="F284">
        <v>1</v>
      </c>
      <c r="G284">
        <v>1</v>
      </c>
      <c r="H284">
        <v>3</v>
      </c>
      <c r="I284" t="s">
        <v>17</v>
      </c>
      <c r="J284" t="s">
        <v>18</v>
      </c>
      <c r="K284" t="s">
        <v>19</v>
      </c>
      <c r="L284">
        <v>1348</v>
      </c>
      <c r="N284">
        <v>1009</v>
      </c>
      <c r="O284" t="s">
        <v>288</v>
      </c>
      <c r="P284" t="s">
        <v>288</v>
      </c>
      <c r="Q284">
        <v>1000</v>
      </c>
      <c r="W284">
        <v>0</v>
      </c>
      <c r="X284">
        <v>-1519930531</v>
      </c>
      <c r="Y284">
        <v>0.1</v>
      </c>
      <c r="AA284">
        <v>48500.160000000003</v>
      </c>
      <c r="AB284">
        <v>0</v>
      </c>
      <c r="AC284">
        <v>0</v>
      </c>
      <c r="AD284">
        <v>0</v>
      </c>
      <c r="AE284">
        <v>7977</v>
      </c>
      <c r="AF284">
        <v>0</v>
      </c>
      <c r="AG284">
        <v>0</v>
      </c>
      <c r="AH284">
        <v>0</v>
      </c>
      <c r="AI284">
        <v>6.08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224</v>
      </c>
      <c r="AT284">
        <v>0.1</v>
      </c>
      <c r="AU284" t="s">
        <v>224</v>
      </c>
      <c r="AV284">
        <v>0</v>
      </c>
      <c r="AW284">
        <v>2</v>
      </c>
      <c r="AX284">
        <v>16500608</v>
      </c>
      <c r="AY284">
        <v>1</v>
      </c>
      <c r="AZ284">
        <v>0</v>
      </c>
      <c r="BA284">
        <v>306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Y284*Source!I93</f>
        <v>0.03</v>
      </c>
      <c r="CY284">
        <f t="shared" si="39"/>
        <v>48500.160000000003</v>
      </c>
      <c r="CZ284">
        <f t="shared" si="40"/>
        <v>7977</v>
      </c>
      <c r="DA284">
        <f t="shared" si="41"/>
        <v>6.08</v>
      </c>
      <c r="DB284">
        <v>0</v>
      </c>
    </row>
    <row r="285" spans="1:106" x14ac:dyDescent="0.2">
      <c r="A285">
        <f>ROW(Source!A93)</f>
        <v>93</v>
      </c>
      <c r="B285">
        <v>16499878</v>
      </c>
      <c r="C285">
        <v>16500600</v>
      </c>
      <c r="D285">
        <v>15191387</v>
      </c>
      <c r="E285">
        <v>1</v>
      </c>
      <c r="F285">
        <v>1</v>
      </c>
      <c r="G285">
        <v>1</v>
      </c>
      <c r="H285">
        <v>3</v>
      </c>
      <c r="I285" t="s">
        <v>20</v>
      </c>
      <c r="J285" t="s">
        <v>21</v>
      </c>
      <c r="K285" t="s">
        <v>22</v>
      </c>
      <c r="L285">
        <v>1348</v>
      </c>
      <c r="N285">
        <v>1009</v>
      </c>
      <c r="O285" t="s">
        <v>288</v>
      </c>
      <c r="P285" t="s">
        <v>288</v>
      </c>
      <c r="Q285">
        <v>1000</v>
      </c>
      <c r="W285">
        <v>0</v>
      </c>
      <c r="X285">
        <v>-272931147</v>
      </c>
      <c r="Y285">
        <v>1.1100000000000001</v>
      </c>
      <c r="AA285">
        <v>68096</v>
      </c>
      <c r="AB285">
        <v>0</v>
      </c>
      <c r="AC285">
        <v>0</v>
      </c>
      <c r="AD285">
        <v>0</v>
      </c>
      <c r="AE285">
        <v>11200</v>
      </c>
      <c r="AF285">
        <v>0</v>
      </c>
      <c r="AG285">
        <v>0</v>
      </c>
      <c r="AH285">
        <v>0</v>
      </c>
      <c r="AI285">
        <v>6.08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224</v>
      </c>
      <c r="AT285">
        <v>1.1100000000000001</v>
      </c>
      <c r="AU285" t="s">
        <v>224</v>
      </c>
      <c r="AV285">
        <v>0</v>
      </c>
      <c r="AW285">
        <v>2</v>
      </c>
      <c r="AX285">
        <v>16500609</v>
      </c>
      <c r="AY285">
        <v>1</v>
      </c>
      <c r="AZ285">
        <v>0</v>
      </c>
      <c r="BA285">
        <v>307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Y285*Source!I93</f>
        <v>0.33300000000000002</v>
      </c>
      <c r="CY285">
        <f t="shared" si="39"/>
        <v>68096</v>
      </c>
      <c r="CZ285">
        <f t="shared" si="40"/>
        <v>11200</v>
      </c>
      <c r="DA285">
        <f t="shared" si="41"/>
        <v>6.08</v>
      </c>
      <c r="DB285">
        <v>0</v>
      </c>
    </row>
    <row r="286" spans="1:106" x14ac:dyDescent="0.2">
      <c r="A286">
        <f>ROW(Source!A93)</f>
        <v>93</v>
      </c>
      <c r="B286">
        <v>16499878</v>
      </c>
      <c r="C286">
        <v>16500600</v>
      </c>
      <c r="D286">
        <v>15196000</v>
      </c>
      <c r="E286">
        <v>1</v>
      </c>
      <c r="F286">
        <v>1</v>
      </c>
      <c r="G286">
        <v>1</v>
      </c>
      <c r="H286">
        <v>3</v>
      </c>
      <c r="I286" t="s">
        <v>23</v>
      </c>
      <c r="J286" t="s">
        <v>24</v>
      </c>
      <c r="K286" t="s">
        <v>25</v>
      </c>
      <c r="L286">
        <v>1339</v>
      </c>
      <c r="N286">
        <v>1007</v>
      </c>
      <c r="O286" t="s">
        <v>691</v>
      </c>
      <c r="P286" t="s">
        <v>691</v>
      </c>
      <c r="Q286">
        <v>1</v>
      </c>
      <c r="W286">
        <v>0</v>
      </c>
      <c r="X286">
        <v>-2038575302</v>
      </c>
      <c r="Y286">
        <v>4.45</v>
      </c>
      <c r="AA286">
        <v>5885.44</v>
      </c>
      <c r="AB286">
        <v>0</v>
      </c>
      <c r="AC286">
        <v>0</v>
      </c>
      <c r="AD286">
        <v>0</v>
      </c>
      <c r="AE286">
        <v>968</v>
      </c>
      <c r="AF286">
        <v>0</v>
      </c>
      <c r="AG286">
        <v>0</v>
      </c>
      <c r="AH286">
        <v>0</v>
      </c>
      <c r="AI286">
        <v>6.08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224</v>
      </c>
      <c r="AT286">
        <v>4.45</v>
      </c>
      <c r="AU286" t="s">
        <v>224</v>
      </c>
      <c r="AV286">
        <v>0</v>
      </c>
      <c r="AW286">
        <v>2</v>
      </c>
      <c r="AX286">
        <v>16500610</v>
      </c>
      <c r="AY286">
        <v>1</v>
      </c>
      <c r="AZ286">
        <v>0</v>
      </c>
      <c r="BA286">
        <v>308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Y286*Source!I93</f>
        <v>1.335</v>
      </c>
      <c r="CY286">
        <f t="shared" si="39"/>
        <v>5885.44</v>
      </c>
      <c r="CZ286">
        <f t="shared" si="40"/>
        <v>968</v>
      </c>
      <c r="DA286">
        <f t="shared" si="41"/>
        <v>6.08</v>
      </c>
      <c r="DB286">
        <v>0</v>
      </c>
    </row>
    <row r="287" spans="1:106" x14ac:dyDescent="0.2">
      <c r="A287">
        <f>ROW(Source!A93)</f>
        <v>93</v>
      </c>
      <c r="B287">
        <v>16499878</v>
      </c>
      <c r="C287">
        <v>16500600</v>
      </c>
      <c r="D287">
        <v>15198456</v>
      </c>
      <c r="E287">
        <v>1</v>
      </c>
      <c r="F287">
        <v>1</v>
      </c>
      <c r="G287">
        <v>1</v>
      </c>
      <c r="H287">
        <v>3</v>
      </c>
      <c r="I287" t="s">
        <v>841</v>
      </c>
      <c r="J287" t="s">
        <v>842</v>
      </c>
      <c r="K287" t="s">
        <v>843</v>
      </c>
      <c r="L287">
        <v>1327</v>
      </c>
      <c r="N287">
        <v>1005</v>
      </c>
      <c r="O287" t="s">
        <v>277</v>
      </c>
      <c r="P287" t="s">
        <v>277</v>
      </c>
      <c r="Q287">
        <v>1</v>
      </c>
      <c r="W287">
        <v>0</v>
      </c>
      <c r="X287">
        <v>1398680772</v>
      </c>
      <c r="Y287">
        <v>20.100000000000001</v>
      </c>
      <c r="AA287">
        <v>37.82</v>
      </c>
      <c r="AB287">
        <v>0</v>
      </c>
      <c r="AC287">
        <v>0</v>
      </c>
      <c r="AD287">
        <v>0</v>
      </c>
      <c r="AE287">
        <v>6.22</v>
      </c>
      <c r="AF287">
        <v>0</v>
      </c>
      <c r="AG287">
        <v>0</v>
      </c>
      <c r="AH287">
        <v>0</v>
      </c>
      <c r="AI287">
        <v>6.08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224</v>
      </c>
      <c r="AT287">
        <v>20.100000000000001</v>
      </c>
      <c r="AU287" t="s">
        <v>224</v>
      </c>
      <c r="AV287">
        <v>0</v>
      </c>
      <c r="AW287">
        <v>2</v>
      </c>
      <c r="AX287">
        <v>16500611</v>
      </c>
      <c r="AY287">
        <v>1</v>
      </c>
      <c r="AZ287">
        <v>0</v>
      </c>
      <c r="BA287">
        <v>309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Y287*Source!I93</f>
        <v>6.03</v>
      </c>
      <c r="CY287">
        <f t="shared" si="39"/>
        <v>37.82</v>
      </c>
      <c r="CZ287">
        <f t="shared" si="40"/>
        <v>6.22</v>
      </c>
      <c r="DA287">
        <f t="shared" si="41"/>
        <v>6.08</v>
      </c>
      <c r="DB287">
        <v>0</v>
      </c>
    </row>
    <row r="288" spans="1:106" x14ac:dyDescent="0.2">
      <c r="A288">
        <f>ROW(Source!A93)</f>
        <v>93</v>
      </c>
      <c r="B288">
        <v>16499878</v>
      </c>
      <c r="C288">
        <v>16500600</v>
      </c>
      <c r="D288">
        <v>15202950</v>
      </c>
      <c r="E288">
        <v>1</v>
      </c>
      <c r="F288">
        <v>1</v>
      </c>
      <c r="G288">
        <v>1</v>
      </c>
      <c r="H288">
        <v>3</v>
      </c>
      <c r="I288" t="s">
        <v>26</v>
      </c>
      <c r="J288" t="s">
        <v>27</v>
      </c>
      <c r="K288" t="s">
        <v>28</v>
      </c>
      <c r="L288">
        <v>1348</v>
      </c>
      <c r="N288">
        <v>1009</v>
      </c>
      <c r="O288" t="s">
        <v>288</v>
      </c>
      <c r="P288" t="s">
        <v>288</v>
      </c>
      <c r="Q288">
        <v>1000</v>
      </c>
      <c r="W288">
        <v>0</v>
      </c>
      <c r="X288">
        <v>-1133395207</v>
      </c>
      <c r="Y288">
        <v>6.7000000000000004E-2</v>
      </c>
      <c r="AA288">
        <v>10305.6</v>
      </c>
      <c r="AB288">
        <v>0</v>
      </c>
      <c r="AC288">
        <v>0</v>
      </c>
      <c r="AD288">
        <v>0</v>
      </c>
      <c r="AE288">
        <v>1695</v>
      </c>
      <c r="AF288">
        <v>0</v>
      </c>
      <c r="AG288">
        <v>0</v>
      </c>
      <c r="AH288">
        <v>0</v>
      </c>
      <c r="AI288">
        <v>6.08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224</v>
      </c>
      <c r="AT288">
        <v>6.7000000000000004E-2</v>
      </c>
      <c r="AU288" t="s">
        <v>224</v>
      </c>
      <c r="AV288">
        <v>0</v>
      </c>
      <c r="AW288">
        <v>2</v>
      </c>
      <c r="AX288">
        <v>16500612</v>
      </c>
      <c r="AY288">
        <v>1</v>
      </c>
      <c r="AZ288">
        <v>0</v>
      </c>
      <c r="BA288">
        <v>310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Y288*Source!I93</f>
        <v>2.01E-2</v>
      </c>
      <c r="CY288">
        <f t="shared" si="39"/>
        <v>10305.6</v>
      </c>
      <c r="CZ288">
        <f t="shared" si="40"/>
        <v>1695</v>
      </c>
      <c r="DA288">
        <f t="shared" si="41"/>
        <v>6.08</v>
      </c>
      <c r="DB288">
        <v>0</v>
      </c>
    </row>
    <row r="289" spans="1:106" x14ac:dyDescent="0.2">
      <c r="A289">
        <f>ROW(Source!A94)</f>
        <v>94</v>
      </c>
      <c r="B289">
        <v>16499835</v>
      </c>
      <c r="C289">
        <v>16500613</v>
      </c>
      <c r="D289">
        <v>15430397</v>
      </c>
      <c r="E289">
        <v>1</v>
      </c>
      <c r="F289">
        <v>1</v>
      </c>
      <c r="G289">
        <v>1</v>
      </c>
      <c r="H289">
        <v>1</v>
      </c>
      <c r="I289" t="s">
        <v>739</v>
      </c>
      <c r="J289" t="s">
        <v>224</v>
      </c>
      <c r="K289" t="s">
        <v>740</v>
      </c>
      <c r="L289">
        <v>1191</v>
      </c>
      <c r="N289">
        <v>1013</v>
      </c>
      <c r="O289" t="s">
        <v>628</v>
      </c>
      <c r="P289" t="s">
        <v>628</v>
      </c>
      <c r="Q289">
        <v>1</v>
      </c>
      <c r="W289">
        <v>0</v>
      </c>
      <c r="X289">
        <v>-1081351934</v>
      </c>
      <c r="Y289">
        <v>16.513999999999999</v>
      </c>
      <c r="AA289">
        <v>0</v>
      </c>
      <c r="AB289">
        <v>0</v>
      </c>
      <c r="AC289">
        <v>0</v>
      </c>
      <c r="AD289">
        <v>9.4</v>
      </c>
      <c r="AE289">
        <v>0</v>
      </c>
      <c r="AF289">
        <v>0</v>
      </c>
      <c r="AG289">
        <v>0</v>
      </c>
      <c r="AH289">
        <v>9.4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224</v>
      </c>
      <c r="AT289">
        <v>14.36</v>
      </c>
      <c r="AU289" t="s">
        <v>240</v>
      </c>
      <c r="AV289">
        <v>1</v>
      </c>
      <c r="AW289">
        <v>2</v>
      </c>
      <c r="AX289">
        <v>16500614</v>
      </c>
      <c r="AY289">
        <v>1</v>
      </c>
      <c r="AZ289">
        <v>0</v>
      </c>
      <c r="BA289">
        <v>311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Y289*Source!I94</f>
        <v>4.9541999999999993</v>
      </c>
      <c r="CY289">
        <f>AD289</f>
        <v>9.4</v>
      </c>
      <c r="CZ289">
        <f>AH289</f>
        <v>9.4</v>
      </c>
      <c r="DA289">
        <f>AL289</f>
        <v>1</v>
      </c>
      <c r="DB289">
        <v>0</v>
      </c>
    </row>
    <row r="290" spans="1:106" x14ac:dyDescent="0.2">
      <c r="A290">
        <f>ROW(Source!A94)</f>
        <v>94</v>
      </c>
      <c r="B290">
        <v>16499835</v>
      </c>
      <c r="C290">
        <v>16500613</v>
      </c>
      <c r="D290">
        <v>15430395</v>
      </c>
      <c r="E290">
        <v>1</v>
      </c>
      <c r="F290">
        <v>1</v>
      </c>
      <c r="G290">
        <v>1</v>
      </c>
      <c r="H290">
        <v>1</v>
      </c>
      <c r="I290" t="s">
        <v>629</v>
      </c>
      <c r="J290" t="s">
        <v>224</v>
      </c>
      <c r="K290" t="s">
        <v>630</v>
      </c>
      <c r="L290">
        <v>1191</v>
      </c>
      <c r="N290">
        <v>1013</v>
      </c>
      <c r="O290" t="s">
        <v>628</v>
      </c>
      <c r="P290" t="s">
        <v>628</v>
      </c>
      <c r="Q290">
        <v>1</v>
      </c>
      <c r="W290">
        <v>0</v>
      </c>
      <c r="X290">
        <v>-1417349443</v>
      </c>
      <c r="Y290">
        <v>0.28999999999999998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224</v>
      </c>
      <c r="AT290">
        <v>0.28999999999999998</v>
      </c>
      <c r="AU290" t="s">
        <v>224</v>
      </c>
      <c r="AV290">
        <v>2</v>
      </c>
      <c r="AW290">
        <v>2</v>
      </c>
      <c r="AX290">
        <v>16500615</v>
      </c>
      <c r="AY290">
        <v>1</v>
      </c>
      <c r="AZ290">
        <v>2048</v>
      </c>
      <c r="BA290">
        <v>312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Y290*Source!I94</f>
        <v>8.6999999999999994E-2</v>
      </c>
      <c r="CY290">
        <f>AD290</f>
        <v>0</v>
      </c>
      <c r="CZ290">
        <f>AH290</f>
        <v>0</v>
      </c>
      <c r="DA290">
        <f>AL290</f>
        <v>1</v>
      </c>
      <c r="DB290">
        <v>0</v>
      </c>
    </row>
    <row r="291" spans="1:106" x14ac:dyDescent="0.2">
      <c r="A291">
        <f>ROW(Source!A94)</f>
        <v>94</v>
      </c>
      <c r="B291">
        <v>16499835</v>
      </c>
      <c r="C291">
        <v>16500613</v>
      </c>
      <c r="D291">
        <v>15247578</v>
      </c>
      <c r="E291">
        <v>1</v>
      </c>
      <c r="F291">
        <v>1</v>
      </c>
      <c r="G291">
        <v>1</v>
      </c>
      <c r="H291">
        <v>2</v>
      </c>
      <c r="I291" t="s">
        <v>11</v>
      </c>
      <c r="J291" t="s">
        <v>12</v>
      </c>
      <c r="K291" t="s">
        <v>13</v>
      </c>
      <c r="L291">
        <v>1368</v>
      </c>
      <c r="N291">
        <v>1011</v>
      </c>
      <c r="O291" t="s">
        <v>634</v>
      </c>
      <c r="P291" t="s">
        <v>634</v>
      </c>
      <c r="Q291">
        <v>1</v>
      </c>
      <c r="W291">
        <v>0</v>
      </c>
      <c r="X291">
        <v>-1460065968</v>
      </c>
      <c r="Y291">
        <v>0.1875</v>
      </c>
      <c r="AA291">
        <v>0</v>
      </c>
      <c r="AB291">
        <v>86.4</v>
      </c>
      <c r="AC291">
        <v>13.5</v>
      </c>
      <c r="AD291">
        <v>0</v>
      </c>
      <c r="AE291">
        <v>0</v>
      </c>
      <c r="AF291">
        <v>86.4</v>
      </c>
      <c r="AG291">
        <v>13.5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224</v>
      </c>
      <c r="AT291">
        <v>0.15</v>
      </c>
      <c r="AU291" t="s">
        <v>239</v>
      </c>
      <c r="AV291">
        <v>0</v>
      </c>
      <c r="AW291">
        <v>2</v>
      </c>
      <c r="AX291">
        <v>16500616</v>
      </c>
      <c r="AY291">
        <v>1</v>
      </c>
      <c r="AZ291">
        <v>0</v>
      </c>
      <c r="BA291">
        <v>313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Y291*Source!I94</f>
        <v>5.6249999999999994E-2</v>
      </c>
      <c r="CY291">
        <f>AB291</f>
        <v>86.4</v>
      </c>
      <c r="CZ291">
        <f>AF291</f>
        <v>86.4</v>
      </c>
      <c r="DA291">
        <f>AJ291</f>
        <v>1</v>
      </c>
      <c r="DB291">
        <v>0</v>
      </c>
    </row>
    <row r="292" spans="1:106" x14ac:dyDescent="0.2">
      <c r="A292">
        <f>ROW(Source!A94)</f>
        <v>94</v>
      </c>
      <c r="B292">
        <v>16499835</v>
      </c>
      <c r="C292">
        <v>16500613</v>
      </c>
      <c r="D292">
        <v>15247680</v>
      </c>
      <c r="E292">
        <v>1</v>
      </c>
      <c r="F292">
        <v>1</v>
      </c>
      <c r="G292">
        <v>1</v>
      </c>
      <c r="H292">
        <v>2</v>
      </c>
      <c r="I292" t="s">
        <v>670</v>
      </c>
      <c r="J292" t="s">
        <v>671</v>
      </c>
      <c r="K292" t="s">
        <v>672</v>
      </c>
      <c r="L292">
        <v>1368</v>
      </c>
      <c r="N292">
        <v>1011</v>
      </c>
      <c r="O292" t="s">
        <v>634</v>
      </c>
      <c r="P292" t="s">
        <v>634</v>
      </c>
      <c r="Q292">
        <v>1</v>
      </c>
      <c r="W292">
        <v>0</v>
      </c>
      <c r="X292">
        <v>-1718674368</v>
      </c>
      <c r="Y292">
        <v>6.25E-2</v>
      </c>
      <c r="AA292">
        <v>0</v>
      </c>
      <c r="AB292">
        <v>111.99</v>
      </c>
      <c r="AC292">
        <v>13.5</v>
      </c>
      <c r="AD292">
        <v>0</v>
      </c>
      <c r="AE292">
        <v>0</v>
      </c>
      <c r="AF292">
        <v>111.99</v>
      </c>
      <c r="AG292">
        <v>13.5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224</v>
      </c>
      <c r="AT292">
        <v>0.05</v>
      </c>
      <c r="AU292" t="s">
        <v>239</v>
      </c>
      <c r="AV292">
        <v>0</v>
      </c>
      <c r="AW292">
        <v>2</v>
      </c>
      <c r="AX292">
        <v>16500617</v>
      </c>
      <c r="AY292">
        <v>1</v>
      </c>
      <c r="AZ292">
        <v>0</v>
      </c>
      <c r="BA292">
        <v>314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Y292*Source!I94</f>
        <v>1.8749999999999999E-2</v>
      </c>
      <c r="CY292">
        <f>AB292</f>
        <v>111.99</v>
      </c>
      <c r="CZ292">
        <f>AF292</f>
        <v>111.99</v>
      </c>
      <c r="DA292">
        <f>AJ292</f>
        <v>1</v>
      </c>
      <c r="DB292">
        <v>0</v>
      </c>
    </row>
    <row r="293" spans="1:106" x14ac:dyDescent="0.2">
      <c r="A293">
        <f>ROW(Source!A94)</f>
        <v>94</v>
      </c>
      <c r="B293">
        <v>16499835</v>
      </c>
      <c r="C293">
        <v>16500613</v>
      </c>
      <c r="D293">
        <v>15249073</v>
      </c>
      <c r="E293">
        <v>1</v>
      </c>
      <c r="F293">
        <v>1</v>
      </c>
      <c r="G293">
        <v>1</v>
      </c>
      <c r="H293">
        <v>2</v>
      </c>
      <c r="I293" t="s">
        <v>631</v>
      </c>
      <c r="J293" t="s">
        <v>632</v>
      </c>
      <c r="K293" t="s">
        <v>633</v>
      </c>
      <c r="L293">
        <v>1368</v>
      </c>
      <c r="N293">
        <v>1011</v>
      </c>
      <c r="O293" t="s">
        <v>634</v>
      </c>
      <c r="P293" t="s">
        <v>634</v>
      </c>
      <c r="Q293">
        <v>1</v>
      </c>
      <c r="W293">
        <v>0</v>
      </c>
      <c r="X293">
        <v>1372534845</v>
      </c>
      <c r="Y293">
        <v>0.11249999999999999</v>
      </c>
      <c r="AA293">
        <v>0</v>
      </c>
      <c r="AB293">
        <v>65.709999999999994</v>
      </c>
      <c r="AC293">
        <v>11.6</v>
      </c>
      <c r="AD293">
        <v>0</v>
      </c>
      <c r="AE293">
        <v>0</v>
      </c>
      <c r="AF293">
        <v>65.709999999999994</v>
      </c>
      <c r="AG293">
        <v>11.6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224</v>
      </c>
      <c r="AT293">
        <v>0.09</v>
      </c>
      <c r="AU293" t="s">
        <v>239</v>
      </c>
      <c r="AV293">
        <v>0</v>
      </c>
      <c r="AW293">
        <v>2</v>
      </c>
      <c r="AX293">
        <v>16500618</v>
      </c>
      <c r="AY293">
        <v>1</v>
      </c>
      <c r="AZ293">
        <v>0</v>
      </c>
      <c r="BA293">
        <v>315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Y293*Source!I94</f>
        <v>3.3749999999999995E-2</v>
      </c>
      <c r="CY293">
        <f>AB293</f>
        <v>65.709999999999994</v>
      </c>
      <c r="CZ293">
        <f>AF293</f>
        <v>65.709999999999994</v>
      </c>
      <c r="DA293">
        <f>AJ293</f>
        <v>1</v>
      </c>
      <c r="DB293">
        <v>0</v>
      </c>
    </row>
    <row r="294" spans="1:106" x14ac:dyDescent="0.2">
      <c r="A294">
        <f>ROW(Source!A94)</f>
        <v>94</v>
      </c>
      <c r="B294">
        <v>16499835</v>
      </c>
      <c r="C294">
        <v>16500613</v>
      </c>
      <c r="D294">
        <v>15165660</v>
      </c>
      <c r="E294">
        <v>1</v>
      </c>
      <c r="F294">
        <v>1</v>
      </c>
      <c r="G294">
        <v>1</v>
      </c>
      <c r="H294">
        <v>3</v>
      </c>
      <c r="I294" t="s">
        <v>692</v>
      </c>
      <c r="J294" t="s">
        <v>693</v>
      </c>
      <c r="K294" t="s">
        <v>694</v>
      </c>
      <c r="L294">
        <v>1346</v>
      </c>
      <c r="N294">
        <v>1009</v>
      </c>
      <c r="O294" t="s">
        <v>303</v>
      </c>
      <c r="P294" t="s">
        <v>303</v>
      </c>
      <c r="Q294">
        <v>1</v>
      </c>
      <c r="W294">
        <v>0</v>
      </c>
      <c r="X294">
        <v>1721895514</v>
      </c>
      <c r="Y294">
        <v>29.94</v>
      </c>
      <c r="AA294">
        <v>6.09</v>
      </c>
      <c r="AB294">
        <v>0</v>
      </c>
      <c r="AC294">
        <v>0</v>
      </c>
      <c r="AD294">
        <v>0</v>
      </c>
      <c r="AE294">
        <v>6.09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224</v>
      </c>
      <c r="AT294">
        <v>29.94</v>
      </c>
      <c r="AU294" t="s">
        <v>224</v>
      </c>
      <c r="AV294">
        <v>0</v>
      </c>
      <c r="AW294">
        <v>2</v>
      </c>
      <c r="AX294">
        <v>16500619</v>
      </c>
      <c r="AY294">
        <v>1</v>
      </c>
      <c r="AZ294">
        <v>0</v>
      </c>
      <c r="BA294">
        <v>316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Y294*Source!I94</f>
        <v>8.9819999999999993</v>
      </c>
      <c r="CY294">
        <f>AA294</f>
        <v>6.09</v>
      </c>
      <c r="CZ294">
        <f>AE294</f>
        <v>6.09</v>
      </c>
      <c r="DA294">
        <f>AI294</f>
        <v>1</v>
      </c>
      <c r="DB294">
        <v>0</v>
      </c>
    </row>
    <row r="295" spans="1:106" x14ac:dyDescent="0.2">
      <c r="A295">
        <f>ROW(Source!A94)</f>
        <v>94</v>
      </c>
      <c r="B295">
        <v>16499835</v>
      </c>
      <c r="C295">
        <v>16500613</v>
      </c>
      <c r="D295">
        <v>15198177</v>
      </c>
      <c r="E295">
        <v>1</v>
      </c>
      <c r="F295">
        <v>1</v>
      </c>
      <c r="G295">
        <v>1</v>
      </c>
      <c r="H295">
        <v>3</v>
      </c>
      <c r="I295" t="s">
        <v>401</v>
      </c>
      <c r="J295" t="s">
        <v>403</v>
      </c>
      <c r="K295" t="s">
        <v>402</v>
      </c>
      <c r="L295">
        <v>1327</v>
      </c>
      <c r="N295">
        <v>1005</v>
      </c>
      <c r="O295" t="s">
        <v>277</v>
      </c>
      <c r="P295" t="s">
        <v>277</v>
      </c>
      <c r="Q295">
        <v>1</v>
      </c>
      <c r="W295">
        <v>0</v>
      </c>
      <c r="X295">
        <v>1827405917</v>
      </c>
      <c r="Y295">
        <v>114</v>
      </c>
      <c r="AA295">
        <v>13.67</v>
      </c>
      <c r="AB295">
        <v>0</v>
      </c>
      <c r="AC295">
        <v>0</v>
      </c>
      <c r="AD295">
        <v>0</v>
      </c>
      <c r="AE295">
        <v>13.67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224</v>
      </c>
      <c r="AT295">
        <v>114</v>
      </c>
      <c r="AU295" t="s">
        <v>224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224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Y295*Source!I94</f>
        <v>34.199999999999996</v>
      </c>
      <c r="CY295">
        <f>AA295</f>
        <v>13.67</v>
      </c>
      <c r="CZ295">
        <f>AE295</f>
        <v>13.67</v>
      </c>
      <c r="DA295">
        <f>AI295</f>
        <v>1</v>
      </c>
      <c r="DB295">
        <v>0</v>
      </c>
    </row>
    <row r="296" spans="1:106" x14ac:dyDescent="0.2">
      <c r="A296">
        <f>ROW(Source!A94)</f>
        <v>94</v>
      </c>
      <c r="B296">
        <v>16499835</v>
      </c>
      <c r="C296">
        <v>16500613</v>
      </c>
      <c r="D296">
        <v>15198178</v>
      </c>
      <c r="E296">
        <v>1</v>
      </c>
      <c r="F296">
        <v>1</v>
      </c>
      <c r="G296">
        <v>1</v>
      </c>
      <c r="H296">
        <v>3</v>
      </c>
      <c r="I296" t="s">
        <v>405</v>
      </c>
      <c r="J296" t="s">
        <v>407</v>
      </c>
      <c r="K296" t="s">
        <v>406</v>
      </c>
      <c r="L296">
        <v>1327</v>
      </c>
      <c r="N296">
        <v>1005</v>
      </c>
      <c r="O296" t="s">
        <v>277</v>
      </c>
      <c r="P296" t="s">
        <v>277</v>
      </c>
      <c r="Q296">
        <v>1</v>
      </c>
      <c r="W296">
        <v>0</v>
      </c>
      <c r="X296">
        <v>-719230251</v>
      </c>
      <c r="Y296">
        <v>116</v>
      </c>
      <c r="AA296">
        <v>16.22</v>
      </c>
      <c r="AB296">
        <v>0</v>
      </c>
      <c r="AC296">
        <v>0</v>
      </c>
      <c r="AD296">
        <v>0</v>
      </c>
      <c r="AE296">
        <v>16.22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224</v>
      </c>
      <c r="AT296">
        <v>116</v>
      </c>
      <c r="AU296" t="s">
        <v>224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224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Y296*Source!I94</f>
        <v>34.799999999999997</v>
      </c>
      <c r="CY296">
        <f>AA296</f>
        <v>16.22</v>
      </c>
      <c r="CZ296">
        <f>AE296</f>
        <v>16.22</v>
      </c>
      <c r="DA296">
        <f>AI296</f>
        <v>1</v>
      </c>
      <c r="DB296">
        <v>0</v>
      </c>
    </row>
    <row r="297" spans="1:106" x14ac:dyDescent="0.2">
      <c r="A297">
        <f>ROW(Source!A95)</f>
        <v>95</v>
      </c>
      <c r="B297">
        <v>16499878</v>
      </c>
      <c r="C297">
        <v>16500613</v>
      </c>
      <c r="D297">
        <v>15430397</v>
      </c>
      <c r="E297">
        <v>1</v>
      </c>
      <c r="F297">
        <v>1</v>
      </c>
      <c r="G297">
        <v>1</v>
      </c>
      <c r="H297">
        <v>1</v>
      </c>
      <c r="I297" t="s">
        <v>739</v>
      </c>
      <c r="J297" t="s">
        <v>224</v>
      </c>
      <c r="K297" t="s">
        <v>740</v>
      </c>
      <c r="L297">
        <v>1191</v>
      </c>
      <c r="N297">
        <v>1013</v>
      </c>
      <c r="O297" t="s">
        <v>628</v>
      </c>
      <c r="P297" t="s">
        <v>628</v>
      </c>
      <c r="Q297">
        <v>1</v>
      </c>
      <c r="W297">
        <v>0</v>
      </c>
      <c r="X297">
        <v>-1081351934</v>
      </c>
      <c r="Y297">
        <v>16.513999999999999</v>
      </c>
      <c r="AA297">
        <v>0</v>
      </c>
      <c r="AB297">
        <v>0</v>
      </c>
      <c r="AC297">
        <v>0</v>
      </c>
      <c r="AD297">
        <v>57.15</v>
      </c>
      <c r="AE297">
        <v>0</v>
      </c>
      <c r="AF297">
        <v>0</v>
      </c>
      <c r="AG297">
        <v>0</v>
      </c>
      <c r="AH297">
        <v>9.4</v>
      </c>
      <c r="AI297">
        <v>1</v>
      </c>
      <c r="AJ297">
        <v>1</v>
      </c>
      <c r="AK297">
        <v>1</v>
      </c>
      <c r="AL297">
        <v>6.08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224</v>
      </c>
      <c r="AT297">
        <v>14.36</v>
      </c>
      <c r="AU297" t="s">
        <v>240</v>
      </c>
      <c r="AV297">
        <v>1</v>
      </c>
      <c r="AW297">
        <v>2</v>
      </c>
      <c r="AX297">
        <v>16500614</v>
      </c>
      <c r="AY297">
        <v>1</v>
      </c>
      <c r="AZ297">
        <v>0</v>
      </c>
      <c r="BA297">
        <v>319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Y297*Source!I95</f>
        <v>4.9541999999999993</v>
      </c>
      <c r="CY297">
        <f>AD297</f>
        <v>57.15</v>
      </c>
      <c r="CZ297">
        <f>AH297</f>
        <v>9.4</v>
      </c>
      <c r="DA297">
        <f>AL297</f>
        <v>6.08</v>
      </c>
      <c r="DB297">
        <v>0</v>
      </c>
    </row>
    <row r="298" spans="1:106" x14ac:dyDescent="0.2">
      <c r="A298">
        <f>ROW(Source!A95)</f>
        <v>95</v>
      </c>
      <c r="B298">
        <v>16499878</v>
      </c>
      <c r="C298">
        <v>16500613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629</v>
      </c>
      <c r="J298" t="s">
        <v>224</v>
      </c>
      <c r="K298" t="s">
        <v>630</v>
      </c>
      <c r="L298">
        <v>1191</v>
      </c>
      <c r="N298">
        <v>1013</v>
      </c>
      <c r="O298" t="s">
        <v>628</v>
      </c>
      <c r="P298" t="s">
        <v>628</v>
      </c>
      <c r="Q298">
        <v>1</v>
      </c>
      <c r="W298">
        <v>0</v>
      </c>
      <c r="X298">
        <v>-1417349443</v>
      </c>
      <c r="Y298">
        <v>0.28999999999999998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6.08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224</v>
      </c>
      <c r="AT298">
        <v>0.28999999999999998</v>
      </c>
      <c r="AU298" t="s">
        <v>224</v>
      </c>
      <c r="AV298">
        <v>2</v>
      </c>
      <c r="AW298">
        <v>2</v>
      </c>
      <c r="AX298">
        <v>16500615</v>
      </c>
      <c r="AY298">
        <v>1</v>
      </c>
      <c r="AZ298">
        <v>2048</v>
      </c>
      <c r="BA298">
        <v>320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Y298*Source!I95</f>
        <v>8.6999999999999994E-2</v>
      </c>
      <c r="CY298">
        <f>AD298</f>
        <v>0</v>
      </c>
      <c r="CZ298">
        <f>AH298</f>
        <v>0</v>
      </c>
      <c r="DA298">
        <f>AL298</f>
        <v>1</v>
      </c>
      <c r="DB298">
        <v>0</v>
      </c>
    </row>
    <row r="299" spans="1:106" x14ac:dyDescent="0.2">
      <c r="A299">
        <f>ROW(Source!A95)</f>
        <v>95</v>
      </c>
      <c r="B299">
        <v>16499878</v>
      </c>
      <c r="C299">
        <v>16500613</v>
      </c>
      <c r="D299">
        <v>15247578</v>
      </c>
      <c r="E299">
        <v>1</v>
      </c>
      <c r="F299">
        <v>1</v>
      </c>
      <c r="G299">
        <v>1</v>
      </c>
      <c r="H299">
        <v>2</v>
      </c>
      <c r="I299" t="s">
        <v>11</v>
      </c>
      <c r="J299" t="s">
        <v>12</v>
      </c>
      <c r="K299" t="s">
        <v>13</v>
      </c>
      <c r="L299">
        <v>1368</v>
      </c>
      <c r="N299">
        <v>1011</v>
      </c>
      <c r="O299" t="s">
        <v>634</v>
      </c>
      <c r="P299" t="s">
        <v>634</v>
      </c>
      <c r="Q299">
        <v>1</v>
      </c>
      <c r="W299">
        <v>0</v>
      </c>
      <c r="X299">
        <v>-1460065968</v>
      </c>
      <c r="Y299">
        <v>0.1875</v>
      </c>
      <c r="AA299">
        <v>0</v>
      </c>
      <c r="AB299">
        <v>525.30999999999995</v>
      </c>
      <c r="AC299">
        <v>13.5</v>
      </c>
      <c r="AD299">
        <v>0</v>
      </c>
      <c r="AE299">
        <v>0</v>
      </c>
      <c r="AF299">
        <v>86.4</v>
      </c>
      <c r="AG299">
        <v>13.5</v>
      </c>
      <c r="AH299">
        <v>0</v>
      </c>
      <c r="AI299">
        <v>1</v>
      </c>
      <c r="AJ299">
        <v>6.08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224</v>
      </c>
      <c r="AT299">
        <v>0.15</v>
      </c>
      <c r="AU299" t="s">
        <v>239</v>
      </c>
      <c r="AV299">
        <v>0</v>
      </c>
      <c r="AW299">
        <v>2</v>
      </c>
      <c r="AX299">
        <v>16500616</v>
      </c>
      <c r="AY299">
        <v>1</v>
      </c>
      <c r="AZ299">
        <v>0</v>
      </c>
      <c r="BA299">
        <v>321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Y299*Source!I95</f>
        <v>5.6249999999999994E-2</v>
      </c>
      <c r="CY299">
        <f>AB299</f>
        <v>525.30999999999995</v>
      </c>
      <c r="CZ299">
        <f>AF299</f>
        <v>86.4</v>
      </c>
      <c r="DA299">
        <f>AJ299</f>
        <v>6.08</v>
      </c>
      <c r="DB299">
        <v>0</v>
      </c>
    </row>
    <row r="300" spans="1:106" x14ac:dyDescent="0.2">
      <c r="A300">
        <f>ROW(Source!A95)</f>
        <v>95</v>
      </c>
      <c r="B300">
        <v>16499878</v>
      </c>
      <c r="C300">
        <v>16500613</v>
      </c>
      <c r="D300">
        <v>15247680</v>
      </c>
      <c r="E300">
        <v>1</v>
      </c>
      <c r="F300">
        <v>1</v>
      </c>
      <c r="G300">
        <v>1</v>
      </c>
      <c r="H300">
        <v>2</v>
      </c>
      <c r="I300" t="s">
        <v>670</v>
      </c>
      <c r="J300" t="s">
        <v>671</v>
      </c>
      <c r="K300" t="s">
        <v>672</v>
      </c>
      <c r="L300">
        <v>1368</v>
      </c>
      <c r="N300">
        <v>1011</v>
      </c>
      <c r="O300" t="s">
        <v>634</v>
      </c>
      <c r="P300" t="s">
        <v>634</v>
      </c>
      <c r="Q300">
        <v>1</v>
      </c>
      <c r="W300">
        <v>0</v>
      </c>
      <c r="X300">
        <v>-1718674368</v>
      </c>
      <c r="Y300">
        <v>6.25E-2</v>
      </c>
      <c r="AA300">
        <v>0</v>
      </c>
      <c r="AB300">
        <v>680.9</v>
      </c>
      <c r="AC300">
        <v>13.5</v>
      </c>
      <c r="AD300">
        <v>0</v>
      </c>
      <c r="AE300">
        <v>0</v>
      </c>
      <c r="AF300">
        <v>111.99</v>
      </c>
      <c r="AG300">
        <v>13.5</v>
      </c>
      <c r="AH300">
        <v>0</v>
      </c>
      <c r="AI300">
        <v>1</v>
      </c>
      <c r="AJ300">
        <v>6.08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224</v>
      </c>
      <c r="AT300">
        <v>0.05</v>
      </c>
      <c r="AU300" t="s">
        <v>239</v>
      </c>
      <c r="AV300">
        <v>0</v>
      </c>
      <c r="AW300">
        <v>2</v>
      </c>
      <c r="AX300">
        <v>16500617</v>
      </c>
      <c r="AY300">
        <v>1</v>
      </c>
      <c r="AZ300">
        <v>0</v>
      </c>
      <c r="BA300">
        <v>322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Y300*Source!I95</f>
        <v>1.8749999999999999E-2</v>
      </c>
      <c r="CY300">
        <f>AB300</f>
        <v>680.9</v>
      </c>
      <c r="CZ300">
        <f>AF300</f>
        <v>111.99</v>
      </c>
      <c r="DA300">
        <f>AJ300</f>
        <v>6.08</v>
      </c>
      <c r="DB300">
        <v>0</v>
      </c>
    </row>
    <row r="301" spans="1:106" x14ac:dyDescent="0.2">
      <c r="A301">
        <f>ROW(Source!A95)</f>
        <v>95</v>
      </c>
      <c r="B301">
        <v>16499878</v>
      </c>
      <c r="C301">
        <v>16500613</v>
      </c>
      <c r="D301">
        <v>15249073</v>
      </c>
      <c r="E301">
        <v>1</v>
      </c>
      <c r="F301">
        <v>1</v>
      </c>
      <c r="G301">
        <v>1</v>
      </c>
      <c r="H301">
        <v>2</v>
      </c>
      <c r="I301" t="s">
        <v>631</v>
      </c>
      <c r="J301" t="s">
        <v>632</v>
      </c>
      <c r="K301" t="s">
        <v>633</v>
      </c>
      <c r="L301">
        <v>1368</v>
      </c>
      <c r="N301">
        <v>1011</v>
      </c>
      <c r="O301" t="s">
        <v>634</v>
      </c>
      <c r="P301" t="s">
        <v>634</v>
      </c>
      <c r="Q301">
        <v>1</v>
      </c>
      <c r="W301">
        <v>0</v>
      </c>
      <c r="X301">
        <v>1372534845</v>
      </c>
      <c r="Y301">
        <v>0.11249999999999999</v>
      </c>
      <c r="AA301">
        <v>0</v>
      </c>
      <c r="AB301">
        <v>399.52</v>
      </c>
      <c r="AC301">
        <v>11.6</v>
      </c>
      <c r="AD301">
        <v>0</v>
      </c>
      <c r="AE301">
        <v>0</v>
      </c>
      <c r="AF301">
        <v>65.709999999999994</v>
      </c>
      <c r="AG301">
        <v>11.6</v>
      </c>
      <c r="AH301">
        <v>0</v>
      </c>
      <c r="AI301">
        <v>1</v>
      </c>
      <c r="AJ301">
        <v>6.08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224</v>
      </c>
      <c r="AT301">
        <v>0.09</v>
      </c>
      <c r="AU301" t="s">
        <v>239</v>
      </c>
      <c r="AV301">
        <v>0</v>
      </c>
      <c r="AW301">
        <v>2</v>
      </c>
      <c r="AX301">
        <v>16500618</v>
      </c>
      <c r="AY301">
        <v>1</v>
      </c>
      <c r="AZ301">
        <v>0</v>
      </c>
      <c r="BA301">
        <v>323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Y301*Source!I95</f>
        <v>3.3749999999999995E-2</v>
      </c>
      <c r="CY301">
        <f>AB301</f>
        <v>399.52</v>
      </c>
      <c r="CZ301">
        <f>AF301</f>
        <v>65.709999999999994</v>
      </c>
      <c r="DA301">
        <f>AJ301</f>
        <v>6.08</v>
      </c>
      <c r="DB301">
        <v>0</v>
      </c>
    </row>
    <row r="302" spans="1:106" x14ac:dyDescent="0.2">
      <c r="A302">
        <f>ROW(Source!A95)</f>
        <v>95</v>
      </c>
      <c r="B302">
        <v>16499878</v>
      </c>
      <c r="C302">
        <v>16500613</v>
      </c>
      <c r="D302">
        <v>15165660</v>
      </c>
      <c r="E302">
        <v>1</v>
      </c>
      <c r="F302">
        <v>1</v>
      </c>
      <c r="G302">
        <v>1</v>
      </c>
      <c r="H302">
        <v>3</v>
      </c>
      <c r="I302" t="s">
        <v>692</v>
      </c>
      <c r="J302" t="s">
        <v>693</v>
      </c>
      <c r="K302" t="s">
        <v>694</v>
      </c>
      <c r="L302">
        <v>1346</v>
      </c>
      <c r="N302">
        <v>1009</v>
      </c>
      <c r="O302" t="s">
        <v>303</v>
      </c>
      <c r="P302" t="s">
        <v>303</v>
      </c>
      <c r="Q302">
        <v>1</v>
      </c>
      <c r="W302">
        <v>0</v>
      </c>
      <c r="X302">
        <v>1721895514</v>
      </c>
      <c r="Y302">
        <v>29.94</v>
      </c>
      <c r="AA302">
        <v>37.03</v>
      </c>
      <c r="AB302">
        <v>0</v>
      </c>
      <c r="AC302">
        <v>0</v>
      </c>
      <c r="AD302">
        <v>0</v>
      </c>
      <c r="AE302">
        <v>6.09</v>
      </c>
      <c r="AF302">
        <v>0</v>
      </c>
      <c r="AG302">
        <v>0</v>
      </c>
      <c r="AH302">
        <v>0</v>
      </c>
      <c r="AI302">
        <v>6.08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224</v>
      </c>
      <c r="AT302">
        <v>29.94</v>
      </c>
      <c r="AU302" t="s">
        <v>224</v>
      </c>
      <c r="AV302">
        <v>0</v>
      </c>
      <c r="AW302">
        <v>2</v>
      </c>
      <c r="AX302">
        <v>16500619</v>
      </c>
      <c r="AY302">
        <v>1</v>
      </c>
      <c r="AZ302">
        <v>0</v>
      </c>
      <c r="BA302">
        <v>324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Y302*Source!I95</f>
        <v>8.9819999999999993</v>
      </c>
      <c r="CY302">
        <f>AA302</f>
        <v>37.03</v>
      </c>
      <c r="CZ302">
        <f>AE302</f>
        <v>6.09</v>
      </c>
      <c r="DA302">
        <f>AI302</f>
        <v>6.08</v>
      </c>
      <c r="DB302">
        <v>0</v>
      </c>
    </row>
    <row r="303" spans="1:106" x14ac:dyDescent="0.2">
      <c r="A303">
        <f>ROW(Source!A95)</f>
        <v>95</v>
      </c>
      <c r="B303">
        <v>16499878</v>
      </c>
      <c r="C303">
        <v>16500613</v>
      </c>
      <c r="D303">
        <v>15198177</v>
      </c>
      <c r="E303">
        <v>1</v>
      </c>
      <c r="F303">
        <v>1</v>
      </c>
      <c r="G303">
        <v>1</v>
      </c>
      <c r="H303">
        <v>3</v>
      </c>
      <c r="I303" t="s">
        <v>401</v>
      </c>
      <c r="J303" t="s">
        <v>403</v>
      </c>
      <c r="K303" t="s">
        <v>402</v>
      </c>
      <c r="L303">
        <v>1327</v>
      </c>
      <c r="N303">
        <v>1005</v>
      </c>
      <c r="O303" t="s">
        <v>277</v>
      </c>
      <c r="P303" t="s">
        <v>277</v>
      </c>
      <c r="Q303">
        <v>1</v>
      </c>
      <c r="W303">
        <v>0</v>
      </c>
      <c r="X303">
        <v>1827405917</v>
      </c>
      <c r="Y303">
        <v>114</v>
      </c>
      <c r="AA303">
        <v>83.11</v>
      </c>
      <c r="AB303">
        <v>0</v>
      </c>
      <c r="AC303">
        <v>0</v>
      </c>
      <c r="AD303">
        <v>0</v>
      </c>
      <c r="AE303">
        <v>13.67</v>
      </c>
      <c r="AF303">
        <v>0</v>
      </c>
      <c r="AG303">
        <v>0</v>
      </c>
      <c r="AH303">
        <v>0</v>
      </c>
      <c r="AI303">
        <v>6.08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224</v>
      </c>
      <c r="AT303">
        <v>114</v>
      </c>
      <c r="AU303" t="s">
        <v>224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224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Y303*Source!I95</f>
        <v>34.199999999999996</v>
      </c>
      <c r="CY303">
        <f>AA303</f>
        <v>83.11</v>
      </c>
      <c r="CZ303">
        <f>AE303</f>
        <v>13.67</v>
      </c>
      <c r="DA303">
        <f>AI303</f>
        <v>6.08</v>
      </c>
      <c r="DB303">
        <v>0</v>
      </c>
    </row>
    <row r="304" spans="1:106" x14ac:dyDescent="0.2">
      <c r="A304">
        <f>ROW(Source!A95)</f>
        <v>95</v>
      </c>
      <c r="B304">
        <v>16499878</v>
      </c>
      <c r="C304">
        <v>16500613</v>
      </c>
      <c r="D304">
        <v>15198178</v>
      </c>
      <c r="E304">
        <v>1</v>
      </c>
      <c r="F304">
        <v>1</v>
      </c>
      <c r="G304">
        <v>1</v>
      </c>
      <c r="H304">
        <v>3</v>
      </c>
      <c r="I304" t="s">
        <v>405</v>
      </c>
      <c r="J304" t="s">
        <v>407</v>
      </c>
      <c r="K304" t="s">
        <v>406</v>
      </c>
      <c r="L304">
        <v>1327</v>
      </c>
      <c r="N304">
        <v>1005</v>
      </c>
      <c r="O304" t="s">
        <v>277</v>
      </c>
      <c r="P304" t="s">
        <v>277</v>
      </c>
      <c r="Q304">
        <v>1</v>
      </c>
      <c r="W304">
        <v>0</v>
      </c>
      <c r="X304">
        <v>-719230251</v>
      </c>
      <c r="Y304">
        <v>116</v>
      </c>
      <c r="AA304">
        <v>98.62</v>
      </c>
      <c r="AB304">
        <v>0</v>
      </c>
      <c r="AC304">
        <v>0</v>
      </c>
      <c r="AD304">
        <v>0</v>
      </c>
      <c r="AE304">
        <v>16.22</v>
      </c>
      <c r="AF304">
        <v>0</v>
      </c>
      <c r="AG304">
        <v>0</v>
      </c>
      <c r="AH304">
        <v>0</v>
      </c>
      <c r="AI304">
        <v>6.08</v>
      </c>
      <c r="AJ304">
        <v>1</v>
      </c>
      <c r="AK304">
        <v>1</v>
      </c>
      <c r="AL304">
        <v>1</v>
      </c>
      <c r="AN304">
        <v>0</v>
      </c>
      <c r="AO304">
        <v>0</v>
      </c>
      <c r="AP304">
        <v>0</v>
      </c>
      <c r="AQ304">
        <v>0</v>
      </c>
      <c r="AR304">
        <v>0</v>
      </c>
      <c r="AS304" t="s">
        <v>224</v>
      </c>
      <c r="AT304">
        <v>116</v>
      </c>
      <c r="AU304" t="s">
        <v>224</v>
      </c>
      <c r="AV304">
        <v>0</v>
      </c>
      <c r="AW304">
        <v>1</v>
      </c>
      <c r="AX304">
        <v>-1</v>
      </c>
      <c r="AY304">
        <v>0</v>
      </c>
      <c r="AZ304">
        <v>0</v>
      </c>
      <c r="BA304" t="s">
        <v>224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Y304*Source!I95</f>
        <v>34.799999999999997</v>
      </c>
      <c r="CY304">
        <f>AA304</f>
        <v>98.62</v>
      </c>
      <c r="CZ304">
        <f>AE304</f>
        <v>16.22</v>
      </c>
      <c r="DA304">
        <f>AI304</f>
        <v>6.08</v>
      </c>
      <c r="DB304">
        <v>0</v>
      </c>
    </row>
    <row r="305" spans="1:106" x14ac:dyDescent="0.2">
      <c r="A305">
        <f>ROW(Source!A100)</f>
        <v>100</v>
      </c>
      <c r="B305">
        <v>16499835</v>
      </c>
      <c r="C305">
        <v>16500315</v>
      </c>
      <c r="D305">
        <v>15441047</v>
      </c>
      <c r="E305">
        <v>1</v>
      </c>
      <c r="F305">
        <v>1</v>
      </c>
      <c r="G305">
        <v>1</v>
      </c>
      <c r="H305">
        <v>1</v>
      </c>
      <c r="I305" t="s">
        <v>665</v>
      </c>
      <c r="J305" t="s">
        <v>224</v>
      </c>
      <c r="K305" t="s">
        <v>666</v>
      </c>
      <c r="L305">
        <v>1191</v>
      </c>
      <c r="N305">
        <v>1013</v>
      </c>
      <c r="O305" t="s">
        <v>628</v>
      </c>
      <c r="P305" t="s">
        <v>628</v>
      </c>
      <c r="Q305">
        <v>1</v>
      </c>
      <c r="W305">
        <v>0</v>
      </c>
      <c r="X305">
        <v>687044855</v>
      </c>
      <c r="Y305">
        <v>53.325499999999991</v>
      </c>
      <c r="AA305">
        <v>0</v>
      </c>
      <c r="AB305">
        <v>0</v>
      </c>
      <c r="AC305">
        <v>0</v>
      </c>
      <c r="AD305">
        <v>10.06</v>
      </c>
      <c r="AE305">
        <v>0</v>
      </c>
      <c r="AF305">
        <v>0</v>
      </c>
      <c r="AG305">
        <v>0</v>
      </c>
      <c r="AH305">
        <v>10.06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224</v>
      </c>
      <c r="AT305">
        <v>46.37</v>
      </c>
      <c r="AU305" t="s">
        <v>240</v>
      </c>
      <c r="AV305">
        <v>1</v>
      </c>
      <c r="AW305">
        <v>2</v>
      </c>
      <c r="AX305">
        <v>16500316</v>
      </c>
      <c r="AY305">
        <v>1</v>
      </c>
      <c r="AZ305">
        <v>0</v>
      </c>
      <c r="BA305">
        <v>327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Y305*Source!I100</f>
        <v>5.3325499999999995</v>
      </c>
      <c r="CY305">
        <f>AD305</f>
        <v>10.06</v>
      </c>
      <c r="CZ305">
        <f>AH305</f>
        <v>10.06</v>
      </c>
      <c r="DA305">
        <f>AL305</f>
        <v>1</v>
      </c>
      <c r="DB305">
        <v>0</v>
      </c>
    </row>
    <row r="306" spans="1:106" x14ac:dyDescent="0.2">
      <c r="A306">
        <f>ROW(Source!A100)</f>
        <v>100</v>
      </c>
      <c r="B306">
        <v>16499835</v>
      </c>
      <c r="C306">
        <v>16500315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629</v>
      </c>
      <c r="J306" t="s">
        <v>224</v>
      </c>
      <c r="K306" t="s">
        <v>630</v>
      </c>
      <c r="L306">
        <v>1191</v>
      </c>
      <c r="N306">
        <v>1013</v>
      </c>
      <c r="O306" t="s">
        <v>628</v>
      </c>
      <c r="P306" t="s">
        <v>628</v>
      </c>
      <c r="Q306">
        <v>1</v>
      </c>
      <c r="W306">
        <v>0</v>
      </c>
      <c r="X306">
        <v>-1417349443</v>
      </c>
      <c r="Y306">
        <v>8.8699999999999992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224</v>
      </c>
      <c r="AT306">
        <v>8.8699999999999992</v>
      </c>
      <c r="AU306" t="s">
        <v>224</v>
      </c>
      <c r="AV306">
        <v>2</v>
      </c>
      <c r="AW306">
        <v>2</v>
      </c>
      <c r="AX306">
        <v>16500317</v>
      </c>
      <c r="AY306">
        <v>1</v>
      </c>
      <c r="AZ306">
        <v>2048</v>
      </c>
      <c r="BA306">
        <v>328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Y306*Source!I100</f>
        <v>0.88700000000000001</v>
      </c>
      <c r="CY306">
        <f>AD306</f>
        <v>0</v>
      </c>
      <c r="CZ306">
        <f>AH306</f>
        <v>0</v>
      </c>
      <c r="DA306">
        <f>AL306</f>
        <v>1</v>
      </c>
      <c r="DB306">
        <v>0</v>
      </c>
    </row>
    <row r="307" spans="1:106" x14ac:dyDescent="0.2">
      <c r="A307">
        <f>ROW(Source!A100)</f>
        <v>100</v>
      </c>
      <c r="B307">
        <v>16499835</v>
      </c>
      <c r="C307">
        <v>16500315</v>
      </c>
      <c r="D307">
        <v>15247600</v>
      </c>
      <c r="E307">
        <v>1</v>
      </c>
      <c r="F307">
        <v>1</v>
      </c>
      <c r="G307">
        <v>1</v>
      </c>
      <c r="H307">
        <v>2</v>
      </c>
      <c r="I307" t="s">
        <v>667</v>
      </c>
      <c r="J307" t="s">
        <v>668</v>
      </c>
      <c r="K307" t="s">
        <v>669</v>
      </c>
      <c r="L307">
        <v>1368</v>
      </c>
      <c r="N307">
        <v>1011</v>
      </c>
      <c r="O307" t="s">
        <v>634</v>
      </c>
      <c r="P307" t="s">
        <v>634</v>
      </c>
      <c r="Q307">
        <v>1</v>
      </c>
      <c r="W307">
        <v>0</v>
      </c>
      <c r="X307">
        <v>641541266</v>
      </c>
      <c r="Y307">
        <v>0.52500000000000002</v>
      </c>
      <c r="AA307">
        <v>0</v>
      </c>
      <c r="AB307">
        <v>120.24</v>
      </c>
      <c r="AC307">
        <v>15.42</v>
      </c>
      <c r="AD307">
        <v>0</v>
      </c>
      <c r="AE307">
        <v>0</v>
      </c>
      <c r="AF307">
        <v>120.24</v>
      </c>
      <c r="AG307">
        <v>15.42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224</v>
      </c>
      <c r="AT307">
        <v>0.42</v>
      </c>
      <c r="AU307" t="s">
        <v>239</v>
      </c>
      <c r="AV307">
        <v>0</v>
      </c>
      <c r="AW307">
        <v>2</v>
      </c>
      <c r="AX307">
        <v>16500318</v>
      </c>
      <c r="AY307">
        <v>1</v>
      </c>
      <c r="AZ307">
        <v>0</v>
      </c>
      <c r="BA307">
        <v>329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Y307*Source!I100</f>
        <v>5.2500000000000005E-2</v>
      </c>
      <c r="CY307">
        <f t="shared" ref="CY307:CY315" si="42">AB307</f>
        <v>120.24</v>
      </c>
      <c r="CZ307">
        <f t="shared" ref="CZ307:CZ315" si="43">AF307</f>
        <v>120.24</v>
      </c>
      <c r="DA307">
        <f t="shared" ref="DA307:DA315" si="44">AJ307</f>
        <v>1</v>
      </c>
      <c r="DB307">
        <v>0</v>
      </c>
    </row>
    <row r="308" spans="1:106" x14ac:dyDescent="0.2">
      <c r="A308">
        <f>ROW(Source!A100)</f>
        <v>100</v>
      </c>
      <c r="B308">
        <v>16499835</v>
      </c>
      <c r="C308">
        <v>16500315</v>
      </c>
      <c r="D308">
        <v>15247680</v>
      </c>
      <c r="E308">
        <v>1</v>
      </c>
      <c r="F308">
        <v>1</v>
      </c>
      <c r="G308">
        <v>1</v>
      </c>
      <c r="H308">
        <v>2</v>
      </c>
      <c r="I308" t="s">
        <v>670</v>
      </c>
      <c r="J308" t="s">
        <v>671</v>
      </c>
      <c r="K308" t="s">
        <v>672</v>
      </c>
      <c r="L308">
        <v>1368</v>
      </c>
      <c r="N308">
        <v>1011</v>
      </c>
      <c r="O308" t="s">
        <v>634</v>
      </c>
      <c r="P308" t="s">
        <v>634</v>
      </c>
      <c r="Q308">
        <v>1</v>
      </c>
      <c r="W308">
        <v>0</v>
      </c>
      <c r="X308">
        <v>-1718674368</v>
      </c>
      <c r="Y308">
        <v>0.15</v>
      </c>
      <c r="AA308">
        <v>0</v>
      </c>
      <c r="AB308">
        <v>111.99</v>
      </c>
      <c r="AC308">
        <v>13.5</v>
      </c>
      <c r="AD308">
        <v>0</v>
      </c>
      <c r="AE308">
        <v>0</v>
      </c>
      <c r="AF308">
        <v>111.99</v>
      </c>
      <c r="AG308">
        <v>13.5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224</v>
      </c>
      <c r="AT308">
        <v>0.12</v>
      </c>
      <c r="AU308" t="s">
        <v>239</v>
      </c>
      <c r="AV308">
        <v>0</v>
      </c>
      <c r="AW308">
        <v>2</v>
      </c>
      <c r="AX308">
        <v>16500319</v>
      </c>
      <c r="AY308">
        <v>1</v>
      </c>
      <c r="AZ308">
        <v>0</v>
      </c>
      <c r="BA308">
        <v>330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Y308*Source!I100</f>
        <v>1.4999999999999999E-2</v>
      </c>
      <c r="CY308">
        <f t="shared" si="42"/>
        <v>111.99</v>
      </c>
      <c r="CZ308">
        <f t="shared" si="43"/>
        <v>111.99</v>
      </c>
      <c r="DA308">
        <f t="shared" si="44"/>
        <v>1</v>
      </c>
      <c r="DB308">
        <v>0</v>
      </c>
    </row>
    <row r="309" spans="1:106" x14ac:dyDescent="0.2">
      <c r="A309">
        <f>ROW(Source!A100)</f>
        <v>100</v>
      </c>
      <c r="B309">
        <v>16499835</v>
      </c>
      <c r="C309">
        <v>16500315</v>
      </c>
      <c r="D309">
        <v>15247698</v>
      </c>
      <c r="E309">
        <v>1</v>
      </c>
      <c r="F309">
        <v>1</v>
      </c>
      <c r="G309">
        <v>1</v>
      </c>
      <c r="H309">
        <v>2</v>
      </c>
      <c r="I309" t="s">
        <v>673</v>
      </c>
      <c r="J309" t="s">
        <v>674</v>
      </c>
      <c r="K309" t="s">
        <v>675</v>
      </c>
      <c r="L309">
        <v>1368</v>
      </c>
      <c r="N309">
        <v>1011</v>
      </c>
      <c r="O309" t="s">
        <v>634</v>
      </c>
      <c r="P309" t="s">
        <v>634</v>
      </c>
      <c r="Q309">
        <v>1</v>
      </c>
      <c r="W309">
        <v>0</v>
      </c>
      <c r="X309">
        <v>-891972751</v>
      </c>
      <c r="Y309">
        <v>5.0875000000000004</v>
      </c>
      <c r="AA309">
        <v>0</v>
      </c>
      <c r="AB309">
        <v>533.27</v>
      </c>
      <c r="AC309">
        <v>27.9</v>
      </c>
      <c r="AD309">
        <v>0</v>
      </c>
      <c r="AE309">
        <v>0</v>
      </c>
      <c r="AF309">
        <v>533.27</v>
      </c>
      <c r="AG309">
        <v>27.9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224</v>
      </c>
      <c r="AT309">
        <v>4.07</v>
      </c>
      <c r="AU309" t="s">
        <v>239</v>
      </c>
      <c r="AV309">
        <v>0</v>
      </c>
      <c r="AW309">
        <v>2</v>
      </c>
      <c r="AX309">
        <v>16500320</v>
      </c>
      <c r="AY309">
        <v>1</v>
      </c>
      <c r="AZ309">
        <v>0</v>
      </c>
      <c r="BA309">
        <v>331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Y309*Source!I100</f>
        <v>0.50875000000000004</v>
      </c>
      <c r="CY309">
        <f t="shared" si="42"/>
        <v>533.27</v>
      </c>
      <c r="CZ309">
        <f t="shared" si="43"/>
        <v>533.27</v>
      </c>
      <c r="DA309">
        <f t="shared" si="44"/>
        <v>1</v>
      </c>
      <c r="DB309">
        <v>0</v>
      </c>
    </row>
    <row r="310" spans="1:106" x14ac:dyDescent="0.2">
      <c r="A310">
        <f>ROW(Source!A100)</f>
        <v>100</v>
      </c>
      <c r="B310">
        <v>16499835</v>
      </c>
      <c r="C310">
        <v>16500315</v>
      </c>
      <c r="D310">
        <v>15247814</v>
      </c>
      <c r="E310">
        <v>1</v>
      </c>
      <c r="F310">
        <v>1</v>
      </c>
      <c r="G310">
        <v>1</v>
      </c>
      <c r="H310">
        <v>2</v>
      </c>
      <c r="I310" t="s">
        <v>676</v>
      </c>
      <c r="J310" t="s">
        <v>677</v>
      </c>
      <c r="K310" t="s">
        <v>678</v>
      </c>
      <c r="L310">
        <v>1368</v>
      </c>
      <c r="N310">
        <v>1011</v>
      </c>
      <c r="O310" t="s">
        <v>634</v>
      </c>
      <c r="P310" t="s">
        <v>634</v>
      </c>
      <c r="Q310">
        <v>1</v>
      </c>
      <c r="W310">
        <v>0</v>
      </c>
      <c r="X310">
        <v>-1692889495</v>
      </c>
      <c r="Y310">
        <v>0.125</v>
      </c>
      <c r="AA310">
        <v>0</v>
      </c>
      <c r="AB310">
        <v>0.9</v>
      </c>
      <c r="AC310">
        <v>0</v>
      </c>
      <c r="AD310">
        <v>0</v>
      </c>
      <c r="AE310">
        <v>0</v>
      </c>
      <c r="AF310">
        <v>0.9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224</v>
      </c>
      <c r="AT310">
        <v>0.1</v>
      </c>
      <c r="AU310" t="s">
        <v>239</v>
      </c>
      <c r="AV310">
        <v>0</v>
      </c>
      <c r="AW310">
        <v>2</v>
      </c>
      <c r="AX310">
        <v>16500321</v>
      </c>
      <c r="AY310">
        <v>1</v>
      </c>
      <c r="AZ310">
        <v>0</v>
      </c>
      <c r="BA310">
        <v>332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Y310*Source!I100</f>
        <v>1.2500000000000001E-2</v>
      </c>
      <c r="CY310">
        <f t="shared" si="42"/>
        <v>0.9</v>
      </c>
      <c r="CZ310">
        <f t="shared" si="43"/>
        <v>0.9</v>
      </c>
      <c r="DA310">
        <f t="shared" si="44"/>
        <v>1</v>
      </c>
      <c r="DB310">
        <v>0</v>
      </c>
    </row>
    <row r="311" spans="1:106" x14ac:dyDescent="0.2">
      <c r="A311">
        <f>ROW(Source!A100)</f>
        <v>100</v>
      </c>
      <c r="B311">
        <v>16499835</v>
      </c>
      <c r="C311">
        <v>16500315</v>
      </c>
      <c r="D311">
        <v>15247878</v>
      </c>
      <c r="E311">
        <v>1</v>
      </c>
      <c r="F311">
        <v>1</v>
      </c>
      <c r="G311">
        <v>1</v>
      </c>
      <c r="H311">
        <v>2</v>
      </c>
      <c r="I311" t="s">
        <v>646</v>
      </c>
      <c r="J311" t="s">
        <v>647</v>
      </c>
      <c r="K311" t="s">
        <v>648</v>
      </c>
      <c r="L311">
        <v>1368</v>
      </c>
      <c r="N311">
        <v>1011</v>
      </c>
      <c r="O311" t="s">
        <v>634</v>
      </c>
      <c r="P311" t="s">
        <v>634</v>
      </c>
      <c r="Q311">
        <v>1</v>
      </c>
      <c r="W311">
        <v>0</v>
      </c>
      <c r="X311">
        <v>1047452784</v>
      </c>
      <c r="Y311">
        <v>0.42500000000000004</v>
      </c>
      <c r="AA311">
        <v>0</v>
      </c>
      <c r="AB311">
        <v>1.7</v>
      </c>
      <c r="AC311">
        <v>0</v>
      </c>
      <c r="AD311">
        <v>0</v>
      </c>
      <c r="AE311">
        <v>0</v>
      </c>
      <c r="AF311">
        <v>1.7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224</v>
      </c>
      <c r="AT311">
        <v>0.34</v>
      </c>
      <c r="AU311" t="s">
        <v>239</v>
      </c>
      <c r="AV311">
        <v>0</v>
      </c>
      <c r="AW311">
        <v>2</v>
      </c>
      <c r="AX311">
        <v>16500322</v>
      </c>
      <c r="AY311">
        <v>1</v>
      </c>
      <c r="AZ311">
        <v>0</v>
      </c>
      <c r="BA311">
        <v>333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Y311*Source!I100</f>
        <v>4.250000000000001E-2</v>
      </c>
      <c r="CY311">
        <f t="shared" si="42"/>
        <v>1.7</v>
      </c>
      <c r="CZ311">
        <f t="shared" si="43"/>
        <v>1.7</v>
      </c>
      <c r="DA311">
        <f t="shared" si="44"/>
        <v>1</v>
      </c>
      <c r="DB311">
        <v>0</v>
      </c>
    </row>
    <row r="312" spans="1:106" x14ac:dyDescent="0.2">
      <c r="A312">
        <f>ROW(Source!A100)</f>
        <v>100</v>
      </c>
      <c r="B312">
        <v>16499835</v>
      </c>
      <c r="C312">
        <v>16500315</v>
      </c>
      <c r="D312">
        <v>15247880</v>
      </c>
      <c r="E312">
        <v>1</v>
      </c>
      <c r="F312">
        <v>1</v>
      </c>
      <c r="G312">
        <v>1</v>
      </c>
      <c r="H312">
        <v>2</v>
      </c>
      <c r="I312" t="s">
        <v>679</v>
      </c>
      <c r="J312" t="s">
        <v>680</v>
      </c>
      <c r="K312" t="s">
        <v>681</v>
      </c>
      <c r="L312">
        <v>1368</v>
      </c>
      <c r="N312">
        <v>1011</v>
      </c>
      <c r="O312" t="s">
        <v>634</v>
      </c>
      <c r="P312" t="s">
        <v>634</v>
      </c>
      <c r="Q312">
        <v>1</v>
      </c>
      <c r="W312">
        <v>0</v>
      </c>
      <c r="X312">
        <v>1544661785</v>
      </c>
      <c r="Y312">
        <v>0.11249999999999999</v>
      </c>
      <c r="AA312">
        <v>0</v>
      </c>
      <c r="AB312">
        <v>6.9</v>
      </c>
      <c r="AC312">
        <v>0</v>
      </c>
      <c r="AD312">
        <v>0</v>
      </c>
      <c r="AE312">
        <v>0</v>
      </c>
      <c r="AF312">
        <v>6.9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224</v>
      </c>
      <c r="AT312">
        <v>0.09</v>
      </c>
      <c r="AU312" t="s">
        <v>239</v>
      </c>
      <c r="AV312">
        <v>0</v>
      </c>
      <c r="AW312">
        <v>2</v>
      </c>
      <c r="AX312">
        <v>16500323</v>
      </c>
      <c r="AY312">
        <v>1</v>
      </c>
      <c r="AZ312">
        <v>0</v>
      </c>
      <c r="BA312">
        <v>334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Y312*Source!I100</f>
        <v>1.125E-2</v>
      </c>
      <c r="CY312">
        <f t="shared" si="42"/>
        <v>6.9</v>
      </c>
      <c r="CZ312">
        <f t="shared" si="43"/>
        <v>6.9</v>
      </c>
      <c r="DA312">
        <f t="shared" si="44"/>
        <v>1</v>
      </c>
      <c r="DB312">
        <v>0</v>
      </c>
    </row>
    <row r="313" spans="1:106" x14ac:dyDescent="0.2">
      <c r="A313">
        <f>ROW(Source!A100)</f>
        <v>100</v>
      </c>
      <c r="B313">
        <v>16499835</v>
      </c>
      <c r="C313">
        <v>16500315</v>
      </c>
      <c r="D313">
        <v>15249073</v>
      </c>
      <c r="E313">
        <v>1</v>
      </c>
      <c r="F313">
        <v>1</v>
      </c>
      <c r="G313">
        <v>1</v>
      </c>
      <c r="H313">
        <v>2</v>
      </c>
      <c r="I313" t="s">
        <v>631</v>
      </c>
      <c r="J313" t="s">
        <v>632</v>
      </c>
      <c r="K313" t="s">
        <v>633</v>
      </c>
      <c r="L313">
        <v>1368</v>
      </c>
      <c r="N313">
        <v>1011</v>
      </c>
      <c r="O313" t="s">
        <v>634</v>
      </c>
      <c r="P313" t="s">
        <v>634</v>
      </c>
      <c r="Q313">
        <v>1</v>
      </c>
      <c r="W313">
        <v>0</v>
      </c>
      <c r="X313">
        <v>1372534845</v>
      </c>
      <c r="Y313">
        <v>0.23749999999999999</v>
      </c>
      <c r="AA313">
        <v>0</v>
      </c>
      <c r="AB313">
        <v>65.709999999999994</v>
      </c>
      <c r="AC313">
        <v>11.6</v>
      </c>
      <c r="AD313">
        <v>0</v>
      </c>
      <c r="AE313">
        <v>0</v>
      </c>
      <c r="AF313">
        <v>65.709999999999994</v>
      </c>
      <c r="AG313">
        <v>11.6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224</v>
      </c>
      <c r="AT313">
        <v>0.19</v>
      </c>
      <c r="AU313" t="s">
        <v>239</v>
      </c>
      <c r="AV313">
        <v>0</v>
      </c>
      <c r="AW313">
        <v>2</v>
      </c>
      <c r="AX313">
        <v>16500324</v>
      </c>
      <c r="AY313">
        <v>1</v>
      </c>
      <c r="AZ313">
        <v>0</v>
      </c>
      <c r="BA313">
        <v>335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Y313*Source!I100</f>
        <v>2.375E-2</v>
      </c>
      <c r="CY313">
        <f t="shared" si="42"/>
        <v>65.709999999999994</v>
      </c>
      <c r="CZ313">
        <f t="shared" si="43"/>
        <v>65.709999999999994</v>
      </c>
      <c r="DA313">
        <f t="shared" si="44"/>
        <v>1</v>
      </c>
      <c r="DB313">
        <v>0</v>
      </c>
    </row>
    <row r="314" spans="1:106" x14ac:dyDescent="0.2">
      <c r="A314">
        <f>ROW(Source!A100)</f>
        <v>100</v>
      </c>
      <c r="B314">
        <v>16499835</v>
      </c>
      <c r="C314">
        <v>16500315</v>
      </c>
      <c r="D314">
        <v>15249308</v>
      </c>
      <c r="E314">
        <v>1</v>
      </c>
      <c r="F314">
        <v>1</v>
      </c>
      <c r="G314">
        <v>1</v>
      </c>
      <c r="H314">
        <v>2</v>
      </c>
      <c r="I314" t="s">
        <v>682</v>
      </c>
      <c r="J314" t="s">
        <v>683</v>
      </c>
      <c r="K314" t="s">
        <v>684</v>
      </c>
      <c r="L314">
        <v>1368</v>
      </c>
      <c r="N314">
        <v>1011</v>
      </c>
      <c r="O314" t="s">
        <v>634</v>
      </c>
      <c r="P314" t="s">
        <v>634</v>
      </c>
      <c r="Q314">
        <v>1</v>
      </c>
      <c r="W314">
        <v>0</v>
      </c>
      <c r="X314">
        <v>792402865</v>
      </c>
      <c r="Y314">
        <v>2.8000000000000003</v>
      </c>
      <c r="AA314">
        <v>0</v>
      </c>
      <c r="AB314">
        <v>1.2</v>
      </c>
      <c r="AC314">
        <v>0</v>
      </c>
      <c r="AD314">
        <v>0</v>
      </c>
      <c r="AE314">
        <v>0</v>
      </c>
      <c r="AF314">
        <v>1.2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224</v>
      </c>
      <c r="AT314">
        <v>2.2400000000000002</v>
      </c>
      <c r="AU314" t="s">
        <v>239</v>
      </c>
      <c r="AV314">
        <v>0</v>
      </c>
      <c r="AW314">
        <v>2</v>
      </c>
      <c r="AX314">
        <v>16500325</v>
      </c>
      <c r="AY314">
        <v>1</v>
      </c>
      <c r="AZ314">
        <v>0</v>
      </c>
      <c r="BA314">
        <v>336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Y314*Source!I100</f>
        <v>0.28000000000000003</v>
      </c>
      <c r="CY314">
        <f t="shared" si="42"/>
        <v>1.2</v>
      </c>
      <c r="CZ314">
        <f t="shared" si="43"/>
        <v>1.2</v>
      </c>
      <c r="DA314">
        <f t="shared" si="44"/>
        <v>1</v>
      </c>
      <c r="DB314">
        <v>0</v>
      </c>
    </row>
    <row r="315" spans="1:106" x14ac:dyDescent="0.2">
      <c r="A315">
        <f>ROW(Source!A100)</f>
        <v>100</v>
      </c>
      <c r="B315">
        <v>16499835</v>
      </c>
      <c r="C315">
        <v>16500315</v>
      </c>
      <c r="D315">
        <v>15249355</v>
      </c>
      <c r="E315">
        <v>1</v>
      </c>
      <c r="F315">
        <v>1</v>
      </c>
      <c r="G315">
        <v>1</v>
      </c>
      <c r="H315">
        <v>2</v>
      </c>
      <c r="I315" t="s">
        <v>685</v>
      </c>
      <c r="J315" t="s">
        <v>686</v>
      </c>
      <c r="K315" t="s">
        <v>687</v>
      </c>
      <c r="L315">
        <v>1368</v>
      </c>
      <c r="N315">
        <v>1011</v>
      </c>
      <c r="O315" t="s">
        <v>634</v>
      </c>
      <c r="P315" t="s">
        <v>634</v>
      </c>
      <c r="Q315">
        <v>1</v>
      </c>
      <c r="W315">
        <v>0</v>
      </c>
      <c r="X315">
        <v>1323835807</v>
      </c>
      <c r="Y315">
        <v>18.762499999999999</v>
      </c>
      <c r="AA315">
        <v>0</v>
      </c>
      <c r="AB315">
        <v>12.31</v>
      </c>
      <c r="AC315">
        <v>0</v>
      </c>
      <c r="AD315">
        <v>0</v>
      </c>
      <c r="AE315">
        <v>0</v>
      </c>
      <c r="AF315">
        <v>12.31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224</v>
      </c>
      <c r="AT315">
        <v>15.01</v>
      </c>
      <c r="AU315" t="s">
        <v>239</v>
      </c>
      <c r="AV315">
        <v>0</v>
      </c>
      <c r="AW315">
        <v>2</v>
      </c>
      <c r="AX315">
        <v>16500326</v>
      </c>
      <c r="AY315">
        <v>1</v>
      </c>
      <c r="AZ315">
        <v>0</v>
      </c>
      <c r="BA315">
        <v>337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Y315*Source!I100</f>
        <v>1.87625</v>
      </c>
      <c r="CY315">
        <f t="shared" si="42"/>
        <v>12.31</v>
      </c>
      <c r="CZ315">
        <f t="shared" si="43"/>
        <v>12.31</v>
      </c>
      <c r="DA315">
        <f t="shared" si="44"/>
        <v>1</v>
      </c>
      <c r="DB315">
        <v>0</v>
      </c>
    </row>
    <row r="316" spans="1:106" x14ac:dyDescent="0.2">
      <c r="A316">
        <f>ROW(Source!A100)</f>
        <v>100</v>
      </c>
      <c r="B316">
        <v>16499835</v>
      </c>
      <c r="C316">
        <v>16500315</v>
      </c>
      <c r="D316">
        <v>15165653</v>
      </c>
      <c r="E316">
        <v>1</v>
      </c>
      <c r="F316">
        <v>1</v>
      </c>
      <c r="G316">
        <v>1</v>
      </c>
      <c r="H316">
        <v>3</v>
      </c>
      <c r="I316" t="s">
        <v>688</v>
      </c>
      <c r="J316" t="s">
        <v>689</v>
      </c>
      <c r="K316" t="s">
        <v>690</v>
      </c>
      <c r="L316">
        <v>1339</v>
      </c>
      <c r="N316">
        <v>1007</v>
      </c>
      <c r="O316" t="s">
        <v>691</v>
      </c>
      <c r="P316" t="s">
        <v>691</v>
      </c>
      <c r="Q316">
        <v>1</v>
      </c>
      <c r="W316">
        <v>0</v>
      </c>
      <c r="X316">
        <v>1262771840</v>
      </c>
      <c r="Y316">
        <v>1.95</v>
      </c>
      <c r="AA316">
        <v>6.22</v>
      </c>
      <c r="AB316">
        <v>0</v>
      </c>
      <c r="AC316">
        <v>0</v>
      </c>
      <c r="AD316">
        <v>0</v>
      </c>
      <c r="AE316">
        <v>6.22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224</v>
      </c>
      <c r="AT316">
        <v>1.95</v>
      </c>
      <c r="AU316" t="s">
        <v>224</v>
      </c>
      <c r="AV316">
        <v>0</v>
      </c>
      <c r="AW316">
        <v>2</v>
      </c>
      <c r="AX316">
        <v>16500327</v>
      </c>
      <c r="AY316">
        <v>1</v>
      </c>
      <c r="AZ316">
        <v>0</v>
      </c>
      <c r="BA316">
        <v>338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Y316*Source!I100</f>
        <v>0.19500000000000001</v>
      </c>
      <c r="CY316">
        <f t="shared" ref="CY316:CY328" si="45">AA316</f>
        <v>6.22</v>
      </c>
      <c r="CZ316">
        <f t="shared" ref="CZ316:CZ328" si="46">AE316</f>
        <v>6.22</v>
      </c>
      <c r="DA316">
        <f t="shared" ref="DA316:DA328" si="47">AI316</f>
        <v>1</v>
      </c>
      <c r="DB316">
        <v>0</v>
      </c>
    </row>
    <row r="317" spans="1:106" x14ac:dyDescent="0.2">
      <c r="A317">
        <f>ROW(Source!A100)</f>
        <v>100</v>
      </c>
      <c r="B317">
        <v>16499835</v>
      </c>
      <c r="C317">
        <v>16500315</v>
      </c>
      <c r="D317">
        <v>15165660</v>
      </c>
      <c r="E317">
        <v>1</v>
      </c>
      <c r="F317">
        <v>1</v>
      </c>
      <c r="G317">
        <v>1</v>
      </c>
      <c r="H317">
        <v>3</v>
      </c>
      <c r="I317" t="s">
        <v>692</v>
      </c>
      <c r="J317" t="s">
        <v>693</v>
      </c>
      <c r="K317" t="s">
        <v>694</v>
      </c>
      <c r="L317">
        <v>1346</v>
      </c>
      <c r="N317">
        <v>1009</v>
      </c>
      <c r="O317" t="s">
        <v>303</v>
      </c>
      <c r="P317" t="s">
        <v>303</v>
      </c>
      <c r="Q317">
        <v>1</v>
      </c>
      <c r="W317">
        <v>0</v>
      </c>
      <c r="X317">
        <v>1721895514</v>
      </c>
      <c r="Y317">
        <v>0.59</v>
      </c>
      <c r="AA317">
        <v>6.09</v>
      </c>
      <c r="AB317">
        <v>0</v>
      </c>
      <c r="AC317">
        <v>0</v>
      </c>
      <c r="AD317">
        <v>0</v>
      </c>
      <c r="AE317">
        <v>6.09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224</v>
      </c>
      <c r="AT317">
        <v>0.59</v>
      </c>
      <c r="AU317" t="s">
        <v>224</v>
      </c>
      <c r="AV317">
        <v>0</v>
      </c>
      <c r="AW317">
        <v>2</v>
      </c>
      <c r="AX317">
        <v>16500328</v>
      </c>
      <c r="AY317">
        <v>1</v>
      </c>
      <c r="AZ317">
        <v>0</v>
      </c>
      <c r="BA317">
        <v>339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Y317*Source!I100</f>
        <v>5.8999999999999997E-2</v>
      </c>
      <c r="CY317">
        <f t="shared" si="45"/>
        <v>6.09</v>
      </c>
      <c r="CZ317">
        <f t="shared" si="46"/>
        <v>6.09</v>
      </c>
      <c r="DA317">
        <f t="shared" si="47"/>
        <v>1</v>
      </c>
      <c r="DB317">
        <v>0</v>
      </c>
    </row>
    <row r="318" spans="1:106" x14ac:dyDescent="0.2">
      <c r="A318">
        <f>ROW(Source!A100)</f>
        <v>100</v>
      </c>
      <c r="B318">
        <v>16499835</v>
      </c>
      <c r="C318">
        <v>16500315</v>
      </c>
      <c r="D318">
        <v>15168753</v>
      </c>
      <c r="E318">
        <v>1</v>
      </c>
      <c r="F318">
        <v>1</v>
      </c>
      <c r="G318">
        <v>1</v>
      </c>
      <c r="H318">
        <v>3</v>
      </c>
      <c r="I318" t="s">
        <v>695</v>
      </c>
      <c r="J318" t="s">
        <v>696</v>
      </c>
      <c r="K318" t="s">
        <v>697</v>
      </c>
      <c r="L318">
        <v>1348</v>
      </c>
      <c r="N318">
        <v>1009</v>
      </c>
      <c r="O318" t="s">
        <v>288</v>
      </c>
      <c r="P318" t="s">
        <v>288</v>
      </c>
      <c r="Q318">
        <v>1000</v>
      </c>
      <c r="W318">
        <v>0</v>
      </c>
      <c r="X318">
        <v>1225357214</v>
      </c>
      <c r="Y318">
        <v>2.3E-2</v>
      </c>
      <c r="AA318">
        <v>10749</v>
      </c>
      <c r="AB318">
        <v>0</v>
      </c>
      <c r="AC318">
        <v>0</v>
      </c>
      <c r="AD318">
        <v>0</v>
      </c>
      <c r="AE318">
        <v>10749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224</v>
      </c>
      <c r="AT318">
        <v>2.3E-2</v>
      </c>
      <c r="AU318" t="s">
        <v>224</v>
      </c>
      <c r="AV318">
        <v>0</v>
      </c>
      <c r="AW318">
        <v>2</v>
      </c>
      <c r="AX318">
        <v>16500329</v>
      </c>
      <c r="AY318">
        <v>1</v>
      </c>
      <c r="AZ318">
        <v>0</v>
      </c>
      <c r="BA318">
        <v>340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Y318*Source!I100</f>
        <v>2.3E-3</v>
      </c>
      <c r="CY318">
        <f t="shared" si="45"/>
        <v>10749</v>
      </c>
      <c r="CZ318">
        <f t="shared" si="46"/>
        <v>10749</v>
      </c>
      <c r="DA318">
        <f t="shared" si="47"/>
        <v>1</v>
      </c>
      <c r="DB318">
        <v>0</v>
      </c>
    </row>
    <row r="319" spans="1:106" x14ac:dyDescent="0.2">
      <c r="A319">
        <f>ROW(Source!A100)</f>
        <v>100</v>
      </c>
      <c r="B319">
        <v>16499835</v>
      </c>
      <c r="C319">
        <v>16500315</v>
      </c>
      <c r="D319">
        <v>15170039</v>
      </c>
      <c r="E319">
        <v>1</v>
      </c>
      <c r="F319">
        <v>1</v>
      </c>
      <c r="G319">
        <v>1</v>
      </c>
      <c r="H319">
        <v>3</v>
      </c>
      <c r="I319" t="s">
        <v>698</v>
      </c>
      <c r="J319" t="s">
        <v>699</v>
      </c>
      <c r="K319" t="s">
        <v>700</v>
      </c>
      <c r="L319">
        <v>1348</v>
      </c>
      <c r="N319">
        <v>1009</v>
      </c>
      <c r="O319" t="s">
        <v>288</v>
      </c>
      <c r="P319" t="s">
        <v>288</v>
      </c>
      <c r="Q319">
        <v>1000</v>
      </c>
      <c r="W319">
        <v>0</v>
      </c>
      <c r="X319">
        <v>1174701286</v>
      </c>
      <c r="Y319">
        <v>1.0000000000000001E-5</v>
      </c>
      <c r="AA319">
        <v>11978</v>
      </c>
      <c r="AB319">
        <v>0</v>
      </c>
      <c r="AC319">
        <v>0</v>
      </c>
      <c r="AD319">
        <v>0</v>
      </c>
      <c r="AE319">
        <v>11978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224</v>
      </c>
      <c r="AT319">
        <v>1.0000000000000001E-5</v>
      </c>
      <c r="AU319" t="s">
        <v>224</v>
      </c>
      <c r="AV319">
        <v>0</v>
      </c>
      <c r="AW319">
        <v>2</v>
      </c>
      <c r="AX319">
        <v>16500331</v>
      </c>
      <c r="AY319">
        <v>1</v>
      </c>
      <c r="AZ319">
        <v>0</v>
      </c>
      <c r="BA319">
        <v>342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Y319*Source!I100</f>
        <v>1.0000000000000002E-6</v>
      </c>
      <c r="CY319">
        <f t="shared" si="45"/>
        <v>11978</v>
      </c>
      <c r="CZ319">
        <f t="shared" si="46"/>
        <v>11978</v>
      </c>
      <c r="DA319">
        <f t="shared" si="47"/>
        <v>1</v>
      </c>
      <c r="DB319">
        <v>0</v>
      </c>
    </row>
    <row r="320" spans="1:106" x14ac:dyDescent="0.2">
      <c r="A320">
        <f>ROW(Source!A100)</f>
        <v>100</v>
      </c>
      <c r="B320">
        <v>16499835</v>
      </c>
      <c r="C320">
        <v>16500315</v>
      </c>
      <c r="D320">
        <v>15171021</v>
      </c>
      <c r="E320">
        <v>1</v>
      </c>
      <c r="F320">
        <v>1</v>
      </c>
      <c r="G320">
        <v>1</v>
      </c>
      <c r="H320">
        <v>3</v>
      </c>
      <c r="I320" t="s">
        <v>701</v>
      </c>
      <c r="J320" t="s">
        <v>702</v>
      </c>
      <c r="K320" t="s">
        <v>703</v>
      </c>
      <c r="L320">
        <v>1348</v>
      </c>
      <c r="N320">
        <v>1009</v>
      </c>
      <c r="O320" t="s">
        <v>288</v>
      </c>
      <c r="P320" t="s">
        <v>288</v>
      </c>
      <c r="Q320">
        <v>1000</v>
      </c>
      <c r="W320">
        <v>0</v>
      </c>
      <c r="X320">
        <v>-2116243625</v>
      </c>
      <c r="Y320">
        <v>1E-4</v>
      </c>
      <c r="AA320">
        <v>37900</v>
      </c>
      <c r="AB320">
        <v>0</v>
      </c>
      <c r="AC320">
        <v>0</v>
      </c>
      <c r="AD320">
        <v>0</v>
      </c>
      <c r="AE320">
        <v>37900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224</v>
      </c>
      <c r="AT320">
        <v>1E-4</v>
      </c>
      <c r="AU320" t="s">
        <v>224</v>
      </c>
      <c r="AV320">
        <v>0</v>
      </c>
      <c r="AW320">
        <v>2</v>
      </c>
      <c r="AX320">
        <v>16500332</v>
      </c>
      <c r="AY320">
        <v>1</v>
      </c>
      <c r="AZ320">
        <v>0</v>
      </c>
      <c r="BA320">
        <v>343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Y320*Source!I100</f>
        <v>1.0000000000000001E-5</v>
      </c>
      <c r="CY320">
        <f t="shared" si="45"/>
        <v>37900</v>
      </c>
      <c r="CZ320">
        <f t="shared" si="46"/>
        <v>37900</v>
      </c>
      <c r="DA320">
        <f t="shared" si="47"/>
        <v>1</v>
      </c>
      <c r="DB320">
        <v>0</v>
      </c>
    </row>
    <row r="321" spans="1:106" x14ac:dyDescent="0.2">
      <c r="A321">
        <f>ROW(Source!A100)</f>
        <v>100</v>
      </c>
      <c r="B321">
        <v>16499835</v>
      </c>
      <c r="C321">
        <v>16500315</v>
      </c>
      <c r="D321">
        <v>15188765</v>
      </c>
      <c r="E321">
        <v>1</v>
      </c>
      <c r="F321">
        <v>1</v>
      </c>
      <c r="G321">
        <v>1</v>
      </c>
      <c r="H321">
        <v>3</v>
      </c>
      <c r="I321" t="s">
        <v>704</v>
      </c>
      <c r="J321" t="s">
        <v>705</v>
      </c>
      <c r="K321" t="s">
        <v>706</v>
      </c>
      <c r="L321">
        <v>1348</v>
      </c>
      <c r="N321">
        <v>1009</v>
      </c>
      <c r="O321" t="s">
        <v>288</v>
      </c>
      <c r="P321" t="s">
        <v>288</v>
      </c>
      <c r="Q321">
        <v>1000</v>
      </c>
      <c r="W321">
        <v>0</v>
      </c>
      <c r="X321">
        <v>299819930</v>
      </c>
      <c r="Y321">
        <v>2.5999999999999999E-2</v>
      </c>
      <c r="AA321">
        <v>7712</v>
      </c>
      <c r="AB321">
        <v>0</v>
      </c>
      <c r="AC321">
        <v>0</v>
      </c>
      <c r="AD321">
        <v>0</v>
      </c>
      <c r="AE321">
        <v>7712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224</v>
      </c>
      <c r="AT321">
        <v>2.5999999999999999E-2</v>
      </c>
      <c r="AU321" t="s">
        <v>224</v>
      </c>
      <c r="AV321">
        <v>0</v>
      </c>
      <c r="AW321">
        <v>2</v>
      </c>
      <c r="AX321">
        <v>16500333</v>
      </c>
      <c r="AY321">
        <v>1</v>
      </c>
      <c r="AZ321">
        <v>0</v>
      </c>
      <c r="BA321">
        <v>344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Y321*Source!I100</f>
        <v>2.5999999999999999E-3</v>
      </c>
      <c r="CY321">
        <f t="shared" si="45"/>
        <v>7712</v>
      </c>
      <c r="CZ321">
        <f t="shared" si="46"/>
        <v>7712</v>
      </c>
      <c r="DA321">
        <f t="shared" si="47"/>
        <v>1</v>
      </c>
      <c r="DB321">
        <v>0</v>
      </c>
    </row>
    <row r="322" spans="1:106" x14ac:dyDescent="0.2">
      <c r="A322">
        <f>ROW(Source!A100)</f>
        <v>100</v>
      </c>
      <c r="B322">
        <v>16499835</v>
      </c>
      <c r="C322">
        <v>16500315</v>
      </c>
      <c r="D322">
        <v>15190156</v>
      </c>
      <c r="E322">
        <v>1</v>
      </c>
      <c r="F322">
        <v>1</v>
      </c>
      <c r="G322">
        <v>1</v>
      </c>
      <c r="H322">
        <v>3</v>
      </c>
      <c r="I322" t="s">
        <v>411</v>
      </c>
      <c r="J322" t="s">
        <v>414</v>
      </c>
      <c r="K322" t="s">
        <v>412</v>
      </c>
      <c r="L322">
        <v>1354</v>
      </c>
      <c r="N322">
        <v>1010</v>
      </c>
      <c r="O322" t="s">
        <v>413</v>
      </c>
      <c r="P322" t="s">
        <v>413</v>
      </c>
      <c r="Q322">
        <v>1</v>
      </c>
      <c r="W322">
        <v>0</v>
      </c>
      <c r="X322">
        <v>-691972994</v>
      </c>
      <c r="Y322">
        <v>10</v>
      </c>
      <c r="AA322">
        <v>11688.87</v>
      </c>
      <c r="AB322">
        <v>0</v>
      </c>
      <c r="AC322">
        <v>0</v>
      </c>
      <c r="AD322">
        <v>0</v>
      </c>
      <c r="AE322">
        <v>11688.87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224</v>
      </c>
      <c r="AT322">
        <v>10</v>
      </c>
      <c r="AU322" t="s">
        <v>224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224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Y322*Source!I100</f>
        <v>1</v>
      </c>
      <c r="CY322">
        <f t="shared" si="45"/>
        <v>11688.87</v>
      </c>
      <c r="CZ322">
        <f t="shared" si="46"/>
        <v>11688.87</v>
      </c>
      <c r="DA322">
        <f t="shared" si="47"/>
        <v>1</v>
      </c>
      <c r="DB322">
        <v>0</v>
      </c>
    </row>
    <row r="323" spans="1:106" x14ac:dyDescent="0.2">
      <c r="A323">
        <f>ROW(Source!A100)</f>
        <v>100</v>
      </c>
      <c r="B323">
        <v>16499835</v>
      </c>
      <c r="C323">
        <v>16500315</v>
      </c>
      <c r="D323">
        <v>15190794</v>
      </c>
      <c r="E323">
        <v>1</v>
      </c>
      <c r="F323">
        <v>1</v>
      </c>
      <c r="G323">
        <v>1</v>
      </c>
      <c r="H323">
        <v>3</v>
      </c>
      <c r="I323" t="s">
        <v>707</v>
      </c>
      <c r="J323" t="s">
        <v>708</v>
      </c>
      <c r="K323" t="s">
        <v>709</v>
      </c>
      <c r="L323">
        <v>1302</v>
      </c>
      <c r="N323">
        <v>1003</v>
      </c>
      <c r="O323" t="s">
        <v>710</v>
      </c>
      <c r="P323" t="s">
        <v>710</v>
      </c>
      <c r="Q323">
        <v>10</v>
      </c>
      <c r="W323">
        <v>0</v>
      </c>
      <c r="X323">
        <v>-1640127157</v>
      </c>
      <c r="Y323">
        <v>1.8700000000000001E-2</v>
      </c>
      <c r="AA323">
        <v>50.24</v>
      </c>
      <c r="AB323">
        <v>0</v>
      </c>
      <c r="AC323">
        <v>0</v>
      </c>
      <c r="AD323">
        <v>0</v>
      </c>
      <c r="AE323">
        <v>50.24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224</v>
      </c>
      <c r="AT323">
        <v>1.8700000000000001E-2</v>
      </c>
      <c r="AU323" t="s">
        <v>224</v>
      </c>
      <c r="AV323">
        <v>0</v>
      </c>
      <c r="AW323">
        <v>2</v>
      </c>
      <c r="AX323">
        <v>16500335</v>
      </c>
      <c r="AY323">
        <v>1</v>
      </c>
      <c r="AZ323">
        <v>0</v>
      </c>
      <c r="BA323">
        <v>346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Y323*Source!I100</f>
        <v>1.8700000000000001E-3</v>
      </c>
      <c r="CY323">
        <f t="shared" si="45"/>
        <v>50.24</v>
      </c>
      <c r="CZ323">
        <f t="shared" si="46"/>
        <v>50.24</v>
      </c>
      <c r="DA323">
        <f t="shared" si="47"/>
        <v>1</v>
      </c>
      <c r="DB323">
        <v>0</v>
      </c>
    </row>
    <row r="324" spans="1:106" x14ac:dyDescent="0.2">
      <c r="A324">
        <f>ROW(Source!A100)</f>
        <v>100</v>
      </c>
      <c r="B324">
        <v>16499835</v>
      </c>
      <c r="C324">
        <v>16500315</v>
      </c>
      <c r="D324">
        <v>15191153</v>
      </c>
      <c r="E324">
        <v>1</v>
      </c>
      <c r="F324">
        <v>1</v>
      </c>
      <c r="G324">
        <v>1</v>
      </c>
      <c r="H324">
        <v>3</v>
      </c>
      <c r="I324" t="s">
        <v>711</v>
      </c>
      <c r="J324" t="s">
        <v>712</v>
      </c>
      <c r="K324" t="s">
        <v>713</v>
      </c>
      <c r="L324">
        <v>1348</v>
      </c>
      <c r="N324">
        <v>1009</v>
      </c>
      <c r="O324" t="s">
        <v>288</v>
      </c>
      <c r="P324" t="s">
        <v>288</v>
      </c>
      <c r="Q324">
        <v>1000</v>
      </c>
      <c r="W324">
        <v>0</v>
      </c>
      <c r="X324">
        <v>-1396314973</v>
      </c>
      <c r="Y324">
        <v>3.0000000000000001E-5</v>
      </c>
      <c r="AA324">
        <v>4455.2</v>
      </c>
      <c r="AB324">
        <v>0</v>
      </c>
      <c r="AC324">
        <v>0</v>
      </c>
      <c r="AD324">
        <v>0</v>
      </c>
      <c r="AE324">
        <v>4455.2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224</v>
      </c>
      <c r="AT324">
        <v>3.0000000000000001E-5</v>
      </c>
      <c r="AU324" t="s">
        <v>224</v>
      </c>
      <c r="AV324">
        <v>0</v>
      </c>
      <c r="AW324">
        <v>2</v>
      </c>
      <c r="AX324">
        <v>16500336</v>
      </c>
      <c r="AY324">
        <v>1</v>
      </c>
      <c r="AZ324">
        <v>0</v>
      </c>
      <c r="BA324">
        <v>347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Y324*Source!I100</f>
        <v>3.0000000000000001E-6</v>
      </c>
      <c r="CY324">
        <f t="shared" si="45"/>
        <v>4455.2</v>
      </c>
      <c r="CZ324">
        <f t="shared" si="46"/>
        <v>4455.2</v>
      </c>
      <c r="DA324">
        <f t="shared" si="47"/>
        <v>1</v>
      </c>
      <c r="DB324">
        <v>0</v>
      </c>
    </row>
    <row r="325" spans="1:106" x14ac:dyDescent="0.2">
      <c r="A325">
        <f>ROW(Source!A100)</f>
        <v>100</v>
      </c>
      <c r="B325">
        <v>16499835</v>
      </c>
      <c r="C325">
        <v>16500315</v>
      </c>
      <c r="D325">
        <v>15191913</v>
      </c>
      <c r="E325">
        <v>1</v>
      </c>
      <c r="F325">
        <v>1</v>
      </c>
      <c r="G325">
        <v>1</v>
      </c>
      <c r="H325">
        <v>3</v>
      </c>
      <c r="I325" t="s">
        <v>714</v>
      </c>
      <c r="J325" t="s">
        <v>715</v>
      </c>
      <c r="K325" t="s">
        <v>716</v>
      </c>
      <c r="L325">
        <v>1348</v>
      </c>
      <c r="N325">
        <v>1009</v>
      </c>
      <c r="O325" t="s">
        <v>288</v>
      </c>
      <c r="P325" t="s">
        <v>288</v>
      </c>
      <c r="Q325">
        <v>1000</v>
      </c>
      <c r="W325">
        <v>0</v>
      </c>
      <c r="X325">
        <v>900832145</v>
      </c>
      <c r="Y325">
        <v>1.9400000000000001E-3</v>
      </c>
      <c r="AA325">
        <v>4920</v>
      </c>
      <c r="AB325">
        <v>0</v>
      </c>
      <c r="AC325">
        <v>0</v>
      </c>
      <c r="AD325">
        <v>0</v>
      </c>
      <c r="AE325">
        <v>4920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224</v>
      </c>
      <c r="AT325">
        <v>1.9400000000000001E-3</v>
      </c>
      <c r="AU325" t="s">
        <v>224</v>
      </c>
      <c r="AV325">
        <v>0</v>
      </c>
      <c r="AW325">
        <v>2</v>
      </c>
      <c r="AX325">
        <v>16500337</v>
      </c>
      <c r="AY325">
        <v>1</v>
      </c>
      <c r="AZ325">
        <v>0</v>
      </c>
      <c r="BA325">
        <v>348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Y325*Source!I100</f>
        <v>1.9400000000000003E-4</v>
      </c>
      <c r="CY325">
        <f t="shared" si="45"/>
        <v>4920</v>
      </c>
      <c r="CZ325">
        <f t="shared" si="46"/>
        <v>4920</v>
      </c>
      <c r="DA325">
        <f t="shared" si="47"/>
        <v>1</v>
      </c>
      <c r="DB325">
        <v>0</v>
      </c>
    </row>
    <row r="326" spans="1:106" x14ac:dyDescent="0.2">
      <c r="A326">
        <f>ROW(Source!A100)</f>
        <v>100</v>
      </c>
      <c r="B326">
        <v>16499835</v>
      </c>
      <c r="C326">
        <v>16500315</v>
      </c>
      <c r="D326">
        <v>15195820</v>
      </c>
      <c r="E326">
        <v>1</v>
      </c>
      <c r="F326">
        <v>1</v>
      </c>
      <c r="G326">
        <v>1</v>
      </c>
      <c r="H326">
        <v>3</v>
      </c>
      <c r="I326" t="s">
        <v>717</v>
      </c>
      <c r="J326" t="s">
        <v>718</v>
      </c>
      <c r="K326" t="s">
        <v>719</v>
      </c>
      <c r="L326">
        <v>1339</v>
      </c>
      <c r="N326">
        <v>1007</v>
      </c>
      <c r="O326" t="s">
        <v>691</v>
      </c>
      <c r="P326" t="s">
        <v>691</v>
      </c>
      <c r="Q326">
        <v>1</v>
      </c>
      <c r="W326">
        <v>0</v>
      </c>
      <c r="X326">
        <v>1283004816</v>
      </c>
      <c r="Y326">
        <v>1.0300000000000001E-3</v>
      </c>
      <c r="AA326">
        <v>1700</v>
      </c>
      <c r="AB326">
        <v>0</v>
      </c>
      <c r="AC326">
        <v>0</v>
      </c>
      <c r="AD326">
        <v>0</v>
      </c>
      <c r="AE326">
        <v>1700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224</v>
      </c>
      <c r="AT326">
        <v>1.0300000000000001E-3</v>
      </c>
      <c r="AU326" t="s">
        <v>224</v>
      </c>
      <c r="AV326">
        <v>0</v>
      </c>
      <c r="AW326">
        <v>2</v>
      </c>
      <c r="AX326">
        <v>16500338</v>
      </c>
      <c r="AY326">
        <v>1</v>
      </c>
      <c r="AZ326">
        <v>0</v>
      </c>
      <c r="BA326">
        <v>349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Y326*Source!I100</f>
        <v>1.0300000000000001E-4</v>
      </c>
      <c r="CY326">
        <f t="shared" si="45"/>
        <v>1700</v>
      </c>
      <c r="CZ326">
        <f t="shared" si="46"/>
        <v>1700</v>
      </c>
      <c r="DA326">
        <f t="shared" si="47"/>
        <v>1</v>
      </c>
      <c r="DB326">
        <v>0</v>
      </c>
    </row>
    <row r="327" spans="1:106" x14ac:dyDescent="0.2">
      <c r="A327">
        <f>ROW(Source!A100)</f>
        <v>100</v>
      </c>
      <c r="B327">
        <v>16499835</v>
      </c>
      <c r="C327">
        <v>16500315</v>
      </c>
      <c r="D327">
        <v>15203461</v>
      </c>
      <c r="E327">
        <v>1</v>
      </c>
      <c r="F327">
        <v>1</v>
      </c>
      <c r="G327">
        <v>1</v>
      </c>
      <c r="H327">
        <v>3</v>
      </c>
      <c r="I327" t="s">
        <v>720</v>
      </c>
      <c r="J327" t="s">
        <v>721</v>
      </c>
      <c r="K327" t="s">
        <v>722</v>
      </c>
      <c r="L327">
        <v>1348</v>
      </c>
      <c r="N327">
        <v>1009</v>
      </c>
      <c r="O327" t="s">
        <v>288</v>
      </c>
      <c r="P327" t="s">
        <v>288</v>
      </c>
      <c r="Q327">
        <v>1000</v>
      </c>
      <c r="W327">
        <v>0</v>
      </c>
      <c r="X327">
        <v>-1655298345</v>
      </c>
      <c r="Y327">
        <v>3.1E-4</v>
      </c>
      <c r="AA327">
        <v>15620</v>
      </c>
      <c r="AB327">
        <v>0</v>
      </c>
      <c r="AC327">
        <v>0</v>
      </c>
      <c r="AD327">
        <v>0</v>
      </c>
      <c r="AE327">
        <v>15620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224</v>
      </c>
      <c r="AT327">
        <v>3.1E-4</v>
      </c>
      <c r="AU327" t="s">
        <v>224</v>
      </c>
      <c r="AV327">
        <v>0</v>
      </c>
      <c r="AW327">
        <v>2</v>
      </c>
      <c r="AX327">
        <v>16500339</v>
      </c>
      <c r="AY327">
        <v>1</v>
      </c>
      <c r="AZ327">
        <v>0</v>
      </c>
      <c r="BA327">
        <v>350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Y327*Source!I100</f>
        <v>3.1000000000000001E-5</v>
      </c>
      <c r="CY327">
        <f t="shared" si="45"/>
        <v>15620</v>
      </c>
      <c r="CZ327">
        <f t="shared" si="46"/>
        <v>15620</v>
      </c>
      <c r="DA327">
        <f t="shared" si="47"/>
        <v>1</v>
      </c>
      <c r="DB327">
        <v>0</v>
      </c>
    </row>
    <row r="328" spans="1:106" x14ac:dyDescent="0.2">
      <c r="A328">
        <f>ROW(Source!A100)</f>
        <v>100</v>
      </c>
      <c r="B328">
        <v>16499835</v>
      </c>
      <c r="C328">
        <v>16500315</v>
      </c>
      <c r="D328">
        <v>15204663</v>
      </c>
      <c r="E328">
        <v>1</v>
      </c>
      <c r="F328">
        <v>1</v>
      </c>
      <c r="G328">
        <v>1</v>
      </c>
      <c r="H328">
        <v>3</v>
      </c>
      <c r="I328" t="s">
        <v>723</v>
      </c>
      <c r="J328" t="s">
        <v>724</v>
      </c>
      <c r="K328" t="s">
        <v>725</v>
      </c>
      <c r="L328">
        <v>1348</v>
      </c>
      <c r="N328">
        <v>1009</v>
      </c>
      <c r="O328" t="s">
        <v>288</v>
      </c>
      <c r="P328" t="s">
        <v>288</v>
      </c>
      <c r="Q328">
        <v>1000</v>
      </c>
      <c r="W328">
        <v>0</v>
      </c>
      <c r="X328">
        <v>-639604785</v>
      </c>
      <c r="Y328">
        <v>5.9999999999999995E-4</v>
      </c>
      <c r="AA328">
        <v>9420</v>
      </c>
      <c r="AB328">
        <v>0</v>
      </c>
      <c r="AC328">
        <v>0</v>
      </c>
      <c r="AD328">
        <v>0</v>
      </c>
      <c r="AE328">
        <v>9420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224</v>
      </c>
      <c r="AT328">
        <v>5.9999999999999995E-4</v>
      </c>
      <c r="AU328" t="s">
        <v>224</v>
      </c>
      <c r="AV328">
        <v>0</v>
      </c>
      <c r="AW328">
        <v>2</v>
      </c>
      <c r="AX328">
        <v>16500340</v>
      </c>
      <c r="AY328">
        <v>1</v>
      </c>
      <c r="AZ328">
        <v>0</v>
      </c>
      <c r="BA328">
        <v>351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Y328*Source!I100</f>
        <v>5.9999999999999995E-5</v>
      </c>
      <c r="CY328">
        <f t="shared" si="45"/>
        <v>9420</v>
      </c>
      <c r="CZ328">
        <f t="shared" si="46"/>
        <v>9420</v>
      </c>
      <c r="DA328">
        <f t="shared" si="47"/>
        <v>1</v>
      </c>
      <c r="DB328">
        <v>0</v>
      </c>
    </row>
    <row r="329" spans="1:106" x14ac:dyDescent="0.2">
      <c r="A329">
        <f>ROW(Source!A101)</f>
        <v>101</v>
      </c>
      <c r="B329">
        <v>16499878</v>
      </c>
      <c r="C329">
        <v>16500315</v>
      </c>
      <c r="D329">
        <v>15441047</v>
      </c>
      <c r="E329">
        <v>1</v>
      </c>
      <c r="F329">
        <v>1</v>
      </c>
      <c r="G329">
        <v>1</v>
      </c>
      <c r="H329">
        <v>1</v>
      </c>
      <c r="I329" t="s">
        <v>665</v>
      </c>
      <c r="J329" t="s">
        <v>224</v>
      </c>
      <c r="K329" t="s">
        <v>666</v>
      </c>
      <c r="L329">
        <v>1191</v>
      </c>
      <c r="N329">
        <v>1013</v>
      </c>
      <c r="O329" t="s">
        <v>628</v>
      </c>
      <c r="P329" t="s">
        <v>628</v>
      </c>
      <c r="Q329">
        <v>1</v>
      </c>
      <c r="W329">
        <v>0</v>
      </c>
      <c r="X329">
        <v>687044855</v>
      </c>
      <c r="Y329">
        <v>53.325499999999991</v>
      </c>
      <c r="AA329">
        <v>0</v>
      </c>
      <c r="AB329">
        <v>0</v>
      </c>
      <c r="AC329">
        <v>0</v>
      </c>
      <c r="AD329">
        <v>61.16</v>
      </c>
      <c r="AE329">
        <v>0</v>
      </c>
      <c r="AF329">
        <v>0</v>
      </c>
      <c r="AG329">
        <v>0</v>
      </c>
      <c r="AH329">
        <v>10.06</v>
      </c>
      <c r="AI329">
        <v>1</v>
      </c>
      <c r="AJ329">
        <v>1</v>
      </c>
      <c r="AK329">
        <v>1</v>
      </c>
      <c r="AL329">
        <v>6.08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224</v>
      </c>
      <c r="AT329">
        <v>46.37</v>
      </c>
      <c r="AU329" t="s">
        <v>240</v>
      </c>
      <c r="AV329">
        <v>1</v>
      </c>
      <c r="AW329">
        <v>2</v>
      </c>
      <c r="AX329">
        <v>16500316</v>
      </c>
      <c r="AY329">
        <v>1</v>
      </c>
      <c r="AZ329">
        <v>0</v>
      </c>
      <c r="BA329">
        <v>352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Y329*Source!I101</f>
        <v>5.3325499999999995</v>
      </c>
      <c r="CY329">
        <f>AD329</f>
        <v>61.16</v>
      </c>
      <c r="CZ329">
        <f>AH329</f>
        <v>10.06</v>
      </c>
      <c r="DA329">
        <f>AL329</f>
        <v>6.08</v>
      </c>
      <c r="DB329">
        <v>0</v>
      </c>
    </row>
    <row r="330" spans="1:106" x14ac:dyDescent="0.2">
      <c r="A330">
        <f>ROW(Source!A101)</f>
        <v>101</v>
      </c>
      <c r="B330">
        <v>16499878</v>
      </c>
      <c r="C330">
        <v>16500315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629</v>
      </c>
      <c r="J330" t="s">
        <v>224</v>
      </c>
      <c r="K330" t="s">
        <v>630</v>
      </c>
      <c r="L330">
        <v>1191</v>
      </c>
      <c r="N330">
        <v>1013</v>
      </c>
      <c r="O330" t="s">
        <v>628</v>
      </c>
      <c r="P330" t="s">
        <v>628</v>
      </c>
      <c r="Q330">
        <v>1</v>
      </c>
      <c r="W330">
        <v>0</v>
      </c>
      <c r="X330">
        <v>-1417349443</v>
      </c>
      <c r="Y330">
        <v>8.8699999999999992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6.08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224</v>
      </c>
      <c r="AT330">
        <v>8.8699999999999992</v>
      </c>
      <c r="AU330" t="s">
        <v>224</v>
      </c>
      <c r="AV330">
        <v>2</v>
      </c>
      <c r="AW330">
        <v>2</v>
      </c>
      <c r="AX330">
        <v>16500317</v>
      </c>
      <c r="AY330">
        <v>1</v>
      </c>
      <c r="AZ330">
        <v>2048</v>
      </c>
      <c r="BA330">
        <v>353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Y330*Source!I101</f>
        <v>0.88700000000000001</v>
      </c>
      <c r="CY330">
        <f>AD330</f>
        <v>0</v>
      </c>
      <c r="CZ330">
        <f>AH330</f>
        <v>0</v>
      </c>
      <c r="DA330">
        <f>AL330</f>
        <v>1</v>
      </c>
      <c r="DB330">
        <v>0</v>
      </c>
    </row>
    <row r="331" spans="1:106" x14ac:dyDescent="0.2">
      <c r="A331">
        <f>ROW(Source!A101)</f>
        <v>101</v>
      </c>
      <c r="B331">
        <v>16499878</v>
      </c>
      <c r="C331">
        <v>16500315</v>
      </c>
      <c r="D331">
        <v>15247600</v>
      </c>
      <c r="E331">
        <v>1</v>
      </c>
      <c r="F331">
        <v>1</v>
      </c>
      <c r="G331">
        <v>1</v>
      </c>
      <c r="H331">
        <v>2</v>
      </c>
      <c r="I331" t="s">
        <v>667</v>
      </c>
      <c r="J331" t="s">
        <v>668</v>
      </c>
      <c r="K331" t="s">
        <v>669</v>
      </c>
      <c r="L331">
        <v>1368</v>
      </c>
      <c r="N331">
        <v>1011</v>
      </c>
      <c r="O331" t="s">
        <v>634</v>
      </c>
      <c r="P331" t="s">
        <v>634</v>
      </c>
      <c r="Q331">
        <v>1</v>
      </c>
      <c r="W331">
        <v>0</v>
      </c>
      <c r="X331">
        <v>641541266</v>
      </c>
      <c r="Y331">
        <v>0.52500000000000002</v>
      </c>
      <c r="AA331">
        <v>0</v>
      </c>
      <c r="AB331">
        <v>731.06</v>
      </c>
      <c r="AC331">
        <v>15.42</v>
      </c>
      <c r="AD331">
        <v>0</v>
      </c>
      <c r="AE331">
        <v>0</v>
      </c>
      <c r="AF331">
        <v>120.24</v>
      </c>
      <c r="AG331">
        <v>15.42</v>
      </c>
      <c r="AH331">
        <v>0</v>
      </c>
      <c r="AI331">
        <v>1</v>
      </c>
      <c r="AJ331">
        <v>6.08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224</v>
      </c>
      <c r="AT331">
        <v>0.42</v>
      </c>
      <c r="AU331" t="s">
        <v>239</v>
      </c>
      <c r="AV331">
        <v>0</v>
      </c>
      <c r="AW331">
        <v>2</v>
      </c>
      <c r="AX331">
        <v>16500318</v>
      </c>
      <c r="AY331">
        <v>1</v>
      </c>
      <c r="AZ331">
        <v>0</v>
      </c>
      <c r="BA331">
        <v>354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Y331*Source!I101</f>
        <v>5.2500000000000005E-2</v>
      </c>
      <c r="CY331">
        <f t="shared" ref="CY331:CY339" si="48">AB331</f>
        <v>731.06</v>
      </c>
      <c r="CZ331">
        <f t="shared" ref="CZ331:CZ339" si="49">AF331</f>
        <v>120.24</v>
      </c>
      <c r="DA331">
        <f t="shared" ref="DA331:DA339" si="50">AJ331</f>
        <v>6.08</v>
      </c>
      <c r="DB331">
        <v>0</v>
      </c>
    </row>
    <row r="332" spans="1:106" x14ac:dyDescent="0.2">
      <c r="A332">
        <f>ROW(Source!A101)</f>
        <v>101</v>
      </c>
      <c r="B332">
        <v>16499878</v>
      </c>
      <c r="C332">
        <v>16500315</v>
      </c>
      <c r="D332">
        <v>15247680</v>
      </c>
      <c r="E332">
        <v>1</v>
      </c>
      <c r="F332">
        <v>1</v>
      </c>
      <c r="G332">
        <v>1</v>
      </c>
      <c r="H332">
        <v>2</v>
      </c>
      <c r="I332" t="s">
        <v>670</v>
      </c>
      <c r="J332" t="s">
        <v>671</v>
      </c>
      <c r="K332" t="s">
        <v>672</v>
      </c>
      <c r="L332">
        <v>1368</v>
      </c>
      <c r="N332">
        <v>1011</v>
      </c>
      <c r="O332" t="s">
        <v>634</v>
      </c>
      <c r="P332" t="s">
        <v>634</v>
      </c>
      <c r="Q332">
        <v>1</v>
      </c>
      <c r="W332">
        <v>0</v>
      </c>
      <c r="X332">
        <v>-1718674368</v>
      </c>
      <c r="Y332">
        <v>0.15</v>
      </c>
      <c r="AA332">
        <v>0</v>
      </c>
      <c r="AB332">
        <v>680.9</v>
      </c>
      <c r="AC332">
        <v>13.5</v>
      </c>
      <c r="AD332">
        <v>0</v>
      </c>
      <c r="AE332">
        <v>0</v>
      </c>
      <c r="AF332">
        <v>111.99</v>
      </c>
      <c r="AG332">
        <v>13.5</v>
      </c>
      <c r="AH332">
        <v>0</v>
      </c>
      <c r="AI332">
        <v>1</v>
      </c>
      <c r="AJ332">
        <v>6.08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224</v>
      </c>
      <c r="AT332">
        <v>0.12</v>
      </c>
      <c r="AU332" t="s">
        <v>239</v>
      </c>
      <c r="AV332">
        <v>0</v>
      </c>
      <c r="AW332">
        <v>2</v>
      </c>
      <c r="AX332">
        <v>16500319</v>
      </c>
      <c r="AY332">
        <v>1</v>
      </c>
      <c r="AZ332">
        <v>0</v>
      </c>
      <c r="BA332">
        <v>355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Y332*Source!I101</f>
        <v>1.4999999999999999E-2</v>
      </c>
      <c r="CY332">
        <f t="shared" si="48"/>
        <v>680.9</v>
      </c>
      <c r="CZ332">
        <f t="shared" si="49"/>
        <v>111.99</v>
      </c>
      <c r="DA332">
        <f t="shared" si="50"/>
        <v>6.08</v>
      </c>
      <c r="DB332">
        <v>0</v>
      </c>
    </row>
    <row r="333" spans="1:106" x14ac:dyDescent="0.2">
      <c r="A333">
        <f>ROW(Source!A101)</f>
        <v>101</v>
      </c>
      <c r="B333">
        <v>16499878</v>
      </c>
      <c r="C333">
        <v>16500315</v>
      </c>
      <c r="D333">
        <v>15247698</v>
      </c>
      <c r="E333">
        <v>1</v>
      </c>
      <c r="F333">
        <v>1</v>
      </c>
      <c r="G333">
        <v>1</v>
      </c>
      <c r="H333">
        <v>2</v>
      </c>
      <c r="I333" t="s">
        <v>673</v>
      </c>
      <c r="J333" t="s">
        <v>674</v>
      </c>
      <c r="K333" t="s">
        <v>675</v>
      </c>
      <c r="L333">
        <v>1368</v>
      </c>
      <c r="N333">
        <v>1011</v>
      </c>
      <c r="O333" t="s">
        <v>634</v>
      </c>
      <c r="P333" t="s">
        <v>634</v>
      </c>
      <c r="Q333">
        <v>1</v>
      </c>
      <c r="W333">
        <v>0</v>
      </c>
      <c r="X333">
        <v>-891972751</v>
      </c>
      <c r="Y333">
        <v>5.0875000000000004</v>
      </c>
      <c r="AA333">
        <v>0</v>
      </c>
      <c r="AB333">
        <v>3242.28</v>
      </c>
      <c r="AC333">
        <v>27.9</v>
      </c>
      <c r="AD333">
        <v>0</v>
      </c>
      <c r="AE333">
        <v>0</v>
      </c>
      <c r="AF333">
        <v>533.27</v>
      </c>
      <c r="AG333">
        <v>27.9</v>
      </c>
      <c r="AH333">
        <v>0</v>
      </c>
      <c r="AI333">
        <v>1</v>
      </c>
      <c r="AJ333">
        <v>6.08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224</v>
      </c>
      <c r="AT333">
        <v>4.07</v>
      </c>
      <c r="AU333" t="s">
        <v>239</v>
      </c>
      <c r="AV333">
        <v>0</v>
      </c>
      <c r="AW333">
        <v>2</v>
      </c>
      <c r="AX333">
        <v>16500320</v>
      </c>
      <c r="AY333">
        <v>1</v>
      </c>
      <c r="AZ333">
        <v>0</v>
      </c>
      <c r="BA333">
        <v>356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Y333*Source!I101</f>
        <v>0.50875000000000004</v>
      </c>
      <c r="CY333">
        <f t="shared" si="48"/>
        <v>3242.28</v>
      </c>
      <c r="CZ333">
        <f t="shared" si="49"/>
        <v>533.27</v>
      </c>
      <c r="DA333">
        <f t="shared" si="50"/>
        <v>6.08</v>
      </c>
      <c r="DB333">
        <v>0</v>
      </c>
    </row>
    <row r="334" spans="1:106" x14ac:dyDescent="0.2">
      <c r="A334">
        <f>ROW(Source!A101)</f>
        <v>101</v>
      </c>
      <c r="B334">
        <v>16499878</v>
      </c>
      <c r="C334">
        <v>16500315</v>
      </c>
      <c r="D334">
        <v>15247814</v>
      </c>
      <c r="E334">
        <v>1</v>
      </c>
      <c r="F334">
        <v>1</v>
      </c>
      <c r="G334">
        <v>1</v>
      </c>
      <c r="H334">
        <v>2</v>
      </c>
      <c r="I334" t="s">
        <v>676</v>
      </c>
      <c r="J334" t="s">
        <v>677</v>
      </c>
      <c r="K334" t="s">
        <v>678</v>
      </c>
      <c r="L334">
        <v>1368</v>
      </c>
      <c r="N334">
        <v>1011</v>
      </c>
      <c r="O334" t="s">
        <v>634</v>
      </c>
      <c r="P334" t="s">
        <v>634</v>
      </c>
      <c r="Q334">
        <v>1</v>
      </c>
      <c r="W334">
        <v>0</v>
      </c>
      <c r="X334">
        <v>-1692889495</v>
      </c>
      <c r="Y334">
        <v>0.125</v>
      </c>
      <c r="AA334">
        <v>0</v>
      </c>
      <c r="AB334">
        <v>5.47</v>
      </c>
      <c r="AC334">
        <v>0</v>
      </c>
      <c r="AD334">
        <v>0</v>
      </c>
      <c r="AE334">
        <v>0</v>
      </c>
      <c r="AF334">
        <v>0.9</v>
      </c>
      <c r="AG334">
        <v>0</v>
      </c>
      <c r="AH334">
        <v>0</v>
      </c>
      <c r="AI334">
        <v>1</v>
      </c>
      <c r="AJ334">
        <v>6.08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224</v>
      </c>
      <c r="AT334">
        <v>0.1</v>
      </c>
      <c r="AU334" t="s">
        <v>239</v>
      </c>
      <c r="AV334">
        <v>0</v>
      </c>
      <c r="AW334">
        <v>2</v>
      </c>
      <c r="AX334">
        <v>16500321</v>
      </c>
      <c r="AY334">
        <v>1</v>
      </c>
      <c r="AZ334">
        <v>0</v>
      </c>
      <c r="BA334">
        <v>357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Y334*Source!I101</f>
        <v>1.2500000000000001E-2</v>
      </c>
      <c r="CY334">
        <f t="shared" si="48"/>
        <v>5.47</v>
      </c>
      <c r="CZ334">
        <f t="shared" si="49"/>
        <v>0.9</v>
      </c>
      <c r="DA334">
        <f t="shared" si="50"/>
        <v>6.08</v>
      </c>
      <c r="DB334">
        <v>0</v>
      </c>
    </row>
    <row r="335" spans="1:106" x14ac:dyDescent="0.2">
      <c r="A335">
        <f>ROW(Source!A101)</f>
        <v>101</v>
      </c>
      <c r="B335">
        <v>16499878</v>
      </c>
      <c r="C335">
        <v>16500315</v>
      </c>
      <c r="D335">
        <v>15247878</v>
      </c>
      <c r="E335">
        <v>1</v>
      </c>
      <c r="F335">
        <v>1</v>
      </c>
      <c r="G335">
        <v>1</v>
      </c>
      <c r="H335">
        <v>2</v>
      </c>
      <c r="I335" t="s">
        <v>646</v>
      </c>
      <c r="J335" t="s">
        <v>647</v>
      </c>
      <c r="K335" t="s">
        <v>648</v>
      </c>
      <c r="L335">
        <v>1368</v>
      </c>
      <c r="N335">
        <v>1011</v>
      </c>
      <c r="O335" t="s">
        <v>634</v>
      </c>
      <c r="P335" t="s">
        <v>634</v>
      </c>
      <c r="Q335">
        <v>1</v>
      </c>
      <c r="W335">
        <v>0</v>
      </c>
      <c r="X335">
        <v>1047452784</v>
      </c>
      <c r="Y335">
        <v>0.42500000000000004</v>
      </c>
      <c r="AA335">
        <v>0</v>
      </c>
      <c r="AB335">
        <v>10.34</v>
      </c>
      <c r="AC335">
        <v>0</v>
      </c>
      <c r="AD335">
        <v>0</v>
      </c>
      <c r="AE335">
        <v>0</v>
      </c>
      <c r="AF335">
        <v>1.7</v>
      </c>
      <c r="AG335">
        <v>0</v>
      </c>
      <c r="AH335">
        <v>0</v>
      </c>
      <c r="AI335">
        <v>1</v>
      </c>
      <c r="AJ335">
        <v>6.08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224</v>
      </c>
      <c r="AT335">
        <v>0.34</v>
      </c>
      <c r="AU335" t="s">
        <v>239</v>
      </c>
      <c r="AV335">
        <v>0</v>
      </c>
      <c r="AW335">
        <v>2</v>
      </c>
      <c r="AX335">
        <v>16500322</v>
      </c>
      <c r="AY335">
        <v>1</v>
      </c>
      <c r="AZ335">
        <v>0</v>
      </c>
      <c r="BA335">
        <v>358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Y335*Source!I101</f>
        <v>4.250000000000001E-2</v>
      </c>
      <c r="CY335">
        <f t="shared" si="48"/>
        <v>10.34</v>
      </c>
      <c r="CZ335">
        <f t="shared" si="49"/>
        <v>1.7</v>
      </c>
      <c r="DA335">
        <f t="shared" si="50"/>
        <v>6.08</v>
      </c>
      <c r="DB335">
        <v>0</v>
      </c>
    </row>
    <row r="336" spans="1:106" x14ac:dyDescent="0.2">
      <c r="A336">
        <f>ROW(Source!A101)</f>
        <v>101</v>
      </c>
      <c r="B336">
        <v>16499878</v>
      </c>
      <c r="C336">
        <v>16500315</v>
      </c>
      <c r="D336">
        <v>15247880</v>
      </c>
      <c r="E336">
        <v>1</v>
      </c>
      <c r="F336">
        <v>1</v>
      </c>
      <c r="G336">
        <v>1</v>
      </c>
      <c r="H336">
        <v>2</v>
      </c>
      <c r="I336" t="s">
        <v>679</v>
      </c>
      <c r="J336" t="s">
        <v>680</v>
      </c>
      <c r="K336" t="s">
        <v>681</v>
      </c>
      <c r="L336">
        <v>1368</v>
      </c>
      <c r="N336">
        <v>1011</v>
      </c>
      <c r="O336" t="s">
        <v>634</v>
      </c>
      <c r="P336" t="s">
        <v>634</v>
      </c>
      <c r="Q336">
        <v>1</v>
      </c>
      <c r="W336">
        <v>0</v>
      </c>
      <c r="X336">
        <v>1544661785</v>
      </c>
      <c r="Y336">
        <v>0.11249999999999999</v>
      </c>
      <c r="AA336">
        <v>0</v>
      </c>
      <c r="AB336">
        <v>41.95</v>
      </c>
      <c r="AC336">
        <v>0</v>
      </c>
      <c r="AD336">
        <v>0</v>
      </c>
      <c r="AE336">
        <v>0</v>
      </c>
      <c r="AF336">
        <v>6.9</v>
      </c>
      <c r="AG336">
        <v>0</v>
      </c>
      <c r="AH336">
        <v>0</v>
      </c>
      <c r="AI336">
        <v>1</v>
      </c>
      <c r="AJ336">
        <v>6.08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224</v>
      </c>
      <c r="AT336">
        <v>0.09</v>
      </c>
      <c r="AU336" t="s">
        <v>239</v>
      </c>
      <c r="AV336">
        <v>0</v>
      </c>
      <c r="AW336">
        <v>2</v>
      </c>
      <c r="AX336">
        <v>16500323</v>
      </c>
      <c r="AY336">
        <v>1</v>
      </c>
      <c r="AZ336">
        <v>0</v>
      </c>
      <c r="BA336">
        <v>359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Y336*Source!I101</f>
        <v>1.125E-2</v>
      </c>
      <c r="CY336">
        <f t="shared" si="48"/>
        <v>41.95</v>
      </c>
      <c r="CZ336">
        <f t="shared" si="49"/>
        <v>6.9</v>
      </c>
      <c r="DA336">
        <f t="shared" si="50"/>
        <v>6.08</v>
      </c>
      <c r="DB336">
        <v>0</v>
      </c>
    </row>
    <row r="337" spans="1:106" x14ac:dyDescent="0.2">
      <c r="A337">
        <f>ROW(Source!A101)</f>
        <v>101</v>
      </c>
      <c r="B337">
        <v>16499878</v>
      </c>
      <c r="C337">
        <v>16500315</v>
      </c>
      <c r="D337">
        <v>15249073</v>
      </c>
      <c r="E337">
        <v>1</v>
      </c>
      <c r="F337">
        <v>1</v>
      </c>
      <c r="G337">
        <v>1</v>
      </c>
      <c r="H337">
        <v>2</v>
      </c>
      <c r="I337" t="s">
        <v>631</v>
      </c>
      <c r="J337" t="s">
        <v>632</v>
      </c>
      <c r="K337" t="s">
        <v>633</v>
      </c>
      <c r="L337">
        <v>1368</v>
      </c>
      <c r="N337">
        <v>1011</v>
      </c>
      <c r="O337" t="s">
        <v>634</v>
      </c>
      <c r="P337" t="s">
        <v>634</v>
      </c>
      <c r="Q337">
        <v>1</v>
      </c>
      <c r="W337">
        <v>0</v>
      </c>
      <c r="X337">
        <v>1372534845</v>
      </c>
      <c r="Y337">
        <v>0.23749999999999999</v>
      </c>
      <c r="AA337">
        <v>0</v>
      </c>
      <c r="AB337">
        <v>399.52</v>
      </c>
      <c r="AC337">
        <v>11.6</v>
      </c>
      <c r="AD337">
        <v>0</v>
      </c>
      <c r="AE337">
        <v>0</v>
      </c>
      <c r="AF337">
        <v>65.709999999999994</v>
      </c>
      <c r="AG337">
        <v>11.6</v>
      </c>
      <c r="AH337">
        <v>0</v>
      </c>
      <c r="AI337">
        <v>1</v>
      </c>
      <c r="AJ337">
        <v>6.08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224</v>
      </c>
      <c r="AT337">
        <v>0.19</v>
      </c>
      <c r="AU337" t="s">
        <v>239</v>
      </c>
      <c r="AV337">
        <v>0</v>
      </c>
      <c r="AW337">
        <v>2</v>
      </c>
      <c r="AX337">
        <v>16500324</v>
      </c>
      <c r="AY337">
        <v>1</v>
      </c>
      <c r="AZ337">
        <v>0</v>
      </c>
      <c r="BA337">
        <v>360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Y337*Source!I101</f>
        <v>2.375E-2</v>
      </c>
      <c r="CY337">
        <f t="shared" si="48"/>
        <v>399.52</v>
      </c>
      <c r="CZ337">
        <f t="shared" si="49"/>
        <v>65.709999999999994</v>
      </c>
      <c r="DA337">
        <f t="shared" si="50"/>
        <v>6.08</v>
      </c>
      <c r="DB337">
        <v>0</v>
      </c>
    </row>
    <row r="338" spans="1:106" x14ac:dyDescent="0.2">
      <c r="A338">
        <f>ROW(Source!A101)</f>
        <v>101</v>
      </c>
      <c r="B338">
        <v>16499878</v>
      </c>
      <c r="C338">
        <v>16500315</v>
      </c>
      <c r="D338">
        <v>15249308</v>
      </c>
      <c r="E338">
        <v>1</v>
      </c>
      <c r="F338">
        <v>1</v>
      </c>
      <c r="G338">
        <v>1</v>
      </c>
      <c r="H338">
        <v>2</v>
      </c>
      <c r="I338" t="s">
        <v>682</v>
      </c>
      <c r="J338" t="s">
        <v>683</v>
      </c>
      <c r="K338" t="s">
        <v>684</v>
      </c>
      <c r="L338">
        <v>1368</v>
      </c>
      <c r="N338">
        <v>1011</v>
      </c>
      <c r="O338" t="s">
        <v>634</v>
      </c>
      <c r="P338" t="s">
        <v>634</v>
      </c>
      <c r="Q338">
        <v>1</v>
      </c>
      <c r="W338">
        <v>0</v>
      </c>
      <c r="X338">
        <v>792402865</v>
      </c>
      <c r="Y338">
        <v>2.8000000000000003</v>
      </c>
      <c r="AA338">
        <v>0</v>
      </c>
      <c r="AB338">
        <v>7.3</v>
      </c>
      <c r="AC338">
        <v>0</v>
      </c>
      <c r="AD338">
        <v>0</v>
      </c>
      <c r="AE338">
        <v>0</v>
      </c>
      <c r="AF338">
        <v>1.2</v>
      </c>
      <c r="AG338">
        <v>0</v>
      </c>
      <c r="AH338">
        <v>0</v>
      </c>
      <c r="AI338">
        <v>1</v>
      </c>
      <c r="AJ338">
        <v>6.08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224</v>
      </c>
      <c r="AT338">
        <v>2.2400000000000002</v>
      </c>
      <c r="AU338" t="s">
        <v>239</v>
      </c>
      <c r="AV338">
        <v>0</v>
      </c>
      <c r="AW338">
        <v>2</v>
      </c>
      <c r="AX338">
        <v>16500325</v>
      </c>
      <c r="AY338">
        <v>1</v>
      </c>
      <c r="AZ338">
        <v>0</v>
      </c>
      <c r="BA338">
        <v>361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Y338*Source!I101</f>
        <v>0.28000000000000003</v>
      </c>
      <c r="CY338">
        <f t="shared" si="48"/>
        <v>7.3</v>
      </c>
      <c r="CZ338">
        <f t="shared" si="49"/>
        <v>1.2</v>
      </c>
      <c r="DA338">
        <f t="shared" si="50"/>
        <v>6.08</v>
      </c>
      <c r="DB338">
        <v>0</v>
      </c>
    </row>
    <row r="339" spans="1:106" x14ac:dyDescent="0.2">
      <c r="A339">
        <f>ROW(Source!A101)</f>
        <v>101</v>
      </c>
      <c r="B339">
        <v>16499878</v>
      </c>
      <c r="C339">
        <v>16500315</v>
      </c>
      <c r="D339">
        <v>15249355</v>
      </c>
      <c r="E339">
        <v>1</v>
      </c>
      <c r="F339">
        <v>1</v>
      </c>
      <c r="G339">
        <v>1</v>
      </c>
      <c r="H339">
        <v>2</v>
      </c>
      <c r="I339" t="s">
        <v>685</v>
      </c>
      <c r="J339" t="s">
        <v>686</v>
      </c>
      <c r="K339" t="s">
        <v>687</v>
      </c>
      <c r="L339">
        <v>1368</v>
      </c>
      <c r="N339">
        <v>1011</v>
      </c>
      <c r="O339" t="s">
        <v>634</v>
      </c>
      <c r="P339" t="s">
        <v>634</v>
      </c>
      <c r="Q339">
        <v>1</v>
      </c>
      <c r="W339">
        <v>0</v>
      </c>
      <c r="X339">
        <v>1323835807</v>
      </c>
      <c r="Y339">
        <v>18.762499999999999</v>
      </c>
      <c r="AA339">
        <v>0</v>
      </c>
      <c r="AB339">
        <v>74.84</v>
      </c>
      <c r="AC339">
        <v>0</v>
      </c>
      <c r="AD339">
        <v>0</v>
      </c>
      <c r="AE339">
        <v>0</v>
      </c>
      <c r="AF339">
        <v>12.31</v>
      </c>
      <c r="AG339">
        <v>0</v>
      </c>
      <c r="AH339">
        <v>0</v>
      </c>
      <c r="AI339">
        <v>1</v>
      </c>
      <c r="AJ339">
        <v>6.08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224</v>
      </c>
      <c r="AT339">
        <v>15.01</v>
      </c>
      <c r="AU339" t="s">
        <v>239</v>
      </c>
      <c r="AV339">
        <v>0</v>
      </c>
      <c r="AW339">
        <v>2</v>
      </c>
      <c r="AX339">
        <v>16500326</v>
      </c>
      <c r="AY339">
        <v>1</v>
      </c>
      <c r="AZ339">
        <v>0</v>
      </c>
      <c r="BA339">
        <v>362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Y339*Source!I101</f>
        <v>1.87625</v>
      </c>
      <c r="CY339">
        <f t="shared" si="48"/>
        <v>74.84</v>
      </c>
      <c r="CZ339">
        <f t="shared" si="49"/>
        <v>12.31</v>
      </c>
      <c r="DA339">
        <f t="shared" si="50"/>
        <v>6.08</v>
      </c>
      <c r="DB339">
        <v>0</v>
      </c>
    </row>
    <row r="340" spans="1:106" x14ac:dyDescent="0.2">
      <c r="A340">
        <f>ROW(Source!A101)</f>
        <v>101</v>
      </c>
      <c r="B340">
        <v>16499878</v>
      </c>
      <c r="C340">
        <v>16500315</v>
      </c>
      <c r="D340">
        <v>15165653</v>
      </c>
      <c r="E340">
        <v>1</v>
      </c>
      <c r="F340">
        <v>1</v>
      </c>
      <c r="G340">
        <v>1</v>
      </c>
      <c r="H340">
        <v>3</v>
      </c>
      <c r="I340" t="s">
        <v>688</v>
      </c>
      <c r="J340" t="s">
        <v>689</v>
      </c>
      <c r="K340" t="s">
        <v>690</v>
      </c>
      <c r="L340">
        <v>1339</v>
      </c>
      <c r="N340">
        <v>1007</v>
      </c>
      <c r="O340" t="s">
        <v>691</v>
      </c>
      <c r="P340" t="s">
        <v>691</v>
      </c>
      <c r="Q340">
        <v>1</v>
      </c>
      <c r="W340">
        <v>0</v>
      </c>
      <c r="X340">
        <v>1262771840</v>
      </c>
      <c r="Y340">
        <v>1.95</v>
      </c>
      <c r="AA340">
        <v>37.82</v>
      </c>
      <c r="AB340">
        <v>0</v>
      </c>
      <c r="AC340">
        <v>0</v>
      </c>
      <c r="AD340">
        <v>0</v>
      </c>
      <c r="AE340">
        <v>6.22</v>
      </c>
      <c r="AF340">
        <v>0</v>
      </c>
      <c r="AG340">
        <v>0</v>
      </c>
      <c r="AH340">
        <v>0</v>
      </c>
      <c r="AI340">
        <v>6.08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224</v>
      </c>
      <c r="AT340">
        <v>1.95</v>
      </c>
      <c r="AU340" t="s">
        <v>224</v>
      </c>
      <c r="AV340">
        <v>0</v>
      </c>
      <c r="AW340">
        <v>2</v>
      </c>
      <c r="AX340">
        <v>16500327</v>
      </c>
      <c r="AY340">
        <v>1</v>
      </c>
      <c r="AZ340">
        <v>0</v>
      </c>
      <c r="BA340">
        <v>363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Y340*Source!I101</f>
        <v>0.19500000000000001</v>
      </c>
      <c r="CY340">
        <f t="shared" ref="CY340:CY352" si="51">AA340</f>
        <v>37.82</v>
      </c>
      <c r="CZ340">
        <f t="shared" ref="CZ340:CZ352" si="52">AE340</f>
        <v>6.22</v>
      </c>
      <c r="DA340">
        <f t="shared" ref="DA340:DA352" si="53">AI340</f>
        <v>6.08</v>
      </c>
      <c r="DB340">
        <v>0</v>
      </c>
    </row>
    <row r="341" spans="1:106" x14ac:dyDescent="0.2">
      <c r="A341">
        <f>ROW(Source!A101)</f>
        <v>101</v>
      </c>
      <c r="B341">
        <v>16499878</v>
      </c>
      <c r="C341">
        <v>16500315</v>
      </c>
      <c r="D341">
        <v>15165660</v>
      </c>
      <c r="E341">
        <v>1</v>
      </c>
      <c r="F341">
        <v>1</v>
      </c>
      <c r="G341">
        <v>1</v>
      </c>
      <c r="H341">
        <v>3</v>
      </c>
      <c r="I341" t="s">
        <v>692</v>
      </c>
      <c r="J341" t="s">
        <v>693</v>
      </c>
      <c r="K341" t="s">
        <v>694</v>
      </c>
      <c r="L341">
        <v>1346</v>
      </c>
      <c r="N341">
        <v>1009</v>
      </c>
      <c r="O341" t="s">
        <v>303</v>
      </c>
      <c r="P341" t="s">
        <v>303</v>
      </c>
      <c r="Q341">
        <v>1</v>
      </c>
      <c r="W341">
        <v>0</v>
      </c>
      <c r="X341">
        <v>1721895514</v>
      </c>
      <c r="Y341">
        <v>0.59</v>
      </c>
      <c r="AA341">
        <v>37.03</v>
      </c>
      <c r="AB341">
        <v>0</v>
      </c>
      <c r="AC341">
        <v>0</v>
      </c>
      <c r="AD341">
        <v>0</v>
      </c>
      <c r="AE341">
        <v>6.09</v>
      </c>
      <c r="AF341">
        <v>0</v>
      </c>
      <c r="AG341">
        <v>0</v>
      </c>
      <c r="AH341">
        <v>0</v>
      </c>
      <c r="AI341">
        <v>6.08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224</v>
      </c>
      <c r="AT341">
        <v>0.59</v>
      </c>
      <c r="AU341" t="s">
        <v>224</v>
      </c>
      <c r="AV341">
        <v>0</v>
      </c>
      <c r="AW341">
        <v>2</v>
      </c>
      <c r="AX341">
        <v>16500328</v>
      </c>
      <c r="AY341">
        <v>1</v>
      </c>
      <c r="AZ341">
        <v>0</v>
      </c>
      <c r="BA341">
        <v>364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Y341*Source!I101</f>
        <v>5.8999999999999997E-2</v>
      </c>
      <c r="CY341">
        <f t="shared" si="51"/>
        <v>37.03</v>
      </c>
      <c r="CZ341">
        <f t="shared" si="52"/>
        <v>6.09</v>
      </c>
      <c r="DA341">
        <f t="shared" si="53"/>
        <v>6.08</v>
      </c>
      <c r="DB341">
        <v>0</v>
      </c>
    </row>
    <row r="342" spans="1:106" x14ac:dyDescent="0.2">
      <c r="A342">
        <f>ROW(Source!A101)</f>
        <v>101</v>
      </c>
      <c r="B342">
        <v>16499878</v>
      </c>
      <c r="C342">
        <v>16500315</v>
      </c>
      <c r="D342">
        <v>15168753</v>
      </c>
      <c r="E342">
        <v>1</v>
      </c>
      <c r="F342">
        <v>1</v>
      </c>
      <c r="G342">
        <v>1</v>
      </c>
      <c r="H342">
        <v>3</v>
      </c>
      <c r="I342" t="s">
        <v>695</v>
      </c>
      <c r="J342" t="s">
        <v>696</v>
      </c>
      <c r="K342" t="s">
        <v>697</v>
      </c>
      <c r="L342">
        <v>1348</v>
      </c>
      <c r="N342">
        <v>1009</v>
      </c>
      <c r="O342" t="s">
        <v>288</v>
      </c>
      <c r="P342" t="s">
        <v>288</v>
      </c>
      <c r="Q342">
        <v>1000</v>
      </c>
      <c r="W342">
        <v>0</v>
      </c>
      <c r="X342">
        <v>1225357214</v>
      </c>
      <c r="Y342">
        <v>2.3E-2</v>
      </c>
      <c r="AA342">
        <v>65353.919999999998</v>
      </c>
      <c r="AB342">
        <v>0</v>
      </c>
      <c r="AC342">
        <v>0</v>
      </c>
      <c r="AD342">
        <v>0</v>
      </c>
      <c r="AE342">
        <v>10749</v>
      </c>
      <c r="AF342">
        <v>0</v>
      </c>
      <c r="AG342">
        <v>0</v>
      </c>
      <c r="AH342">
        <v>0</v>
      </c>
      <c r="AI342">
        <v>6.08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224</v>
      </c>
      <c r="AT342">
        <v>2.3E-2</v>
      </c>
      <c r="AU342" t="s">
        <v>224</v>
      </c>
      <c r="AV342">
        <v>0</v>
      </c>
      <c r="AW342">
        <v>2</v>
      </c>
      <c r="AX342">
        <v>16500329</v>
      </c>
      <c r="AY342">
        <v>1</v>
      </c>
      <c r="AZ342">
        <v>0</v>
      </c>
      <c r="BA342">
        <v>365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Y342*Source!I101</f>
        <v>2.3E-3</v>
      </c>
      <c r="CY342">
        <f t="shared" si="51"/>
        <v>65353.919999999998</v>
      </c>
      <c r="CZ342">
        <f t="shared" si="52"/>
        <v>10749</v>
      </c>
      <c r="DA342">
        <f t="shared" si="53"/>
        <v>6.08</v>
      </c>
      <c r="DB342">
        <v>0</v>
      </c>
    </row>
    <row r="343" spans="1:106" x14ac:dyDescent="0.2">
      <c r="A343">
        <f>ROW(Source!A101)</f>
        <v>101</v>
      </c>
      <c r="B343">
        <v>16499878</v>
      </c>
      <c r="C343">
        <v>16500315</v>
      </c>
      <c r="D343">
        <v>15170039</v>
      </c>
      <c r="E343">
        <v>1</v>
      </c>
      <c r="F343">
        <v>1</v>
      </c>
      <c r="G343">
        <v>1</v>
      </c>
      <c r="H343">
        <v>3</v>
      </c>
      <c r="I343" t="s">
        <v>698</v>
      </c>
      <c r="J343" t="s">
        <v>699</v>
      </c>
      <c r="K343" t="s">
        <v>700</v>
      </c>
      <c r="L343">
        <v>1348</v>
      </c>
      <c r="N343">
        <v>1009</v>
      </c>
      <c r="O343" t="s">
        <v>288</v>
      </c>
      <c r="P343" t="s">
        <v>288</v>
      </c>
      <c r="Q343">
        <v>1000</v>
      </c>
      <c r="W343">
        <v>0</v>
      </c>
      <c r="X343">
        <v>1174701286</v>
      </c>
      <c r="Y343">
        <v>1.0000000000000001E-5</v>
      </c>
      <c r="AA343">
        <v>72826.240000000005</v>
      </c>
      <c r="AB343">
        <v>0</v>
      </c>
      <c r="AC343">
        <v>0</v>
      </c>
      <c r="AD343">
        <v>0</v>
      </c>
      <c r="AE343">
        <v>11978</v>
      </c>
      <c r="AF343">
        <v>0</v>
      </c>
      <c r="AG343">
        <v>0</v>
      </c>
      <c r="AH343">
        <v>0</v>
      </c>
      <c r="AI343">
        <v>6.08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224</v>
      </c>
      <c r="AT343">
        <v>1.0000000000000001E-5</v>
      </c>
      <c r="AU343" t="s">
        <v>224</v>
      </c>
      <c r="AV343">
        <v>0</v>
      </c>
      <c r="AW343">
        <v>2</v>
      </c>
      <c r="AX343">
        <v>16500331</v>
      </c>
      <c r="AY343">
        <v>1</v>
      </c>
      <c r="AZ343">
        <v>0</v>
      </c>
      <c r="BA343">
        <v>367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Y343*Source!I101</f>
        <v>1.0000000000000002E-6</v>
      </c>
      <c r="CY343">
        <f t="shared" si="51"/>
        <v>72826.240000000005</v>
      </c>
      <c r="CZ343">
        <f t="shared" si="52"/>
        <v>11978</v>
      </c>
      <c r="DA343">
        <f t="shared" si="53"/>
        <v>6.08</v>
      </c>
      <c r="DB343">
        <v>0</v>
      </c>
    </row>
    <row r="344" spans="1:106" x14ac:dyDescent="0.2">
      <c r="A344">
        <f>ROW(Source!A101)</f>
        <v>101</v>
      </c>
      <c r="B344">
        <v>16499878</v>
      </c>
      <c r="C344">
        <v>16500315</v>
      </c>
      <c r="D344">
        <v>15171021</v>
      </c>
      <c r="E344">
        <v>1</v>
      </c>
      <c r="F344">
        <v>1</v>
      </c>
      <c r="G344">
        <v>1</v>
      </c>
      <c r="H344">
        <v>3</v>
      </c>
      <c r="I344" t="s">
        <v>701</v>
      </c>
      <c r="J344" t="s">
        <v>702</v>
      </c>
      <c r="K344" t="s">
        <v>703</v>
      </c>
      <c r="L344">
        <v>1348</v>
      </c>
      <c r="N344">
        <v>1009</v>
      </c>
      <c r="O344" t="s">
        <v>288</v>
      </c>
      <c r="P344" t="s">
        <v>288</v>
      </c>
      <c r="Q344">
        <v>1000</v>
      </c>
      <c r="W344">
        <v>0</v>
      </c>
      <c r="X344">
        <v>-2116243625</v>
      </c>
      <c r="Y344">
        <v>1E-4</v>
      </c>
      <c r="AA344">
        <v>230432</v>
      </c>
      <c r="AB344">
        <v>0</v>
      </c>
      <c r="AC344">
        <v>0</v>
      </c>
      <c r="AD344">
        <v>0</v>
      </c>
      <c r="AE344">
        <v>37900</v>
      </c>
      <c r="AF344">
        <v>0</v>
      </c>
      <c r="AG344">
        <v>0</v>
      </c>
      <c r="AH344">
        <v>0</v>
      </c>
      <c r="AI344">
        <v>6.08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224</v>
      </c>
      <c r="AT344">
        <v>1E-4</v>
      </c>
      <c r="AU344" t="s">
        <v>224</v>
      </c>
      <c r="AV344">
        <v>0</v>
      </c>
      <c r="AW344">
        <v>2</v>
      </c>
      <c r="AX344">
        <v>16500332</v>
      </c>
      <c r="AY344">
        <v>1</v>
      </c>
      <c r="AZ344">
        <v>0</v>
      </c>
      <c r="BA344">
        <v>368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Y344*Source!I101</f>
        <v>1.0000000000000001E-5</v>
      </c>
      <c r="CY344">
        <f t="shared" si="51"/>
        <v>230432</v>
      </c>
      <c r="CZ344">
        <f t="shared" si="52"/>
        <v>37900</v>
      </c>
      <c r="DA344">
        <f t="shared" si="53"/>
        <v>6.08</v>
      </c>
      <c r="DB344">
        <v>0</v>
      </c>
    </row>
    <row r="345" spans="1:106" x14ac:dyDescent="0.2">
      <c r="A345">
        <f>ROW(Source!A101)</f>
        <v>101</v>
      </c>
      <c r="B345">
        <v>16499878</v>
      </c>
      <c r="C345">
        <v>16500315</v>
      </c>
      <c r="D345">
        <v>15188765</v>
      </c>
      <c r="E345">
        <v>1</v>
      </c>
      <c r="F345">
        <v>1</v>
      </c>
      <c r="G345">
        <v>1</v>
      </c>
      <c r="H345">
        <v>3</v>
      </c>
      <c r="I345" t="s">
        <v>704</v>
      </c>
      <c r="J345" t="s">
        <v>705</v>
      </c>
      <c r="K345" t="s">
        <v>706</v>
      </c>
      <c r="L345">
        <v>1348</v>
      </c>
      <c r="N345">
        <v>1009</v>
      </c>
      <c r="O345" t="s">
        <v>288</v>
      </c>
      <c r="P345" t="s">
        <v>288</v>
      </c>
      <c r="Q345">
        <v>1000</v>
      </c>
      <c r="W345">
        <v>0</v>
      </c>
      <c r="X345">
        <v>299819930</v>
      </c>
      <c r="Y345">
        <v>2.5999999999999999E-2</v>
      </c>
      <c r="AA345">
        <v>46888.959999999999</v>
      </c>
      <c r="AB345">
        <v>0</v>
      </c>
      <c r="AC345">
        <v>0</v>
      </c>
      <c r="AD345">
        <v>0</v>
      </c>
      <c r="AE345">
        <v>7712</v>
      </c>
      <c r="AF345">
        <v>0</v>
      </c>
      <c r="AG345">
        <v>0</v>
      </c>
      <c r="AH345">
        <v>0</v>
      </c>
      <c r="AI345">
        <v>6.08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224</v>
      </c>
      <c r="AT345">
        <v>2.5999999999999999E-2</v>
      </c>
      <c r="AU345" t="s">
        <v>224</v>
      </c>
      <c r="AV345">
        <v>0</v>
      </c>
      <c r="AW345">
        <v>2</v>
      </c>
      <c r="AX345">
        <v>16500333</v>
      </c>
      <c r="AY345">
        <v>1</v>
      </c>
      <c r="AZ345">
        <v>0</v>
      </c>
      <c r="BA345">
        <v>369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Y345*Source!I101</f>
        <v>2.5999999999999999E-3</v>
      </c>
      <c r="CY345">
        <f t="shared" si="51"/>
        <v>46888.959999999999</v>
      </c>
      <c r="CZ345">
        <f t="shared" si="52"/>
        <v>7712</v>
      </c>
      <c r="DA345">
        <f t="shared" si="53"/>
        <v>6.08</v>
      </c>
      <c r="DB345">
        <v>0</v>
      </c>
    </row>
    <row r="346" spans="1:106" x14ac:dyDescent="0.2">
      <c r="A346">
        <f>ROW(Source!A101)</f>
        <v>101</v>
      </c>
      <c r="B346">
        <v>16499878</v>
      </c>
      <c r="C346">
        <v>16500315</v>
      </c>
      <c r="D346">
        <v>15190156</v>
      </c>
      <c r="E346">
        <v>1</v>
      </c>
      <c r="F346">
        <v>1</v>
      </c>
      <c r="G346">
        <v>1</v>
      </c>
      <c r="H346">
        <v>3</v>
      </c>
      <c r="I346" t="s">
        <v>411</v>
      </c>
      <c r="J346" t="s">
        <v>414</v>
      </c>
      <c r="K346" t="s">
        <v>412</v>
      </c>
      <c r="L346">
        <v>1354</v>
      </c>
      <c r="N346">
        <v>1010</v>
      </c>
      <c r="O346" t="s">
        <v>413</v>
      </c>
      <c r="P346" t="s">
        <v>413</v>
      </c>
      <c r="Q346">
        <v>1</v>
      </c>
      <c r="W346">
        <v>0</v>
      </c>
      <c r="X346">
        <v>-691972994</v>
      </c>
      <c r="Y346">
        <v>10</v>
      </c>
      <c r="AA346">
        <v>71068.33</v>
      </c>
      <c r="AB346">
        <v>0</v>
      </c>
      <c r="AC346">
        <v>0</v>
      </c>
      <c r="AD346">
        <v>0</v>
      </c>
      <c r="AE346">
        <v>11688.87</v>
      </c>
      <c r="AF346">
        <v>0</v>
      </c>
      <c r="AG346">
        <v>0</v>
      </c>
      <c r="AH346">
        <v>0</v>
      </c>
      <c r="AI346">
        <v>6.08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224</v>
      </c>
      <c r="AT346">
        <v>10</v>
      </c>
      <c r="AU346" t="s">
        <v>224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224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Y346*Source!I101</f>
        <v>1</v>
      </c>
      <c r="CY346">
        <f t="shared" si="51"/>
        <v>71068.33</v>
      </c>
      <c r="CZ346">
        <f t="shared" si="52"/>
        <v>11688.87</v>
      </c>
      <c r="DA346">
        <f t="shared" si="53"/>
        <v>6.08</v>
      </c>
      <c r="DB346">
        <v>0</v>
      </c>
    </row>
    <row r="347" spans="1:106" x14ac:dyDescent="0.2">
      <c r="A347">
        <f>ROW(Source!A101)</f>
        <v>101</v>
      </c>
      <c r="B347">
        <v>16499878</v>
      </c>
      <c r="C347">
        <v>16500315</v>
      </c>
      <c r="D347">
        <v>15190794</v>
      </c>
      <c r="E347">
        <v>1</v>
      </c>
      <c r="F347">
        <v>1</v>
      </c>
      <c r="G347">
        <v>1</v>
      </c>
      <c r="H347">
        <v>3</v>
      </c>
      <c r="I347" t="s">
        <v>707</v>
      </c>
      <c r="J347" t="s">
        <v>708</v>
      </c>
      <c r="K347" t="s">
        <v>709</v>
      </c>
      <c r="L347">
        <v>1302</v>
      </c>
      <c r="N347">
        <v>1003</v>
      </c>
      <c r="O347" t="s">
        <v>710</v>
      </c>
      <c r="P347" t="s">
        <v>710</v>
      </c>
      <c r="Q347">
        <v>10</v>
      </c>
      <c r="W347">
        <v>0</v>
      </c>
      <c r="X347">
        <v>-1640127157</v>
      </c>
      <c r="Y347">
        <v>1.8700000000000001E-2</v>
      </c>
      <c r="AA347">
        <v>305.45999999999998</v>
      </c>
      <c r="AB347">
        <v>0</v>
      </c>
      <c r="AC347">
        <v>0</v>
      </c>
      <c r="AD347">
        <v>0</v>
      </c>
      <c r="AE347">
        <v>50.24</v>
      </c>
      <c r="AF347">
        <v>0</v>
      </c>
      <c r="AG347">
        <v>0</v>
      </c>
      <c r="AH347">
        <v>0</v>
      </c>
      <c r="AI347">
        <v>6.08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224</v>
      </c>
      <c r="AT347">
        <v>1.8700000000000001E-2</v>
      </c>
      <c r="AU347" t="s">
        <v>224</v>
      </c>
      <c r="AV347">
        <v>0</v>
      </c>
      <c r="AW347">
        <v>2</v>
      </c>
      <c r="AX347">
        <v>16500335</v>
      </c>
      <c r="AY347">
        <v>1</v>
      </c>
      <c r="AZ347">
        <v>0</v>
      </c>
      <c r="BA347">
        <v>371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Y347*Source!I101</f>
        <v>1.8700000000000001E-3</v>
      </c>
      <c r="CY347">
        <f t="shared" si="51"/>
        <v>305.45999999999998</v>
      </c>
      <c r="CZ347">
        <f t="shared" si="52"/>
        <v>50.24</v>
      </c>
      <c r="DA347">
        <f t="shared" si="53"/>
        <v>6.08</v>
      </c>
      <c r="DB347">
        <v>0</v>
      </c>
    </row>
    <row r="348" spans="1:106" x14ac:dyDescent="0.2">
      <c r="A348">
        <f>ROW(Source!A101)</f>
        <v>101</v>
      </c>
      <c r="B348">
        <v>16499878</v>
      </c>
      <c r="C348">
        <v>16500315</v>
      </c>
      <c r="D348">
        <v>15191153</v>
      </c>
      <c r="E348">
        <v>1</v>
      </c>
      <c r="F348">
        <v>1</v>
      </c>
      <c r="G348">
        <v>1</v>
      </c>
      <c r="H348">
        <v>3</v>
      </c>
      <c r="I348" t="s">
        <v>711</v>
      </c>
      <c r="J348" t="s">
        <v>712</v>
      </c>
      <c r="K348" t="s">
        <v>713</v>
      </c>
      <c r="L348">
        <v>1348</v>
      </c>
      <c r="N348">
        <v>1009</v>
      </c>
      <c r="O348" t="s">
        <v>288</v>
      </c>
      <c r="P348" t="s">
        <v>288</v>
      </c>
      <c r="Q348">
        <v>1000</v>
      </c>
      <c r="W348">
        <v>0</v>
      </c>
      <c r="X348">
        <v>-1396314973</v>
      </c>
      <c r="Y348">
        <v>3.0000000000000001E-5</v>
      </c>
      <c r="AA348">
        <v>27087.62</v>
      </c>
      <c r="AB348">
        <v>0</v>
      </c>
      <c r="AC348">
        <v>0</v>
      </c>
      <c r="AD348">
        <v>0</v>
      </c>
      <c r="AE348">
        <v>4455.2</v>
      </c>
      <c r="AF348">
        <v>0</v>
      </c>
      <c r="AG348">
        <v>0</v>
      </c>
      <c r="AH348">
        <v>0</v>
      </c>
      <c r="AI348">
        <v>6.08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224</v>
      </c>
      <c r="AT348">
        <v>3.0000000000000001E-5</v>
      </c>
      <c r="AU348" t="s">
        <v>224</v>
      </c>
      <c r="AV348">
        <v>0</v>
      </c>
      <c r="AW348">
        <v>2</v>
      </c>
      <c r="AX348">
        <v>16500336</v>
      </c>
      <c r="AY348">
        <v>1</v>
      </c>
      <c r="AZ348">
        <v>0</v>
      </c>
      <c r="BA348">
        <v>372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Y348*Source!I101</f>
        <v>3.0000000000000001E-6</v>
      </c>
      <c r="CY348">
        <f t="shared" si="51"/>
        <v>27087.62</v>
      </c>
      <c r="CZ348">
        <f t="shared" si="52"/>
        <v>4455.2</v>
      </c>
      <c r="DA348">
        <f t="shared" si="53"/>
        <v>6.08</v>
      </c>
      <c r="DB348">
        <v>0</v>
      </c>
    </row>
    <row r="349" spans="1:106" x14ac:dyDescent="0.2">
      <c r="A349">
        <f>ROW(Source!A101)</f>
        <v>101</v>
      </c>
      <c r="B349">
        <v>16499878</v>
      </c>
      <c r="C349">
        <v>16500315</v>
      </c>
      <c r="D349">
        <v>15191913</v>
      </c>
      <c r="E349">
        <v>1</v>
      </c>
      <c r="F349">
        <v>1</v>
      </c>
      <c r="G349">
        <v>1</v>
      </c>
      <c r="H349">
        <v>3</v>
      </c>
      <c r="I349" t="s">
        <v>714</v>
      </c>
      <c r="J349" t="s">
        <v>715</v>
      </c>
      <c r="K349" t="s">
        <v>716</v>
      </c>
      <c r="L349">
        <v>1348</v>
      </c>
      <c r="N349">
        <v>1009</v>
      </c>
      <c r="O349" t="s">
        <v>288</v>
      </c>
      <c r="P349" t="s">
        <v>288</v>
      </c>
      <c r="Q349">
        <v>1000</v>
      </c>
      <c r="W349">
        <v>0</v>
      </c>
      <c r="X349">
        <v>900832145</v>
      </c>
      <c r="Y349">
        <v>1.9400000000000001E-3</v>
      </c>
      <c r="AA349">
        <v>29913.599999999999</v>
      </c>
      <c r="AB349">
        <v>0</v>
      </c>
      <c r="AC349">
        <v>0</v>
      </c>
      <c r="AD349">
        <v>0</v>
      </c>
      <c r="AE349">
        <v>4920</v>
      </c>
      <c r="AF349">
        <v>0</v>
      </c>
      <c r="AG349">
        <v>0</v>
      </c>
      <c r="AH349">
        <v>0</v>
      </c>
      <c r="AI349">
        <v>6.08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224</v>
      </c>
      <c r="AT349">
        <v>1.9400000000000001E-3</v>
      </c>
      <c r="AU349" t="s">
        <v>224</v>
      </c>
      <c r="AV349">
        <v>0</v>
      </c>
      <c r="AW349">
        <v>2</v>
      </c>
      <c r="AX349">
        <v>16500337</v>
      </c>
      <c r="AY349">
        <v>1</v>
      </c>
      <c r="AZ349">
        <v>0</v>
      </c>
      <c r="BA349">
        <v>373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Y349*Source!I101</f>
        <v>1.9400000000000003E-4</v>
      </c>
      <c r="CY349">
        <f t="shared" si="51"/>
        <v>29913.599999999999</v>
      </c>
      <c r="CZ349">
        <f t="shared" si="52"/>
        <v>4920</v>
      </c>
      <c r="DA349">
        <f t="shared" si="53"/>
        <v>6.08</v>
      </c>
      <c r="DB349">
        <v>0</v>
      </c>
    </row>
    <row r="350" spans="1:106" x14ac:dyDescent="0.2">
      <c r="A350">
        <f>ROW(Source!A101)</f>
        <v>101</v>
      </c>
      <c r="B350">
        <v>16499878</v>
      </c>
      <c r="C350">
        <v>16500315</v>
      </c>
      <c r="D350">
        <v>15195820</v>
      </c>
      <c r="E350">
        <v>1</v>
      </c>
      <c r="F350">
        <v>1</v>
      </c>
      <c r="G350">
        <v>1</v>
      </c>
      <c r="H350">
        <v>3</v>
      </c>
      <c r="I350" t="s">
        <v>717</v>
      </c>
      <c r="J350" t="s">
        <v>718</v>
      </c>
      <c r="K350" t="s">
        <v>719</v>
      </c>
      <c r="L350">
        <v>1339</v>
      </c>
      <c r="N350">
        <v>1007</v>
      </c>
      <c r="O350" t="s">
        <v>691</v>
      </c>
      <c r="P350" t="s">
        <v>691</v>
      </c>
      <c r="Q350">
        <v>1</v>
      </c>
      <c r="W350">
        <v>0</v>
      </c>
      <c r="X350">
        <v>1283004816</v>
      </c>
      <c r="Y350">
        <v>1.0300000000000001E-3</v>
      </c>
      <c r="AA350">
        <v>10336</v>
      </c>
      <c r="AB350">
        <v>0</v>
      </c>
      <c r="AC350">
        <v>0</v>
      </c>
      <c r="AD350">
        <v>0</v>
      </c>
      <c r="AE350">
        <v>1700</v>
      </c>
      <c r="AF350">
        <v>0</v>
      </c>
      <c r="AG350">
        <v>0</v>
      </c>
      <c r="AH350">
        <v>0</v>
      </c>
      <c r="AI350">
        <v>6.08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224</v>
      </c>
      <c r="AT350">
        <v>1.0300000000000001E-3</v>
      </c>
      <c r="AU350" t="s">
        <v>224</v>
      </c>
      <c r="AV350">
        <v>0</v>
      </c>
      <c r="AW350">
        <v>2</v>
      </c>
      <c r="AX350">
        <v>16500338</v>
      </c>
      <c r="AY350">
        <v>1</v>
      </c>
      <c r="AZ350">
        <v>0</v>
      </c>
      <c r="BA350">
        <v>374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Y350*Source!I101</f>
        <v>1.0300000000000001E-4</v>
      </c>
      <c r="CY350">
        <f t="shared" si="51"/>
        <v>10336</v>
      </c>
      <c r="CZ350">
        <f t="shared" si="52"/>
        <v>1700</v>
      </c>
      <c r="DA350">
        <f t="shared" si="53"/>
        <v>6.08</v>
      </c>
      <c r="DB350">
        <v>0</v>
      </c>
    </row>
    <row r="351" spans="1:106" x14ac:dyDescent="0.2">
      <c r="A351">
        <f>ROW(Source!A101)</f>
        <v>101</v>
      </c>
      <c r="B351">
        <v>16499878</v>
      </c>
      <c r="C351">
        <v>16500315</v>
      </c>
      <c r="D351">
        <v>15203461</v>
      </c>
      <c r="E351">
        <v>1</v>
      </c>
      <c r="F351">
        <v>1</v>
      </c>
      <c r="G351">
        <v>1</v>
      </c>
      <c r="H351">
        <v>3</v>
      </c>
      <c r="I351" t="s">
        <v>720</v>
      </c>
      <c r="J351" t="s">
        <v>721</v>
      </c>
      <c r="K351" t="s">
        <v>722</v>
      </c>
      <c r="L351">
        <v>1348</v>
      </c>
      <c r="N351">
        <v>1009</v>
      </c>
      <c r="O351" t="s">
        <v>288</v>
      </c>
      <c r="P351" t="s">
        <v>288</v>
      </c>
      <c r="Q351">
        <v>1000</v>
      </c>
      <c r="W351">
        <v>0</v>
      </c>
      <c r="X351">
        <v>-1655298345</v>
      </c>
      <c r="Y351">
        <v>3.1E-4</v>
      </c>
      <c r="AA351">
        <v>94969.600000000006</v>
      </c>
      <c r="AB351">
        <v>0</v>
      </c>
      <c r="AC351">
        <v>0</v>
      </c>
      <c r="AD351">
        <v>0</v>
      </c>
      <c r="AE351">
        <v>15620</v>
      </c>
      <c r="AF351">
        <v>0</v>
      </c>
      <c r="AG351">
        <v>0</v>
      </c>
      <c r="AH351">
        <v>0</v>
      </c>
      <c r="AI351">
        <v>6.08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224</v>
      </c>
      <c r="AT351">
        <v>3.1E-4</v>
      </c>
      <c r="AU351" t="s">
        <v>224</v>
      </c>
      <c r="AV351">
        <v>0</v>
      </c>
      <c r="AW351">
        <v>2</v>
      </c>
      <c r="AX351">
        <v>16500339</v>
      </c>
      <c r="AY351">
        <v>1</v>
      </c>
      <c r="AZ351">
        <v>0</v>
      </c>
      <c r="BA351">
        <v>375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Y351*Source!I101</f>
        <v>3.1000000000000001E-5</v>
      </c>
      <c r="CY351">
        <f t="shared" si="51"/>
        <v>94969.600000000006</v>
      </c>
      <c r="CZ351">
        <f t="shared" si="52"/>
        <v>15620</v>
      </c>
      <c r="DA351">
        <f t="shared" si="53"/>
        <v>6.08</v>
      </c>
      <c r="DB351">
        <v>0</v>
      </c>
    </row>
    <row r="352" spans="1:106" x14ac:dyDescent="0.2">
      <c r="A352">
        <f>ROW(Source!A101)</f>
        <v>101</v>
      </c>
      <c r="B352">
        <v>16499878</v>
      </c>
      <c r="C352">
        <v>16500315</v>
      </c>
      <c r="D352">
        <v>15204663</v>
      </c>
      <c r="E352">
        <v>1</v>
      </c>
      <c r="F352">
        <v>1</v>
      </c>
      <c r="G352">
        <v>1</v>
      </c>
      <c r="H352">
        <v>3</v>
      </c>
      <c r="I352" t="s">
        <v>723</v>
      </c>
      <c r="J352" t="s">
        <v>724</v>
      </c>
      <c r="K352" t="s">
        <v>725</v>
      </c>
      <c r="L352">
        <v>1348</v>
      </c>
      <c r="N352">
        <v>1009</v>
      </c>
      <c r="O352" t="s">
        <v>288</v>
      </c>
      <c r="P352" t="s">
        <v>288</v>
      </c>
      <c r="Q352">
        <v>1000</v>
      </c>
      <c r="W352">
        <v>0</v>
      </c>
      <c r="X352">
        <v>-639604785</v>
      </c>
      <c r="Y352">
        <v>5.9999999999999995E-4</v>
      </c>
      <c r="AA352">
        <v>57273.599999999999</v>
      </c>
      <c r="AB352">
        <v>0</v>
      </c>
      <c r="AC352">
        <v>0</v>
      </c>
      <c r="AD352">
        <v>0</v>
      </c>
      <c r="AE352">
        <v>9420</v>
      </c>
      <c r="AF352">
        <v>0</v>
      </c>
      <c r="AG352">
        <v>0</v>
      </c>
      <c r="AH352">
        <v>0</v>
      </c>
      <c r="AI352">
        <v>6.08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224</v>
      </c>
      <c r="AT352">
        <v>5.9999999999999995E-4</v>
      </c>
      <c r="AU352" t="s">
        <v>224</v>
      </c>
      <c r="AV352">
        <v>0</v>
      </c>
      <c r="AW352">
        <v>2</v>
      </c>
      <c r="AX352">
        <v>16500340</v>
      </c>
      <c r="AY352">
        <v>1</v>
      </c>
      <c r="AZ352">
        <v>0</v>
      </c>
      <c r="BA352">
        <v>376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Y352*Source!I101</f>
        <v>5.9999999999999995E-5</v>
      </c>
      <c r="CY352">
        <f t="shared" si="51"/>
        <v>57273.599999999999</v>
      </c>
      <c r="CZ352">
        <f t="shared" si="52"/>
        <v>9420</v>
      </c>
      <c r="DA352">
        <f t="shared" si="53"/>
        <v>6.08</v>
      </c>
      <c r="DB352">
        <v>0</v>
      </c>
    </row>
    <row r="353" spans="1:106" x14ac:dyDescent="0.2">
      <c r="A353">
        <f>ROW(Source!A104)</f>
        <v>104</v>
      </c>
      <c r="B353">
        <v>16499835</v>
      </c>
      <c r="C353">
        <v>16500349</v>
      </c>
      <c r="D353">
        <v>15446300</v>
      </c>
      <c r="E353">
        <v>1</v>
      </c>
      <c r="F353">
        <v>1</v>
      </c>
      <c r="G353">
        <v>1</v>
      </c>
      <c r="H353">
        <v>1</v>
      </c>
      <c r="I353" t="s">
        <v>651</v>
      </c>
      <c r="J353" t="s">
        <v>224</v>
      </c>
      <c r="K353" t="s">
        <v>652</v>
      </c>
      <c r="L353">
        <v>1191</v>
      </c>
      <c r="N353">
        <v>1013</v>
      </c>
      <c r="O353" t="s">
        <v>628</v>
      </c>
      <c r="P353" t="s">
        <v>628</v>
      </c>
      <c r="Q353">
        <v>1</v>
      </c>
      <c r="W353">
        <v>0</v>
      </c>
      <c r="X353">
        <v>912892513</v>
      </c>
      <c r="Y353">
        <v>2.76</v>
      </c>
      <c r="AA353">
        <v>0</v>
      </c>
      <c r="AB353">
        <v>0</v>
      </c>
      <c r="AC353">
        <v>0</v>
      </c>
      <c r="AD353">
        <v>9.92</v>
      </c>
      <c r="AE353">
        <v>0</v>
      </c>
      <c r="AF353">
        <v>0</v>
      </c>
      <c r="AG353">
        <v>0</v>
      </c>
      <c r="AH353">
        <v>9.92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224</v>
      </c>
      <c r="AT353">
        <v>2.4</v>
      </c>
      <c r="AU353" t="s">
        <v>240</v>
      </c>
      <c r="AV353">
        <v>1</v>
      </c>
      <c r="AW353">
        <v>2</v>
      </c>
      <c r="AX353">
        <v>16500357</v>
      </c>
      <c r="AY353">
        <v>1</v>
      </c>
      <c r="AZ353">
        <v>0</v>
      </c>
      <c r="BA353">
        <v>377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Y353*Source!I104</f>
        <v>28.4556</v>
      </c>
      <c r="CY353">
        <f>AD353</f>
        <v>9.92</v>
      </c>
      <c r="CZ353">
        <f>AH353</f>
        <v>9.92</v>
      </c>
      <c r="DA353">
        <f>AL353</f>
        <v>1</v>
      </c>
      <c r="DB353">
        <v>0</v>
      </c>
    </row>
    <row r="354" spans="1:106" x14ac:dyDescent="0.2">
      <c r="A354">
        <f>ROW(Source!A104)</f>
        <v>104</v>
      </c>
      <c r="B354">
        <v>16499835</v>
      </c>
      <c r="C354">
        <v>16500349</v>
      </c>
      <c r="D354">
        <v>15430395</v>
      </c>
      <c r="E354">
        <v>1</v>
      </c>
      <c r="F354">
        <v>1</v>
      </c>
      <c r="G354">
        <v>1</v>
      </c>
      <c r="H354">
        <v>1</v>
      </c>
      <c r="I354" t="s">
        <v>629</v>
      </c>
      <c r="J354" t="s">
        <v>224</v>
      </c>
      <c r="K354" t="s">
        <v>630</v>
      </c>
      <c r="L354">
        <v>1191</v>
      </c>
      <c r="N354">
        <v>1013</v>
      </c>
      <c r="O354" t="s">
        <v>628</v>
      </c>
      <c r="P354" t="s">
        <v>628</v>
      </c>
      <c r="Q354">
        <v>1</v>
      </c>
      <c r="W354">
        <v>0</v>
      </c>
      <c r="X354">
        <v>-1417349443</v>
      </c>
      <c r="Y354">
        <v>0.17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224</v>
      </c>
      <c r="AT354">
        <v>0.17</v>
      </c>
      <c r="AU354" t="s">
        <v>224</v>
      </c>
      <c r="AV354">
        <v>2</v>
      </c>
      <c r="AW354">
        <v>2</v>
      </c>
      <c r="AX354">
        <v>16500358</v>
      </c>
      <c r="AY354">
        <v>1</v>
      </c>
      <c r="AZ354">
        <v>2048</v>
      </c>
      <c r="BA354">
        <v>378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Y354*Source!I104</f>
        <v>1.7527000000000001</v>
      </c>
      <c r="CY354">
        <f>AD354</f>
        <v>0</v>
      </c>
      <c r="CZ354">
        <f>AH354</f>
        <v>0</v>
      </c>
      <c r="DA354">
        <f>AL354</f>
        <v>1</v>
      </c>
      <c r="DB354">
        <v>0</v>
      </c>
    </row>
    <row r="355" spans="1:106" x14ac:dyDescent="0.2">
      <c r="A355">
        <f>ROW(Source!A104)</f>
        <v>104</v>
      </c>
      <c r="B355">
        <v>16499835</v>
      </c>
      <c r="C355">
        <v>16500349</v>
      </c>
      <c r="D355">
        <v>15249073</v>
      </c>
      <c r="E355">
        <v>1</v>
      </c>
      <c r="F355">
        <v>1</v>
      </c>
      <c r="G355">
        <v>1</v>
      </c>
      <c r="H355">
        <v>2</v>
      </c>
      <c r="I355" t="s">
        <v>631</v>
      </c>
      <c r="J355" t="s">
        <v>632</v>
      </c>
      <c r="K355" t="s">
        <v>633</v>
      </c>
      <c r="L355">
        <v>1368</v>
      </c>
      <c r="N355">
        <v>1011</v>
      </c>
      <c r="O355" t="s">
        <v>634</v>
      </c>
      <c r="P355" t="s">
        <v>634</v>
      </c>
      <c r="Q355">
        <v>1</v>
      </c>
      <c r="W355">
        <v>0</v>
      </c>
      <c r="X355">
        <v>1372534845</v>
      </c>
      <c r="Y355">
        <v>0.21250000000000002</v>
      </c>
      <c r="AA355">
        <v>0</v>
      </c>
      <c r="AB355">
        <v>65.709999999999994</v>
      </c>
      <c r="AC355">
        <v>11.6</v>
      </c>
      <c r="AD355">
        <v>0</v>
      </c>
      <c r="AE355">
        <v>0</v>
      </c>
      <c r="AF355">
        <v>65.709999999999994</v>
      </c>
      <c r="AG355">
        <v>11.6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224</v>
      </c>
      <c r="AT355">
        <v>0.17</v>
      </c>
      <c r="AU355" t="s">
        <v>239</v>
      </c>
      <c r="AV355">
        <v>0</v>
      </c>
      <c r="AW355">
        <v>2</v>
      </c>
      <c r="AX355">
        <v>16500359</v>
      </c>
      <c r="AY355">
        <v>1</v>
      </c>
      <c r="AZ355">
        <v>0</v>
      </c>
      <c r="BA355">
        <v>379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Y355*Source!I104</f>
        <v>2.1908750000000001</v>
      </c>
      <c r="CY355">
        <f>AB355</f>
        <v>65.709999999999994</v>
      </c>
      <c r="CZ355">
        <f>AF355</f>
        <v>65.709999999999994</v>
      </c>
      <c r="DA355">
        <f>AJ355</f>
        <v>1</v>
      </c>
      <c r="DB355">
        <v>0</v>
      </c>
    </row>
    <row r="356" spans="1:106" x14ac:dyDescent="0.2">
      <c r="A356">
        <f>ROW(Source!A104)</f>
        <v>104</v>
      </c>
      <c r="B356">
        <v>16499835</v>
      </c>
      <c r="C356">
        <v>16500349</v>
      </c>
      <c r="D356">
        <v>15249377</v>
      </c>
      <c r="E356">
        <v>1</v>
      </c>
      <c r="F356">
        <v>1</v>
      </c>
      <c r="G356">
        <v>1</v>
      </c>
      <c r="H356">
        <v>2</v>
      </c>
      <c r="I356" t="s">
        <v>653</v>
      </c>
      <c r="J356" t="s">
        <v>654</v>
      </c>
      <c r="K356" t="s">
        <v>655</v>
      </c>
      <c r="L356">
        <v>1368</v>
      </c>
      <c r="N356">
        <v>1011</v>
      </c>
      <c r="O356" t="s">
        <v>634</v>
      </c>
      <c r="P356" t="s">
        <v>634</v>
      </c>
      <c r="Q356">
        <v>1</v>
      </c>
      <c r="W356">
        <v>0</v>
      </c>
      <c r="X356">
        <v>-353815937</v>
      </c>
      <c r="Y356">
        <v>0.5</v>
      </c>
      <c r="AA356">
        <v>0</v>
      </c>
      <c r="AB356">
        <v>8.1</v>
      </c>
      <c r="AC356">
        <v>0</v>
      </c>
      <c r="AD356">
        <v>0</v>
      </c>
      <c r="AE356">
        <v>0</v>
      </c>
      <c r="AF356">
        <v>8.1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224</v>
      </c>
      <c r="AT356">
        <v>0.4</v>
      </c>
      <c r="AU356" t="s">
        <v>239</v>
      </c>
      <c r="AV356">
        <v>0</v>
      </c>
      <c r="AW356">
        <v>2</v>
      </c>
      <c r="AX356">
        <v>16500360</v>
      </c>
      <c r="AY356">
        <v>1</v>
      </c>
      <c r="AZ356">
        <v>0</v>
      </c>
      <c r="BA356">
        <v>380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Y356*Source!I104</f>
        <v>5.1550000000000002</v>
      </c>
      <c r="CY356">
        <f>AB356</f>
        <v>8.1</v>
      </c>
      <c r="CZ356">
        <f>AF356</f>
        <v>8.1</v>
      </c>
      <c r="DA356">
        <f>AJ356</f>
        <v>1</v>
      </c>
      <c r="DB356">
        <v>0</v>
      </c>
    </row>
    <row r="357" spans="1:106" x14ac:dyDescent="0.2">
      <c r="A357">
        <f>ROW(Source!A104)</f>
        <v>104</v>
      </c>
      <c r="B357">
        <v>16499835</v>
      </c>
      <c r="C357">
        <v>16500349</v>
      </c>
      <c r="D357">
        <v>15168750</v>
      </c>
      <c r="E357">
        <v>1</v>
      </c>
      <c r="F357">
        <v>1</v>
      </c>
      <c r="G357">
        <v>1</v>
      </c>
      <c r="H357">
        <v>3</v>
      </c>
      <c r="I357" t="s">
        <v>656</v>
      </c>
      <c r="J357" t="s">
        <v>657</v>
      </c>
      <c r="K357" t="s">
        <v>658</v>
      </c>
      <c r="L357">
        <v>1348</v>
      </c>
      <c r="N357">
        <v>1009</v>
      </c>
      <c r="O357" t="s">
        <v>288</v>
      </c>
      <c r="P357" t="s">
        <v>288</v>
      </c>
      <c r="Q357">
        <v>1000</v>
      </c>
      <c r="W357">
        <v>0</v>
      </c>
      <c r="X357">
        <v>-714836380</v>
      </c>
      <c r="Y357">
        <v>1E-4</v>
      </c>
      <c r="AA357">
        <v>10315.01</v>
      </c>
      <c r="AB357">
        <v>0</v>
      </c>
      <c r="AC357">
        <v>0</v>
      </c>
      <c r="AD357">
        <v>0</v>
      </c>
      <c r="AE357">
        <v>10315.01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224</v>
      </c>
      <c r="AT357">
        <v>1E-4</v>
      </c>
      <c r="AU357" t="s">
        <v>224</v>
      </c>
      <c r="AV357">
        <v>0</v>
      </c>
      <c r="AW357">
        <v>2</v>
      </c>
      <c r="AX357">
        <v>16500362</v>
      </c>
      <c r="AY357">
        <v>1</v>
      </c>
      <c r="AZ357">
        <v>0</v>
      </c>
      <c r="BA357">
        <v>382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Y357*Source!I104</f>
        <v>1.031E-3</v>
      </c>
      <c r="CY357">
        <f t="shared" ref="CY357:CY362" si="54">AA357</f>
        <v>10315.01</v>
      </c>
      <c r="CZ357">
        <f t="shared" ref="CZ357:CZ362" si="55">AE357</f>
        <v>10315.01</v>
      </c>
      <c r="DA357">
        <f t="shared" ref="DA357:DA362" si="56">AI357</f>
        <v>1</v>
      </c>
      <c r="DB357">
        <v>0</v>
      </c>
    </row>
    <row r="358" spans="1:106" x14ac:dyDescent="0.2">
      <c r="A358">
        <f>ROW(Source!A104)</f>
        <v>104</v>
      </c>
      <c r="B358">
        <v>16499835</v>
      </c>
      <c r="C358">
        <v>16500349</v>
      </c>
      <c r="D358">
        <v>15187349</v>
      </c>
      <c r="E358">
        <v>1</v>
      </c>
      <c r="F358">
        <v>1</v>
      </c>
      <c r="G358">
        <v>1</v>
      </c>
      <c r="H358">
        <v>3</v>
      </c>
      <c r="I358" t="s">
        <v>423</v>
      </c>
      <c r="J358" t="s">
        <v>425</v>
      </c>
      <c r="K358" t="s">
        <v>424</v>
      </c>
      <c r="L358">
        <v>1327</v>
      </c>
      <c r="N358">
        <v>1005</v>
      </c>
      <c r="O358" t="s">
        <v>277</v>
      </c>
      <c r="P358" t="s">
        <v>277</v>
      </c>
      <c r="Q358">
        <v>1</v>
      </c>
      <c r="W358">
        <v>0</v>
      </c>
      <c r="X358">
        <v>1911526313</v>
      </c>
      <c r="Y358">
        <v>0.47235700000000003</v>
      </c>
      <c r="AA358">
        <v>1465.11</v>
      </c>
      <c r="AB358">
        <v>0</v>
      </c>
      <c r="AC358">
        <v>0</v>
      </c>
      <c r="AD358">
        <v>0</v>
      </c>
      <c r="AE358">
        <v>1465.11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224</v>
      </c>
      <c r="AT358">
        <v>0.47235700000000003</v>
      </c>
      <c r="AU358" t="s">
        <v>224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224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Y358*Source!I104</f>
        <v>4.8700006700000005</v>
      </c>
      <c r="CY358">
        <f t="shared" si="54"/>
        <v>1465.11</v>
      </c>
      <c r="CZ358">
        <f t="shared" si="55"/>
        <v>1465.11</v>
      </c>
      <c r="DA358">
        <f t="shared" si="56"/>
        <v>1</v>
      </c>
      <c r="DB358">
        <v>0</v>
      </c>
    </row>
    <row r="359" spans="1:106" x14ac:dyDescent="0.2">
      <c r="A359">
        <f>ROW(Source!A104)</f>
        <v>104</v>
      </c>
      <c r="B359">
        <v>16499835</v>
      </c>
      <c r="C359">
        <v>16500349</v>
      </c>
      <c r="D359">
        <v>15187351</v>
      </c>
      <c r="E359">
        <v>1</v>
      </c>
      <c r="F359">
        <v>1</v>
      </c>
      <c r="G359">
        <v>1</v>
      </c>
      <c r="H359">
        <v>3</v>
      </c>
      <c r="I359" t="s">
        <v>419</v>
      </c>
      <c r="J359" t="s">
        <v>421</v>
      </c>
      <c r="K359" t="s">
        <v>420</v>
      </c>
      <c r="L359">
        <v>1354</v>
      </c>
      <c r="N359">
        <v>1010</v>
      </c>
      <c r="O359" t="s">
        <v>413</v>
      </c>
      <c r="P359" t="s">
        <v>413</v>
      </c>
      <c r="Q359">
        <v>1</v>
      </c>
      <c r="W359">
        <v>0</v>
      </c>
      <c r="X359">
        <v>-1849161856</v>
      </c>
      <c r="Y359">
        <v>9.6992999999999996E-2</v>
      </c>
      <c r="AA359">
        <v>3462.65</v>
      </c>
      <c r="AB359">
        <v>0</v>
      </c>
      <c r="AC359">
        <v>0</v>
      </c>
      <c r="AD359">
        <v>0</v>
      </c>
      <c r="AE359">
        <v>3462.65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224</v>
      </c>
      <c r="AT359">
        <v>9.6992999999999996E-2</v>
      </c>
      <c r="AU359" t="s">
        <v>224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224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Y359*Source!I104</f>
        <v>0.99999782999999998</v>
      </c>
      <c r="CY359">
        <f t="shared" si="54"/>
        <v>3462.65</v>
      </c>
      <c r="CZ359">
        <f t="shared" si="55"/>
        <v>3462.65</v>
      </c>
      <c r="DA359">
        <f t="shared" si="56"/>
        <v>1</v>
      </c>
      <c r="DB359">
        <v>0</v>
      </c>
    </row>
    <row r="360" spans="1:106" x14ac:dyDescent="0.2">
      <c r="A360">
        <f>ROW(Source!A104)</f>
        <v>104</v>
      </c>
      <c r="B360">
        <v>16499835</v>
      </c>
      <c r="C360">
        <v>16500349</v>
      </c>
      <c r="D360">
        <v>15187352</v>
      </c>
      <c r="E360">
        <v>1</v>
      </c>
      <c r="F360">
        <v>1</v>
      </c>
      <c r="G360">
        <v>1</v>
      </c>
      <c r="H360">
        <v>3</v>
      </c>
      <c r="I360" t="s">
        <v>427</v>
      </c>
      <c r="J360" t="s">
        <v>429</v>
      </c>
      <c r="K360" t="s">
        <v>428</v>
      </c>
      <c r="L360">
        <v>1354</v>
      </c>
      <c r="N360">
        <v>1010</v>
      </c>
      <c r="O360" t="s">
        <v>413</v>
      </c>
      <c r="P360" t="s">
        <v>413</v>
      </c>
      <c r="Q360">
        <v>1</v>
      </c>
      <c r="W360">
        <v>0</v>
      </c>
      <c r="X360">
        <v>-186276383</v>
      </c>
      <c r="Y360">
        <v>9.6992999999999996E-2</v>
      </c>
      <c r="AA360">
        <v>3739.42</v>
      </c>
      <c r="AB360">
        <v>0</v>
      </c>
      <c r="AC360">
        <v>0</v>
      </c>
      <c r="AD360">
        <v>0</v>
      </c>
      <c r="AE360">
        <v>3739.42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224</v>
      </c>
      <c r="AT360">
        <v>9.6992999999999996E-2</v>
      </c>
      <c r="AU360" t="s">
        <v>224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224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Y360*Source!I104</f>
        <v>0.99999782999999998</v>
      </c>
      <c r="CY360">
        <f t="shared" si="54"/>
        <v>3739.42</v>
      </c>
      <c r="CZ360">
        <f t="shared" si="55"/>
        <v>3739.42</v>
      </c>
      <c r="DA360">
        <f t="shared" si="56"/>
        <v>1</v>
      </c>
      <c r="DB360">
        <v>0</v>
      </c>
    </row>
    <row r="361" spans="1:106" x14ac:dyDescent="0.2">
      <c r="A361">
        <f>ROW(Source!A104)</f>
        <v>104</v>
      </c>
      <c r="B361">
        <v>16499835</v>
      </c>
      <c r="C361">
        <v>16500349</v>
      </c>
      <c r="D361">
        <v>15192019</v>
      </c>
      <c r="E361">
        <v>1</v>
      </c>
      <c r="F361">
        <v>1</v>
      </c>
      <c r="G361">
        <v>1</v>
      </c>
      <c r="H361">
        <v>3</v>
      </c>
      <c r="I361" t="s">
        <v>659</v>
      </c>
      <c r="J361" t="s">
        <v>660</v>
      </c>
      <c r="K361" t="s">
        <v>661</v>
      </c>
      <c r="L361">
        <v>1348</v>
      </c>
      <c r="N361">
        <v>1009</v>
      </c>
      <c r="O361" t="s">
        <v>288</v>
      </c>
      <c r="P361" t="s">
        <v>288</v>
      </c>
      <c r="Q361">
        <v>1000</v>
      </c>
      <c r="W361">
        <v>0</v>
      </c>
      <c r="X361">
        <v>-751617735</v>
      </c>
      <c r="Y361">
        <v>3.0000000000000001E-3</v>
      </c>
      <c r="AA361">
        <v>5804</v>
      </c>
      <c r="AB361">
        <v>0</v>
      </c>
      <c r="AC361">
        <v>0</v>
      </c>
      <c r="AD361">
        <v>0</v>
      </c>
      <c r="AE361">
        <v>5804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224</v>
      </c>
      <c r="AT361">
        <v>3.0000000000000001E-3</v>
      </c>
      <c r="AU361" t="s">
        <v>224</v>
      </c>
      <c r="AV361">
        <v>0</v>
      </c>
      <c r="AW361">
        <v>2</v>
      </c>
      <c r="AX361">
        <v>16500364</v>
      </c>
      <c r="AY361">
        <v>1</v>
      </c>
      <c r="AZ361">
        <v>0</v>
      </c>
      <c r="BA361">
        <v>384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Y361*Source!I104</f>
        <v>3.0930000000000003E-2</v>
      </c>
      <c r="CY361">
        <f t="shared" si="54"/>
        <v>5804</v>
      </c>
      <c r="CZ361">
        <f t="shared" si="55"/>
        <v>5804</v>
      </c>
      <c r="DA361">
        <f t="shared" si="56"/>
        <v>1</v>
      </c>
      <c r="DB361">
        <v>0</v>
      </c>
    </row>
    <row r="362" spans="1:106" x14ac:dyDescent="0.2">
      <c r="A362">
        <f>ROW(Source!A104)</f>
        <v>104</v>
      </c>
      <c r="B362">
        <v>16499835</v>
      </c>
      <c r="C362">
        <v>16500349</v>
      </c>
      <c r="D362">
        <v>15204330</v>
      </c>
      <c r="E362">
        <v>1</v>
      </c>
      <c r="F362">
        <v>1</v>
      </c>
      <c r="G362">
        <v>1</v>
      </c>
      <c r="H362">
        <v>3</v>
      </c>
      <c r="I362" t="s">
        <v>662</v>
      </c>
      <c r="J362" t="s">
        <v>663</v>
      </c>
      <c r="K362" t="s">
        <v>664</v>
      </c>
      <c r="L362">
        <v>1354</v>
      </c>
      <c r="N362">
        <v>1010</v>
      </c>
      <c r="O362" t="s">
        <v>413</v>
      </c>
      <c r="P362" t="s">
        <v>413</v>
      </c>
      <c r="Q362">
        <v>1</v>
      </c>
      <c r="W362">
        <v>0</v>
      </c>
      <c r="X362">
        <v>-1075270488</v>
      </c>
      <c r="Y362">
        <v>0.1</v>
      </c>
      <c r="AA362">
        <v>72.8</v>
      </c>
      <c r="AB362">
        <v>0</v>
      </c>
      <c r="AC362">
        <v>0</v>
      </c>
      <c r="AD362">
        <v>0</v>
      </c>
      <c r="AE362">
        <v>72.8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224</v>
      </c>
      <c r="AT362">
        <v>0.1</v>
      </c>
      <c r="AU362" t="s">
        <v>224</v>
      </c>
      <c r="AV362">
        <v>0</v>
      </c>
      <c r="AW362">
        <v>2</v>
      </c>
      <c r="AX362">
        <v>16500365</v>
      </c>
      <c r="AY362">
        <v>1</v>
      </c>
      <c r="AZ362">
        <v>0</v>
      </c>
      <c r="BA362">
        <v>385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Y362*Source!I104</f>
        <v>1.0310000000000001</v>
      </c>
      <c r="CY362">
        <f t="shared" si="54"/>
        <v>72.8</v>
      </c>
      <c r="CZ362">
        <f t="shared" si="55"/>
        <v>72.8</v>
      </c>
      <c r="DA362">
        <f t="shared" si="56"/>
        <v>1</v>
      </c>
      <c r="DB362">
        <v>0</v>
      </c>
    </row>
    <row r="363" spans="1:106" x14ac:dyDescent="0.2">
      <c r="A363">
        <f>ROW(Source!A105)</f>
        <v>105</v>
      </c>
      <c r="B363">
        <v>16499878</v>
      </c>
      <c r="C363">
        <v>16500349</v>
      </c>
      <c r="D363">
        <v>15446300</v>
      </c>
      <c r="E363">
        <v>1</v>
      </c>
      <c r="F363">
        <v>1</v>
      </c>
      <c r="G363">
        <v>1</v>
      </c>
      <c r="H363">
        <v>1</v>
      </c>
      <c r="I363" t="s">
        <v>651</v>
      </c>
      <c r="J363" t="s">
        <v>224</v>
      </c>
      <c r="K363" t="s">
        <v>652</v>
      </c>
      <c r="L363">
        <v>1191</v>
      </c>
      <c r="N363">
        <v>1013</v>
      </c>
      <c r="O363" t="s">
        <v>628</v>
      </c>
      <c r="P363" t="s">
        <v>628</v>
      </c>
      <c r="Q363">
        <v>1</v>
      </c>
      <c r="W363">
        <v>0</v>
      </c>
      <c r="X363">
        <v>912892513</v>
      </c>
      <c r="Y363">
        <v>2.76</v>
      </c>
      <c r="AA363">
        <v>0</v>
      </c>
      <c r="AB363">
        <v>0</v>
      </c>
      <c r="AC363">
        <v>0</v>
      </c>
      <c r="AD363">
        <v>60.31</v>
      </c>
      <c r="AE363">
        <v>0</v>
      </c>
      <c r="AF363">
        <v>0</v>
      </c>
      <c r="AG363">
        <v>0</v>
      </c>
      <c r="AH363">
        <v>9.92</v>
      </c>
      <c r="AI363">
        <v>1</v>
      </c>
      <c r="AJ363">
        <v>1</v>
      </c>
      <c r="AK363">
        <v>1</v>
      </c>
      <c r="AL363">
        <v>6.08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224</v>
      </c>
      <c r="AT363">
        <v>2.4</v>
      </c>
      <c r="AU363" t="s">
        <v>240</v>
      </c>
      <c r="AV363">
        <v>1</v>
      </c>
      <c r="AW363">
        <v>2</v>
      </c>
      <c r="AX363">
        <v>16500357</v>
      </c>
      <c r="AY363">
        <v>1</v>
      </c>
      <c r="AZ363">
        <v>0</v>
      </c>
      <c r="BA363">
        <v>386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Y363*Source!I105</f>
        <v>28.4556</v>
      </c>
      <c r="CY363">
        <f>AD363</f>
        <v>60.31</v>
      </c>
      <c r="CZ363">
        <f>AH363</f>
        <v>9.92</v>
      </c>
      <c r="DA363">
        <f>AL363</f>
        <v>6.08</v>
      </c>
      <c r="DB363">
        <v>0</v>
      </c>
    </row>
    <row r="364" spans="1:106" x14ac:dyDescent="0.2">
      <c r="A364">
        <f>ROW(Source!A105)</f>
        <v>105</v>
      </c>
      <c r="B364">
        <v>16499878</v>
      </c>
      <c r="C364">
        <v>16500349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629</v>
      </c>
      <c r="J364" t="s">
        <v>224</v>
      </c>
      <c r="K364" t="s">
        <v>630</v>
      </c>
      <c r="L364">
        <v>1191</v>
      </c>
      <c r="N364">
        <v>1013</v>
      </c>
      <c r="O364" t="s">
        <v>628</v>
      </c>
      <c r="P364" t="s">
        <v>628</v>
      </c>
      <c r="Q364">
        <v>1</v>
      </c>
      <c r="W364">
        <v>0</v>
      </c>
      <c r="X364">
        <v>-1417349443</v>
      </c>
      <c r="Y364">
        <v>0.17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6.08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224</v>
      </c>
      <c r="AT364">
        <v>0.17</v>
      </c>
      <c r="AU364" t="s">
        <v>224</v>
      </c>
      <c r="AV364">
        <v>2</v>
      </c>
      <c r="AW364">
        <v>2</v>
      </c>
      <c r="AX364">
        <v>16500358</v>
      </c>
      <c r="AY364">
        <v>1</v>
      </c>
      <c r="AZ364">
        <v>2048</v>
      </c>
      <c r="BA364">
        <v>387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Y364*Source!I105</f>
        <v>1.7527000000000001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ROW(Source!A105)</f>
        <v>105</v>
      </c>
      <c r="B365">
        <v>16499878</v>
      </c>
      <c r="C365">
        <v>16500349</v>
      </c>
      <c r="D365">
        <v>15249073</v>
      </c>
      <c r="E365">
        <v>1</v>
      </c>
      <c r="F365">
        <v>1</v>
      </c>
      <c r="G365">
        <v>1</v>
      </c>
      <c r="H365">
        <v>2</v>
      </c>
      <c r="I365" t="s">
        <v>631</v>
      </c>
      <c r="J365" t="s">
        <v>632</v>
      </c>
      <c r="K365" t="s">
        <v>633</v>
      </c>
      <c r="L365">
        <v>1368</v>
      </c>
      <c r="N365">
        <v>1011</v>
      </c>
      <c r="O365" t="s">
        <v>634</v>
      </c>
      <c r="P365" t="s">
        <v>634</v>
      </c>
      <c r="Q365">
        <v>1</v>
      </c>
      <c r="W365">
        <v>0</v>
      </c>
      <c r="X365">
        <v>1372534845</v>
      </c>
      <c r="Y365">
        <v>0.21250000000000002</v>
      </c>
      <c r="AA365">
        <v>0</v>
      </c>
      <c r="AB365">
        <v>399.52</v>
      </c>
      <c r="AC365">
        <v>11.6</v>
      </c>
      <c r="AD365">
        <v>0</v>
      </c>
      <c r="AE365">
        <v>0</v>
      </c>
      <c r="AF365">
        <v>65.709999999999994</v>
      </c>
      <c r="AG365">
        <v>11.6</v>
      </c>
      <c r="AH365">
        <v>0</v>
      </c>
      <c r="AI365">
        <v>1</v>
      </c>
      <c r="AJ365">
        <v>6.08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224</v>
      </c>
      <c r="AT365">
        <v>0.17</v>
      </c>
      <c r="AU365" t="s">
        <v>239</v>
      </c>
      <c r="AV365">
        <v>0</v>
      </c>
      <c r="AW365">
        <v>2</v>
      </c>
      <c r="AX365">
        <v>16500359</v>
      </c>
      <c r="AY365">
        <v>1</v>
      </c>
      <c r="AZ365">
        <v>0</v>
      </c>
      <c r="BA365">
        <v>388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Y365*Source!I105</f>
        <v>2.1908750000000001</v>
      </c>
      <c r="CY365">
        <f>AB365</f>
        <v>399.52</v>
      </c>
      <c r="CZ365">
        <f>AF365</f>
        <v>65.709999999999994</v>
      </c>
      <c r="DA365">
        <f>AJ365</f>
        <v>6.08</v>
      </c>
      <c r="DB365">
        <v>0</v>
      </c>
    </row>
    <row r="366" spans="1:106" x14ac:dyDescent="0.2">
      <c r="A366">
        <f>ROW(Source!A105)</f>
        <v>105</v>
      </c>
      <c r="B366">
        <v>16499878</v>
      </c>
      <c r="C366">
        <v>16500349</v>
      </c>
      <c r="D366">
        <v>15249377</v>
      </c>
      <c r="E366">
        <v>1</v>
      </c>
      <c r="F366">
        <v>1</v>
      </c>
      <c r="G366">
        <v>1</v>
      </c>
      <c r="H366">
        <v>2</v>
      </c>
      <c r="I366" t="s">
        <v>653</v>
      </c>
      <c r="J366" t="s">
        <v>654</v>
      </c>
      <c r="K366" t="s">
        <v>655</v>
      </c>
      <c r="L366">
        <v>1368</v>
      </c>
      <c r="N366">
        <v>1011</v>
      </c>
      <c r="O366" t="s">
        <v>634</v>
      </c>
      <c r="P366" t="s">
        <v>634</v>
      </c>
      <c r="Q366">
        <v>1</v>
      </c>
      <c r="W366">
        <v>0</v>
      </c>
      <c r="X366">
        <v>-353815937</v>
      </c>
      <c r="Y366">
        <v>0.5</v>
      </c>
      <c r="AA366">
        <v>0</v>
      </c>
      <c r="AB366">
        <v>49.25</v>
      </c>
      <c r="AC366">
        <v>0</v>
      </c>
      <c r="AD366">
        <v>0</v>
      </c>
      <c r="AE366">
        <v>0</v>
      </c>
      <c r="AF366">
        <v>8.1</v>
      </c>
      <c r="AG366">
        <v>0</v>
      </c>
      <c r="AH366">
        <v>0</v>
      </c>
      <c r="AI366">
        <v>1</v>
      </c>
      <c r="AJ366">
        <v>6.08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224</v>
      </c>
      <c r="AT366">
        <v>0.4</v>
      </c>
      <c r="AU366" t="s">
        <v>239</v>
      </c>
      <c r="AV366">
        <v>0</v>
      </c>
      <c r="AW366">
        <v>2</v>
      </c>
      <c r="AX366">
        <v>16500360</v>
      </c>
      <c r="AY366">
        <v>1</v>
      </c>
      <c r="AZ366">
        <v>0</v>
      </c>
      <c r="BA366">
        <v>389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Y366*Source!I105</f>
        <v>5.1550000000000002</v>
      </c>
      <c r="CY366">
        <f>AB366</f>
        <v>49.25</v>
      </c>
      <c r="CZ366">
        <f>AF366</f>
        <v>8.1</v>
      </c>
      <c r="DA366">
        <f>AJ366</f>
        <v>6.08</v>
      </c>
      <c r="DB366">
        <v>0</v>
      </c>
    </row>
    <row r="367" spans="1:106" x14ac:dyDescent="0.2">
      <c r="A367">
        <f>ROW(Source!A105)</f>
        <v>105</v>
      </c>
      <c r="B367">
        <v>16499878</v>
      </c>
      <c r="C367">
        <v>16500349</v>
      </c>
      <c r="D367">
        <v>15168750</v>
      </c>
      <c r="E367">
        <v>1</v>
      </c>
      <c r="F367">
        <v>1</v>
      </c>
      <c r="G367">
        <v>1</v>
      </c>
      <c r="H367">
        <v>3</v>
      </c>
      <c r="I367" t="s">
        <v>656</v>
      </c>
      <c r="J367" t="s">
        <v>657</v>
      </c>
      <c r="K367" t="s">
        <v>658</v>
      </c>
      <c r="L367">
        <v>1348</v>
      </c>
      <c r="N367">
        <v>1009</v>
      </c>
      <c r="O367" t="s">
        <v>288</v>
      </c>
      <c r="P367" t="s">
        <v>288</v>
      </c>
      <c r="Q367">
        <v>1000</v>
      </c>
      <c r="W367">
        <v>0</v>
      </c>
      <c r="X367">
        <v>-714836380</v>
      </c>
      <c r="Y367">
        <v>1E-4</v>
      </c>
      <c r="AA367">
        <v>62715.26</v>
      </c>
      <c r="AB367">
        <v>0</v>
      </c>
      <c r="AC367">
        <v>0</v>
      </c>
      <c r="AD367">
        <v>0</v>
      </c>
      <c r="AE367">
        <v>10315.01</v>
      </c>
      <c r="AF367">
        <v>0</v>
      </c>
      <c r="AG367">
        <v>0</v>
      </c>
      <c r="AH367">
        <v>0</v>
      </c>
      <c r="AI367">
        <v>6.08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224</v>
      </c>
      <c r="AT367">
        <v>1E-4</v>
      </c>
      <c r="AU367" t="s">
        <v>224</v>
      </c>
      <c r="AV367">
        <v>0</v>
      </c>
      <c r="AW367">
        <v>2</v>
      </c>
      <c r="AX367">
        <v>16500362</v>
      </c>
      <c r="AY367">
        <v>1</v>
      </c>
      <c r="AZ367">
        <v>0</v>
      </c>
      <c r="BA367">
        <v>391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Y367*Source!I105</f>
        <v>1.031E-3</v>
      </c>
      <c r="CY367">
        <f t="shared" ref="CY367:CY372" si="57">AA367</f>
        <v>62715.26</v>
      </c>
      <c r="CZ367">
        <f t="shared" ref="CZ367:CZ372" si="58">AE367</f>
        <v>10315.01</v>
      </c>
      <c r="DA367">
        <f t="shared" ref="DA367:DA372" si="59">AI367</f>
        <v>6.08</v>
      </c>
      <c r="DB367">
        <v>0</v>
      </c>
    </row>
    <row r="368" spans="1:106" x14ac:dyDescent="0.2">
      <c r="A368">
        <f>ROW(Source!A105)</f>
        <v>105</v>
      </c>
      <c r="B368">
        <v>16499878</v>
      </c>
      <c r="C368">
        <v>16500349</v>
      </c>
      <c r="D368">
        <v>15187349</v>
      </c>
      <c r="E368">
        <v>1</v>
      </c>
      <c r="F368">
        <v>1</v>
      </c>
      <c r="G368">
        <v>1</v>
      </c>
      <c r="H368">
        <v>3</v>
      </c>
      <c r="I368" t="s">
        <v>423</v>
      </c>
      <c r="J368" t="s">
        <v>425</v>
      </c>
      <c r="K368" t="s">
        <v>424</v>
      </c>
      <c r="L368">
        <v>1327</v>
      </c>
      <c r="N368">
        <v>1005</v>
      </c>
      <c r="O368" t="s">
        <v>277</v>
      </c>
      <c r="P368" t="s">
        <v>277</v>
      </c>
      <c r="Q368">
        <v>1</v>
      </c>
      <c r="W368">
        <v>0</v>
      </c>
      <c r="X368">
        <v>1911526313</v>
      </c>
      <c r="Y368">
        <v>0.47235700000000003</v>
      </c>
      <c r="AA368">
        <v>8907.8700000000008</v>
      </c>
      <c r="AB368">
        <v>0</v>
      </c>
      <c r="AC368">
        <v>0</v>
      </c>
      <c r="AD368">
        <v>0</v>
      </c>
      <c r="AE368">
        <v>1465.11</v>
      </c>
      <c r="AF368">
        <v>0</v>
      </c>
      <c r="AG368">
        <v>0</v>
      </c>
      <c r="AH368">
        <v>0</v>
      </c>
      <c r="AI368">
        <v>6.08</v>
      </c>
      <c r="AJ368">
        <v>1</v>
      </c>
      <c r="AK368">
        <v>1</v>
      </c>
      <c r="AL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224</v>
      </c>
      <c r="AT368">
        <v>0.47235700000000003</v>
      </c>
      <c r="AU368" t="s">
        <v>224</v>
      </c>
      <c r="AV368">
        <v>0</v>
      </c>
      <c r="AW368">
        <v>1</v>
      </c>
      <c r="AX368">
        <v>-1</v>
      </c>
      <c r="AY368">
        <v>0</v>
      </c>
      <c r="AZ368">
        <v>0</v>
      </c>
      <c r="BA368" t="s">
        <v>224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Y368*Source!I105</f>
        <v>4.8700006700000005</v>
      </c>
      <c r="CY368">
        <f t="shared" si="57"/>
        <v>8907.8700000000008</v>
      </c>
      <c r="CZ368">
        <f t="shared" si="58"/>
        <v>1465.11</v>
      </c>
      <c r="DA368">
        <f t="shared" si="59"/>
        <v>6.08</v>
      </c>
      <c r="DB368">
        <v>0</v>
      </c>
    </row>
    <row r="369" spans="1:106" x14ac:dyDescent="0.2">
      <c r="A369">
        <f>ROW(Source!A105)</f>
        <v>105</v>
      </c>
      <c r="B369">
        <v>16499878</v>
      </c>
      <c r="C369">
        <v>16500349</v>
      </c>
      <c r="D369">
        <v>15187351</v>
      </c>
      <c r="E369">
        <v>1</v>
      </c>
      <c r="F369">
        <v>1</v>
      </c>
      <c r="G369">
        <v>1</v>
      </c>
      <c r="H369">
        <v>3</v>
      </c>
      <c r="I369" t="s">
        <v>419</v>
      </c>
      <c r="J369" t="s">
        <v>421</v>
      </c>
      <c r="K369" t="s">
        <v>420</v>
      </c>
      <c r="L369">
        <v>1354</v>
      </c>
      <c r="N369">
        <v>1010</v>
      </c>
      <c r="O369" t="s">
        <v>413</v>
      </c>
      <c r="P369" t="s">
        <v>413</v>
      </c>
      <c r="Q369">
        <v>1</v>
      </c>
      <c r="W369">
        <v>0</v>
      </c>
      <c r="X369">
        <v>-1849161856</v>
      </c>
      <c r="Y369">
        <v>9.6992999999999996E-2</v>
      </c>
      <c r="AA369">
        <v>21052.91</v>
      </c>
      <c r="AB369">
        <v>0</v>
      </c>
      <c r="AC369">
        <v>0</v>
      </c>
      <c r="AD369">
        <v>0</v>
      </c>
      <c r="AE369">
        <v>3462.65</v>
      </c>
      <c r="AF369">
        <v>0</v>
      </c>
      <c r="AG369">
        <v>0</v>
      </c>
      <c r="AH369">
        <v>0</v>
      </c>
      <c r="AI369">
        <v>6.08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224</v>
      </c>
      <c r="AT369">
        <v>9.6992999999999996E-2</v>
      </c>
      <c r="AU369" t="s">
        <v>224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224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Y369*Source!I105</f>
        <v>0.99999782999999998</v>
      </c>
      <c r="CY369">
        <f t="shared" si="57"/>
        <v>21052.91</v>
      </c>
      <c r="CZ369">
        <f t="shared" si="58"/>
        <v>3462.65</v>
      </c>
      <c r="DA369">
        <f t="shared" si="59"/>
        <v>6.08</v>
      </c>
      <c r="DB369">
        <v>0</v>
      </c>
    </row>
    <row r="370" spans="1:106" x14ac:dyDescent="0.2">
      <c r="A370">
        <f>ROW(Source!A105)</f>
        <v>105</v>
      </c>
      <c r="B370">
        <v>16499878</v>
      </c>
      <c r="C370">
        <v>16500349</v>
      </c>
      <c r="D370">
        <v>15187352</v>
      </c>
      <c r="E370">
        <v>1</v>
      </c>
      <c r="F370">
        <v>1</v>
      </c>
      <c r="G370">
        <v>1</v>
      </c>
      <c r="H370">
        <v>3</v>
      </c>
      <c r="I370" t="s">
        <v>427</v>
      </c>
      <c r="J370" t="s">
        <v>429</v>
      </c>
      <c r="K370" t="s">
        <v>428</v>
      </c>
      <c r="L370">
        <v>1354</v>
      </c>
      <c r="N370">
        <v>1010</v>
      </c>
      <c r="O370" t="s">
        <v>413</v>
      </c>
      <c r="P370" t="s">
        <v>413</v>
      </c>
      <c r="Q370">
        <v>1</v>
      </c>
      <c r="W370">
        <v>0</v>
      </c>
      <c r="X370">
        <v>-186276383</v>
      </c>
      <c r="Y370">
        <v>9.6992999999999996E-2</v>
      </c>
      <c r="AA370">
        <v>22735.67</v>
      </c>
      <c r="AB370">
        <v>0</v>
      </c>
      <c r="AC370">
        <v>0</v>
      </c>
      <c r="AD370">
        <v>0</v>
      </c>
      <c r="AE370">
        <v>3739.42</v>
      </c>
      <c r="AF370">
        <v>0</v>
      </c>
      <c r="AG370">
        <v>0</v>
      </c>
      <c r="AH370">
        <v>0</v>
      </c>
      <c r="AI370">
        <v>6.08</v>
      </c>
      <c r="AJ370">
        <v>1</v>
      </c>
      <c r="AK370">
        <v>1</v>
      </c>
      <c r="AL370">
        <v>1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224</v>
      </c>
      <c r="AT370">
        <v>9.6992999999999996E-2</v>
      </c>
      <c r="AU370" t="s">
        <v>224</v>
      </c>
      <c r="AV370">
        <v>0</v>
      </c>
      <c r="AW370">
        <v>1</v>
      </c>
      <c r="AX370">
        <v>-1</v>
      </c>
      <c r="AY370">
        <v>0</v>
      </c>
      <c r="AZ370">
        <v>0</v>
      </c>
      <c r="BA370" t="s">
        <v>224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Y370*Source!I105</f>
        <v>0.99999782999999998</v>
      </c>
      <c r="CY370">
        <f t="shared" si="57"/>
        <v>22735.67</v>
      </c>
      <c r="CZ370">
        <f t="shared" si="58"/>
        <v>3739.42</v>
      </c>
      <c r="DA370">
        <f t="shared" si="59"/>
        <v>6.08</v>
      </c>
      <c r="DB370">
        <v>0</v>
      </c>
    </row>
    <row r="371" spans="1:106" x14ac:dyDescent="0.2">
      <c r="A371">
        <f>ROW(Source!A105)</f>
        <v>105</v>
      </c>
      <c r="B371">
        <v>16499878</v>
      </c>
      <c r="C371">
        <v>16500349</v>
      </c>
      <c r="D371">
        <v>15192019</v>
      </c>
      <c r="E371">
        <v>1</v>
      </c>
      <c r="F371">
        <v>1</v>
      </c>
      <c r="G371">
        <v>1</v>
      </c>
      <c r="H371">
        <v>3</v>
      </c>
      <c r="I371" t="s">
        <v>659</v>
      </c>
      <c r="J371" t="s">
        <v>660</v>
      </c>
      <c r="K371" t="s">
        <v>661</v>
      </c>
      <c r="L371">
        <v>1348</v>
      </c>
      <c r="N371">
        <v>1009</v>
      </c>
      <c r="O371" t="s">
        <v>288</v>
      </c>
      <c r="P371" t="s">
        <v>288</v>
      </c>
      <c r="Q371">
        <v>1000</v>
      </c>
      <c r="W371">
        <v>0</v>
      </c>
      <c r="X371">
        <v>-751617735</v>
      </c>
      <c r="Y371">
        <v>3.0000000000000001E-3</v>
      </c>
      <c r="AA371">
        <v>35288.32</v>
      </c>
      <c r="AB371">
        <v>0</v>
      </c>
      <c r="AC371">
        <v>0</v>
      </c>
      <c r="AD371">
        <v>0</v>
      </c>
      <c r="AE371">
        <v>5804</v>
      </c>
      <c r="AF371">
        <v>0</v>
      </c>
      <c r="AG371">
        <v>0</v>
      </c>
      <c r="AH371">
        <v>0</v>
      </c>
      <c r="AI371">
        <v>6.08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224</v>
      </c>
      <c r="AT371">
        <v>3.0000000000000001E-3</v>
      </c>
      <c r="AU371" t="s">
        <v>224</v>
      </c>
      <c r="AV371">
        <v>0</v>
      </c>
      <c r="AW371">
        <v>2</v>
      </c>
      <c r="AX371">
        <v>16500364</v>
      </c>
      <c r="AY371">
        <v>1</v>
      </c>
      <c r="AZ371">
        <v>0</v>
      </c>
      <c r="BA371">
        <v>393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Y371*Source!I105</f>
        <v>3.0930000000000003E-2</v>
      </c>
      <c r="CY371">
        <f t="shared" si="57"/>
        <v>35288.32</v>
      </c>
      <c r="CZ371">
        <f t="shared" si="58"/>
        <v>5804</v>
      </c>
      <c r="DA371">
        <f t="shared" si="59"/>
        <v>6.08</v>
      </c>
      <c r="DB371">
        <v>0</v>
      </c>
    </row>
    <row r="372" spans="1:106" x14ac:dyDescent="0.2">
      <c r="A372">
        <f>ROW(Source!A105)</f>
        <v>105</v>
      </c>
      <c r="B372">
        <v>16499878</v>
      </c>
      <c r="C372">
        <v>16500349</v>
      </c>
      <c r="D372">
        <v>15204330</v>
      </c>
      <c r="E372">
        <v>1</v>
      </c>
      <c r="F372">
        <v>1</v>
      </c>
      <c r="G372">
        <v>1</v>
      </c>
      <c r="H372">
        <v>3</v>
      </c>
      <c r="I372" t="s">
        <v>662</v>
      </c>
      <c r="J372" t="s">
        <v>663</v>
      </c>
      <c r="K372" t="s">
        <v>664</v>
      </c>
      <c r="L372">
        <v>1354</v>
      </c>
      <c r="N372">
        <v>1010</v>
      </c>
      <c r="O372" t="s">
        <v>413</v>
      </c>
      <c r="P372" t="s">
        <v>413</v>
      </c>
      <c r="Q372">
        <v>1</v>
      </c>
      <c r="W372">
        <v>0</v>
      </c>
      <c r="X372">
        <v>-1075270488</v>
      </c>
      <c r="Y372">
        <v>0.1</v>
      </c>
      <c r="AA372">
        <v>442.62</v>
      </c>
      <c r="AB372">
        <v>0</v>
      </c>
      <c r="AC372">
        <v>0</v>
      </c>
      <c r="AD372">
        <v>0</v>
      </c>
      <c r="AE372">
        <v>72.8</v>
      </c>
      <c r="AF372">
        <v>0</v>
      </c>
      <c r="AG372">
        <v>0</v>
      </c>
      <c r="AH372">
        <v>0</v>
      </c>
      <c r="AI372">
        <v>6.08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224</v>
      </c>
      <c r="AT372">
        <v>0.1</v>
      </c>
      <c r="AU372" t="s">
        <v>224</v>
      </c>
      <c r="AV372">
        <v>0</v>
      </c>
      <c r="AW372">
        <v>2</v>
      </c>
      <c r="AX372">
        <v>16500365</v>
      </c>
      <c r="AY372">
        <v>1</v>
      </c>
      <c r="AZ372">
        <v>0</v>
      </c>
      <c r="BA372">
        <v>394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Y372*Source!I105</f>
        <v>1.0310000000000001</v>
      </c>
      <c r="CY372">
        <f t="shared" si="57"/>
        <v>442.62</v>
      </c>
      <c r="CZ372">
        <f t="shared" si="58"/>
        <v>72.8</v>
      </c>
      <c r="DA372">
        <f t="shared" si="59"/>
        <v>6.08</v>
      </c>
      <c r="DB372">
        <v>0</v>
      </c>
    </row>
    <row r="373" spans="1:106" x14ac:dyDescent="0.2">
      <c r="A373">
        <f>ROW(Source!A149)</f>
        <v>149</v>
      </c>
      <c r="B373">
        <v>16499835</v>
      </c>
      <c r="C373">
        <v>16500423</v>
      </c>
      <c r="D373">
        <v>15432356</v>
      </c>
      <c r="E373">
        <v>1</v>
      </c>
      <c r="F373">
        <v>1</v>
      </c>
      <c r="G373">
        <v>1</v>
      </c>
      <c r="H373">
        <v>1</v>
      </c>
      <c r="I373" t="s">
        <v>799</v>
      </c>
      <c r="J373" t="s">
        <v>224</v>
      </c>
      <c r="K373" t="s">
        <v>800</v>
      </c>
      <c r="L373">
        <v>1191</v>
      </c>
      <c r="N373">
        <v>1013</v>
      </c>
      <c r="O373" t="s">
        <v>628</v>
      </c>
      <c r="P373" t="s">
        <v>628</v>
      </c>
      <c r="Q373">
        <v>1</v>
      </c>
      <c r="W373">
        <v>0</v>
      </c>
      <c r="X373">
        <v>1850719656</v>
      </c>
      <c r="Y373">
        <v>34.659999999999997</v>
      </c>
      <c r="AA373">
        <v>0</v>
      </c>
      <c r="AB373">
        <v>0</v>
      </c>
      <c r="AC373">
        <v>0</v>
      </c>
      <c r="AD373">
        <v>8.31</v>
      </c>
      <c r="AE373">
        <v>0</v>
      </c>
      <c r="AF373">
        <v>0</v>
      </c>
      <c r="AG373">
        <v>0</v>
      </c>
      <c r="AH373">
        <v>8.31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224</v>
      </c>
      <c r="AT373">
        <v>34.659999999999997</v>
      </c>
      <c r="AU373" t="s">
        <v>224</v>
      </c>
      <c r="AV373">
        <v>1</v>
      </c>
      <c r="AW373">
        <v>2</v>
      </c>
      <c r="AX373">
        <v>16500424</v>
      </c>
      <c r="AY373">
        <v>1</v>
      </c>
      <c r="AZ373">
        <v>0</v>
      </c>
      <c r="BA373">
        <v>395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Y373*Source!I149</f>
        <v>0.34659999999999996</v>
      </c>
      <c r="CY373">
        <f>AD373</f>
        <v>8.31</v>
      </c>
      <c r="CZ373">
        <f>AH373</f>
        <v>8.31</v>
      </c>
      <c r="DA373">
        <f>AL373</f>
        <v>1</v>
      </c>
      <c r="DB373">
        <v>0</v>
      </c>
    </row>
    <row r="374" spans="1:106" x14ac:dyDescent="0.2">
      <c r="A374">
        <f>ROW(Source!A149)</f>
        <v>149</v>
      </c>
      <c r="B374">
        <v>16499835</v>
      </c>
      <c r="C374">
        <v>16500423</v>
      </c>
      <c r="D374">
        <v>15430395</v>
      </c>
      <c r="E374">
        <v>1</v>
      </c>
      <c r="F374">
        <v>1</v>
      </c>
      <c r="G374">
        <v>1</v>
      </c>
      <c r="H374">
        <v>1</v>
      </c>
      <c r="I374" t="s">
        <v>629</v>
      </c>
      <c r="J374" t="s">
        <v>224</v>
      </c>
      <c r="K374" t="s">
        <v>630</v>
      </c>
      <c r="L374">
        <v>1191</v>
      </c>
      <c r="N374">
        <v>1013</v>
      </c>
      <c r="O374" t="s">
        <v>628</v>
      </c>
      <c r="P374" t="s">
        <v>628</v>
      </c>
      <c r="Q374">
        <v>1</v>
      </c>
      <c r="W374">
        <v>0</v>
      </c>
      <c r="X374">
        <v>-1417349443</v>
      </c>
      <c r="Y374">
        <v>0.1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224</v>
      </c>
      <c r="AT374">
        <v>0.1</v>
      </c>
      <c r="AU374" t="s">
        <v>224</v>
      </c>
      <c r="AV374">
        <v>2</v>
      </c>
      <c r="AW374">
        <v>2</v>
      </c>
      <c r="AX374">
        <v>16500425</v>
      </c>
      <c r="AY374">
        <v>1</v>
      </c>
      <c r="AZ374">
        <v>0</v>
      </c>
      <c r="BA374">
        <v>396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Y374*Source!I149</f>
        <v>1E-3</v>
      </c>
      <c r="CY374">
        <f>AD374</f>
        <v>0</v>
      </c>
      <c r="CZ374">
        <f>AH374</f>
        <v>0</v>
      </c>
      <c r="DA374">
        <f>AL374</f>
        <v>1</v>
      </c>
      <c r="DB374">
        <v>0</v>
      </c>
    </row>
    <row r="375" spans="1:106" x14ac:dyDescent="0.2">
      <c r="A375">
        <f>ROW(Source!A149)</f>
        <v>149</v>
      </c>
      <c r="B375">
        <v>16499835</v>
      </c>
      <c r="C375">
        <v>16500423</v>
      </c>
      <c r="D375">
        <v>15247974</v>
      </c>
      <c r="E375">
        <v>1</v>
      </c>
      <c r="F375">
        <v>1</v>
      </c>
      <c r="G375">
        <v>1</v>
      </c>
      <c r="H375">
        <v>2</v>
      </c>
      <c r="I375" t="s">
        <v>640</v>
      </c>
      <c r="J375" t="s">
        <v>641</v>
      </c>
      <c r="K375" t="s">
        <v>642</v>
      </c>
      <c r="L375">
        <v>1368</v>
      </c>
      <c r="N375">
        <v>1011</v>
      </c>
      <c r="O375" t="s">
        <v>634</v>
      </c>
      <c r="P375" t="s">
        <v>634</v>
      </c>
      <c r="Q375">
        <v>1</v>
      </c>
      <c r="W375">
        <v>0</v>
      </c>
      <c r="X375">
        <v>1188625873</v>
      </c>
      <c r="Y375">
        <v>0.1</v>
      </c>
      <c r="AA375">
        <v>0</v>
      </c>
      <c r="AB375">
        <v>31.26</v>
      </c>
      <c r="AC375">
        <v>13.5</v>
      </c>
      <c r="AD375">
        <v>0</v>
      </c>
      <c r="AE375">
        <v>0</v>
      </c>
      <c r="AF375">
        <v>31.26</v>
      </c>
      <c r="AG375">
        <v>13.5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224</v>
      </c>
      <c r="AT375">
        <v>0.1</v>
      </c>
      <c r="AU375" t="s">
        <v>224</v>
      </c>
      <c r="AV375">
        <v>0</v>
      </c>
      <c r="AW375">
        <v>2</v>
      </c>
      <c r="AX375">
        <v>16500426</v>
      </c>
      <c r="AY375">
        <v>1</v>
      </c>
      <c r="AZ375">
        <v>0</v>
      </c>
      <c r="BA375">
        <v>397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Y375*Source!I149</f>
        <v>1E-3</v>
      </c>
      <c r="CY375">
        <f>AB375</f>
        <v>31.26</v>
      </c>
      <c r="CZ375">
        <f>AF375</f>
        <v>31.26</v>
      </c>
      <c r="DA375">
        <f>AJ375</f>
        <v>1</v>
      </c>
      <c r="DB375">
        <v>0</v>
      </c>
    </row>
    <row r="376" spans="1:106" x14ac:dyDescent="0.2">
      <c r="A376">
        <f>ROW(Source!A149)</f>
        <v>149</v>
      </c>
      <c r="B376">
        <v>16499835</v>
      </c>
      <c r="C376">
        <v>16500423</v>
      </c>
      <c r="D376">
        <v>15249308</v>
      </c>
      <c r="E376">
        <v>1</v>
      </c>
      <c r="F376">
        <v>1</v>
      </c>
      <c r="G376">
        <v>1</v>
      </c>
      <c r="H376">
        <v>2</v>
      </c>
      <c r="I376" t="s">
        <v>682</v>
      </c>
      <c r="J376" t="s">
        <v>683</v>
      </c>
      <c r="K376" t="s">
        <v>684</v>
      </c>
      <c r="L376">
        <v>1368</v>
      </c>
      <c r="N376">
        <v>1011</v>
      </c>
      <c r="O376" t="s">
        <v>634</v>
      </c>
      <c r="P376" t="s">
        <v>634</v>
      </c>
      <c r="Q376">
        <v>1</v>
      </c>
      <c r="W376">
        <v>0</v>
      </c>
      <c r="X376">
        <v>792402865</v>
      </c>
      <c r="Y376">
        <v>3.3</v>
      </c>
      <c r="AA376">
        <v>0</v>
      </c>
      <c r="AB376">
        <v>1.2</v>
      </c>
      <c r="AC376">
        <v>0</v>
      </c>
      <c r="AD376">
        <v>0</v>
      </c>
      <c r="AE376">
        <v>0</v>
      </c>
      <c r="AF376">
        <v>1.2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224</v>
      </c>
      <c r="AT376">
        <v>3.3</v>
      </c>
      <c r="AU376" t="s">
        <v>224</v>
      </c>
      <c r="AV376">
        <v>0</v>
      </c>
      <c r="AW376">
        <v>2</v>
      </c>
      <c r="AX376">
        <v>16500427</v>
      </c>
      <c r="AY376">
        <v>1</v>
      </c>
      <c r="AZ376">
        <v>0</v>
      </c>
      <c r="BA376">
        <v>398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Y376*Source!I149</f>
        <v>3.3000000000000002E-2</v>
      </c>
      <c r="CY376">
        <f>AB376</f>
        <v>1.2</v>
      </c>
      <c r="CZ376">
        <f>AF376</f>
        <v>1.2</v>
      </c>
      <c r="DA376">
        <f>AJ376</f>
        <v>1</v>
      </c>
      <c r="DB376">
        <v>0</v>
      </c>
    </row>
    <row r="377" spans="1:106" x14ac:dyDescent="0.2">
      <c r="A377">
        <f>ROW(Source!A149)</f>
        <v>149</v>
      </c>
      <c r="B377">
        <v>16499835</v>
      </c>
      <c r="C377">
        <v>16500423</v>
      </c>
      <c r="D377">
        <v>15165634</v>
      </c>
      <c r="E377">
        <v>1</v>
      </c>
      <c r="F377">
        <v>1</v>
      </c>
      <c r="G377">
        <v>1</v>
      </c>
      <c r="H377">
        <v>3</v>
      </c>
      <c r="I377" t="s">
        <v>29</v>
      </c>
      <c r="J377" t="s">
        <v>30</v>
      </c>
      <c r="K377" t="s">
        <v>31</v>
      </c>
      <c r="L377">
        <v>1339</v>
      </c>
      <c r="N377">
        <v>1007</v>
      </c>
      <c r="O377" t="s">
        <v>691</v>
      </c>
      <c r="P377" t="s">
        <v>691</v>
      </c>
      <c r="Q377">
        <v>1</v>
      </c>
      <c r="W377">
        <v>0</v>
      </c>
      <c r="X377">
        <v>1706747518</v>
      </c>
      <c r="Y377">
        <v>0.43</v>
      </c>
      <c r="AA377">
        <v>38.51</v>
      </c>
      <c r="AB377">
        <v>0</v>
      </c>
      <c r="AC377">
        <v>0</v>
      </c>
      <c r="AD377">
        <v>0</v>
      </c>
      <c r="AE377">
        <v>38.51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224</v>
      </c>
      <c r="AT377">
        <v>0.43</v>
      </c>
      <c r="AU377" t="s">
        <v>224</v>
      </c>
      <c r="AV377">
        <v>0</v>
      </c>
      <c r="AW377">
        <v>2</v>
      </c>
      <c r="AX377">
        <v>16500428</v>
      </c>
      <c r="AY377">
        <v>1</v>
      </c>
      <c r="AZ377">
        <v>0</v>
      </c>
      <c r="BA377">
        <v>399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Y377*Source!I149</f>
        <v>4.3E-3</v>
      </c>
      <c r="CY377">
        <f>AA377</f>
        <v>38.51</v>
      </c>
      <c r="CZ377">
        <f>AE377</f>
        <v>38.51</v>
      </c>
      <c r="DA377">
        <f>AI377</f>
        <v>1</v>
      </c>
      <c r="DB377">
        <v>0</v>
      </c>
    </row>
    <row r="378" spans="1:106" x14ac:dyDescent="0.2">
      <c r="A378">
        <f>ROW(Source!A149)</f>
        <v>149</v>
      </c>
      <c r="B378">
        <v>16499835</v>
      </c>
      <c r="C378">
        <v>16500423</v>
      </c>
      <c r="D378">
        <v>15165653</v>
      </c>
      <c r="E378">
        <v>1</v>
      </c>
      <c r="F378">
        <v>1</v>
      </c>
      <c r="G378">
        <v>1</v>
      </c>
      <c r="H378">
        <v>3</v>
      </c>
      <c r="I378" t="s">
        <v>688</v>
      </c>
      <c r="J378" t="s">
        <v>689</v>
      </c>
      <c r="K378" t="s">
        <v>690</v>
      </c>
      <c r="L378">
        <v>1339</v>
      </c>
      <c r="N378">
        <v>1007</v>
      </c>
      <c r="O378" t="s">
        <v>691</v>
      </c>
      <c r="P378" t="s">
        <v>691</v>
      </c>
      <c r="Q378">
        <v>1</v>
      </c>
      <c r="W378">
        <v>0</v>
      </c>
      <c r="X378">
        <v>1262771840</v>
      </c>
      <c r="Y378">
        <v>2.74</v>
      </c>
      <c r="AA378">
        <v>6.22</v>
      </c>
      <c r="AB378">
        <v>0</v>
      </c>
      <c r="AC378">
        <v>0</v>
      </c>
      <c r="AD378">
        <v>0</v>
      </c>
      <c r="AE378">
        <v>6.22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224</v>
      </c>
      <c r="AT378">
        <v>2.74</v>
      </c>
      <c r="AU378" t="s">
        <v>224</v>
      </c>
      <c r="AV378">
        <v>0</v>
      </c>
      <c r="AW378">
        <v>2</v>
      </c>
      <c r="AX378">
        <v>16500429</v>
      </c>
      <c r="AY378">
        <v>1</v>
      </c>
      <c r="AZ378">
        <v>0</v>
      </c>
      <c r="BA378">
        <v>400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Y378*Source!I149</f>
        <v>2.7400000000000004E-2</v>
      </c>
      <c r="CY378">
        <f>AA378</f>
        <v>6.22</v>
      </c>
      <c r="CZ378">
        <f>AE378</f>
        <v>6.22</v>
      </c>
      <c r="DA378">
        <f>AI378</f>
        <v>1</v>
      </c>
      <c r="DB378">
        <v>0</v>
      </c>
    </row>
    <row r="379" spans="1:106" x14ac:dyDescent="0.2">
      <c r="A379">
        <f>ROW(Source!A150)</f>
        <v>150</v>
      </c>
      <c r="B379">
        <v>16499878</v>
      </c>
      <c r="C379">
        <v>16500423</v>
      </c>
      <c r="D379">
        <v>15432356</v>
      </c>
      <c r="E379">
        <v>1</v>
      </c>
      <c r="F379">
        <v>1</v>
      </c>
      <c r="G379">
        <v>1</v>
      </c>
      <c r="H379">
        <v>1</v>
      </c>
      <c r="I379" t="s">
        <v>799</v>
      </c>
      <c r="J379" t="s">
        <v>224</v>
      </c>
      <c r="K379" t="s">
        <v>800</v>
      </c>
      <c r="L379">
        <v>1191</v>
      </c>
      <c r="N379">
        <v>1013</v>
      </c>
      <c r="O379" t="s">
        <v>628</v>
      </c>
      <c r="P379" t="s">
        <v>628</v>
      </c>
      <c r="Q379">
        <v>1</v>
      </c>
      <c r="W379">
        <v>0</v>
      </c>
      <c r="X379">
        <v>1850719656</v>
      </c>
      <c r="Y379">
        <v>34.659999999999997</v>
      </c>
      <c r="AA379">
        <v>0</v>
      </c>
      <c r="AB379">
        <v>0</v>
      </c>
      <c r="AC379">
        <v>0</v>
      </c>
      <c r="AD379">
        <v>50.52</v>
      </c>
      <c r="AE379">
        <v>0</v>
      </c>
      <c r="AF379">
        <v>0</v>
      </c>
      <c r="AG379">
        <v>0</v>
      </c>
      <c r="AH379">
        <v>8.31</v>
      </c>
      <c r="AI379">
        <v>1</v>
      </c>
      <c r="AJ379">
        <v>1</v>
      </c>
      <c r="AK379">
        <v>1</v>
      </c>
      <c r="AL379">
        <v>6.08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224</v>
      </c>
      <c r="AT379">
        <v>34.659999999999997</v>
      </c>
      <c r="AU379" t="s">
        <v>224</v>
      </c>
      <c r="AV379">
        <v>1</v>
      </c>
      <c r="AW379">
        <v>2</v>
      </c>
      <c r="AX379">
        <v>16500424</v>
      </c>
      <c r="AY379">
        <v>1</v>
      </c>
      <c r="AZ379">
        <v>0</v>
      </c>
      <c r="BA379">
        <v>402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Y379*Source!I150</f>
        <v>0.34659999999999996</v>
      </c>
      <c r="CY379">
        <f>AD379</f>
        <v>50.52</v>
      </c>
      <c r="CZ379">
        <f>AH379</f>
        <v>8.31</v>
      </c>
      <c r="DA379">
        <f>AL379</f>
        <v>6.08</v>
      </c>
      <c r="DB379">
        <v>0</v>
      </c>
    </row>
    <row r="380" spans="1:106" x14ac:dyDescent="0.2">
      <c r="A380">
        <f>ROW(Source!A150)</f>
        <v>150</v>
      </c>
      <c r="B380">
        <v>16499878</v>
      </c>
      <c r="C380">
        <v>16500423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629</v>
      </c>
      <c r="J380" t="s">
        <v>224</v>
      </c>
      <c r="K380" t="s">
        <v>630</v>
      </c>
      <c r="L380">
        <v>1191</v>
      </c>
      <c r="N380">
        <v>1013</v>
      </c>
      <c r="O380" t="s">
        <v>628</v>
      </c>
      <c r="P380" t="s">
        <v>628</v>
      </c>
      <c r="Q380">
        <v>1</v>
      </c>
      <c r="W380">
        <v>0</v>
      </c>
      <c r="X380">
        <v>-1417349443</v>
      </c>
      <c r="Y380">
        <v>0.1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6.08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224</v>
      </c>
      <c r="AT380">
        <v>0.1</v>
      </c>
      <c r="AU380" t="s">
        <v>224</v>
      </c>
      <c r="AV380">
        <v>2</v>
      </c>
      <c r="AW380">
        <v>2</v>
      </c>
      <c r="AX380">
        <v>16500425</v>
      </c>
      <c r="AY380">
        <v>1</v>
      </c>
      <c r="AZ380">
        <v>0</v>
      </c>
      <c r="BA380">
        <v>403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Y380*Source!I150</f>
        <v>1E-3</v>
      </c>
      <c r="CY380">
        <f>AD380</f>
        <v>0</v>
      </c>
      <c r="CZ380">
        <f>AH380</f>
        <v>0</v>
      </c>
      <c r="DA380">
        <f>AL380</f>
        <v>1</v>
      </c>
      <c r="DB380">
        <v>0</v>
      </c>
    </row>
    <row r="381" spans="1:106" x14ac:dyDescent="0.2">
      <c r="A381">
        <f>ROW(Source!A150)</f>
        <v>150</v>
      </c>
      <c r="B381">
        <v>16499878</v>
      </c>
      <c r="C381">
        <v>16500423</v>
      </c>
      <c r="D381">
        <v>15247974</v>
      </c>
      <c r="E381">
        <v>1</v>
      </c>
      <c r="F381">
        <v>1</v>
      </c>
      <c r="G381">
        <v>1</v>
      </c>
      <c r="H381">
        <v>2</v>
      </c>
      <c r="I381" t="s">
        <v>640</v>
      </c>
      <c r="J381" t="s">
        <v>641</v>
      </c>
      <c r="K381" t="s">
        <v>642</v>
      </c>
      <c r="L381">
        <v>1368</v>
      </c>
      <c r="N381">
        <v>1011</v>
      </c>
      <c r="O381" t="s">
        <v>634</v>
      </c>
      <c r="P381" t="s">
        <v>634</v>
      </c>
      <c r="Q381">
        <v>1</v>
      </c>
      <c r="W381">
        <v>0</v>
      </c>
      <c r="X381">
        <v>1188625873</v>
      </c>
      <c r="Y381">
        <v>0.1</v>
      </c>
      <c r="AA381">
        <v>0</v>
      </c>
      <c r="AB381">
        <v>190.06</v>
      </c>
      <c r="AC381">
        <v>13.5</v>
      </c>
      <c r="AD381">
        <v>0</v>
      </c>
      <c r="AE381">
        <v>0</v>
      </c>
      <c r="AF381">
        <v>31.26</v>
      </c>
      <c r="AG381">
        <v>13.5</v>
      </c>
      <c r="AH381">
        <v>0</v>
      </c>
      <c r="AI381">
        <v>1</v>
      </c>
      <c r="AJ381">
        <v>6.08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224</v>
      </c>
      <c r="AT381">
        <v>0.1</v>
      </c>
      <c r="AU381" t="s">
        <v>224</v>
      </c>
      <c r="AV381">
        <v>0</v>
      </c>
      <c r="AW381">
        <v>2</v>
      </c>
      <c r="AX381">
        <v>16500426</v>
      </c>
      <c r="AY381">
        <v>1</v>
      </c>
      <c r="AZ381">
        <v>0</v>
      </c>
      <c r="BA381">
        <v>404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Y381*Source!I150</f>
        <v>1E-3</v>
      </c>
      <c r="CY381">
        <f>AB381</f>
        <v>190.06</v>
      </c>
      <c r="CZ381">
        <f>AF381</f>
        <v>31.26</v>
      </c>
      <c r="DA381">
        <f>AJ381</f>
        <v>6.08</v>
      </c>
      <c r="DB381">
        <v>0</v>
      </c>
    </row>
    <row r="382" spans="1:106" x14ac:dyDescent="0.2">
      <c r="A382">
        <f>ROW(Source!A150)</f>
        <v>150</v>
      </c>
      <c r="B382">
        <v>16499878</v>
      </c>
      <c r="C382">
        <v>16500423</v>
      </c>
      <c r="D382">
        <v>15249308</v>
      </c>
      <c r="E382">
        <v>1</v>
      </c>
      <c r="F382">
        <v>1</v>
      </c>
      <c r="G382">
        <v>1</v>
      </c>
      <c r="H382">
        <v>2</v>
      </c>
      <c r="I382" t="s">
        <v>682</v>
      </c>
      <c r="J382" t="s">
        <v>683</v>
      </c>
      <c r="K382" t="s">
        <v>684</v>
      </c>
      <c r="L382">
        <v>1368</v>
      </c>
      <c r="N382">
        <v>1011</v>
      </c>
      <c r="O382" t="s">
        <v>634</v>
      </c>
      <c r="P382" t="s">
        <v>634</v>
      </c>
      <c r="Q382">
        <v>1</v>
      </c>
      <c r="W382">
        <v>0</v>
      </c>
      <c r="X382">
        <v>792402865</v>
      </c>
      <c r="Y382">
        <v>3.3</v>
      </c>
      <c r="AA382">
        <v>0</v>
      </c>
      <c r="AB382">
        <v>7.3</v>
      </c>
      <c r="AC382">
        <v>0</v>
      </c>
      <c r="AD382">
        <v>0</v>
      </c>
      <c r="AE382">
        <v>0</v>
      </c>
      <c r="AF382">
        <v>1.2</v>
      </c>
      <c r="AG382">
        <v>0</v>
      </c>
      <c r="AH382">
        <v>0</v>
      </c>
      <c r="AI382">
        <v>1</v>
      </c>
      <c r="AJ382">
        <v>6.08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224</v>
      </c>
      <c r="AT382">
        <v>3.3</v>
      </c>
      <c r="AU382" t="s">
        <v>224</v>
      </c>
      <c r="AV382">
        <v>0</v>
      </c>
      <c r="AW382">
        <v>2</v>
      </c>
      <c r="AX382">
        <v>16500427</v>
      </c>
      <c r="AY382">
        <v>1</v>
      </c>
      <c r="AZ382">
        <v>0</v>
      </c>
      <c r="BA382">
        <v>405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Y382*Source!I150</f>
        <v>3.3000000000000002E-2</v>
      </c>
      <c r="CY382">
        <f>AB382</f>
        <v>7.3</v>
      </c>
      <c r="CZ382">
        <f>AF382</f>
        <v>1.2</v>
      </c>
      <c r="DA382">
        <f>AJ382</f>
        <v>6.08</v>
      </c>
      <c r="DB382">
        <v>0</v>
      </c>
    </row>
    <row r="383" spans="1:106" x14ac:dyDescent="0.2">
      <c r="A383">
        <f>ROW(Source!A150)</f>
        <v>150</v>
      </c>
      <c r="B383">
        <v>16499878</v>
      </c>
      <c r="C383">
        <v>16500423</v>
      </c>
      <c r="D383">
        <v>15165634</v>
      </c>
      <c r="E383">
        <v>1</v>
      </c>
      <c r="F383">
        <v>1</v>
      </c>
      <c r="G383">
        <v>1</v>
      </c>
      <c r="H383">
        <v>3</v>
      </c>
      <c r="I383" t="s">
        <v>29</v>
      </c>
      <c r="J383" t="s">
        <v>30</v>
      </c>
      <c r="K383" t="s">
        <v>31</v>
      </c>
      <c r="L383">
        <v>1339</v>
      </c>
      <c r="N383">
        <v>1007</v>
      </c>
      <c r="O383" t="s">
        <v>691</v>
      </c>
      <c r="P383" t="s">
        <v>691</v>
      </c>
      <c r="Q383">
        <v>1</v>
      </c>
      <c r="W383">
        <v>0</v>
      </c>
      <c r="X383">
        <v>1706747518</v>
      </c>
      <c r="Y383">
        <v>0.43</v>
      </c>
      <c r="AA383">
        <v>234.14</v>
      </c>
      <c r="AB383">
        <v>0</v>
      </c>
      <c r="AC383">
        <v>0</v>
      </c>
      <c r="AD383">
        <v>0</v>
      </c>
      <c r="AE383">
        <v>38.51</v>
      </c>
      <c r="AF383">
        <v>0</v>
      </c>
      <c r="AG383">
        <v>0</v>
      </c>
      <c r="AH383">
        <v>0</v>
      </c>
      <c r="AI383">
        <v>6.08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224</v>
      </c>
      <c r="AT383">
        <v>0.43</v>
      </c>
      <c r="AU383" t="s">
        <v>224</v>
      </c>
      <c r="AV383">
        <v>0</v>
      </c>
      <c r="AW383">
        <v>2</v>
      </c>
      <c r="AX383">
        <v>16500428</v>
      </c>
      <c r="AY383">
        <v>1</v>
      </c>
      <c r="AZ383">
        <v>0</v>
      </c>
      <c r="BA383">
        <v>406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Y383*Source!I150</f>
        <v>4.3E-3</v>
      </c>
      <c r="CY383">
        <f>AA383</f>
        <v>234.14</v>
      </c>
      <c r="CZ383">
        <f>AE383</f>
        <v>38.51</v>
      </c>
      <c r="DA383">
        <f>AI383</f>
        <v>6.08</v>
      </c>
      <c r="DB383">
        <v>0</v>
      </c>
    </row>
    <row r="384" spans="1:106" x14ac:dyDescent="0.2">
      <c r="A384">
        <f>ROW(Source!A150)</f>
        <v>150</v>
      </c>
      <c r="B384">
        <v>16499878</v>
      </c>
      <c r="C384">
        <v>16500423</v>
      </c>
      <c r="D384">
        <v>15165653</v>
      </c>
      <c r="E384">
        <v>1</v>
      </c>
      <c r="F384">
        <v>1</v>
      </c>
      <c r="G384">
        <v>1</v>
      </c>
      <c r="H384">
        <v>3</v>
      </c>
      <c r="I384" t="s">
        <v>688</v>
      </c>
      <c r="J384" t="s">
        <v>689</v>
      </c>
      <c r="K384" t="s">
        <v>690</v>
      </c>
      <c r="L384">
        <v>1339</v>
      </c>
      <c r="N384">
        <v>1007</v>
      </c>
      <c r="O384" t="s">
        <v>691</v>
      </c>
      <c r="P384" t="s">
        <v>691</v>
      </c>
      <c r="Q384">
        <v>1</v>
      </c>
      <c r="W384">
        <v>0</v>
      </c>
      <c r="X384">
        <v>1262771840</v>
      </c>
      <c r="Y384">
        <v>2.74</v>
      </c>
      <c r="AA384">
        <v>37.82</v>
      </c>
      <c r="AB384">
        <v>0</v>
      </c>
      <c r="AC384">
        <v>0</v>
      </c>
      <c r="AD384">
        <v>0</v>
      </c>
      <c r="AE384">
        <v>6.22</v>
      </c>
      <c r="AF384">
        <v>0</v>
      </c>
      <c r="AG384">
        <v>0</v>
      </c>
      <c r="AH384">
        <v>0</v>
      </c>
      <c r="AI384">
        <v>6.08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224</v>
      </c>
      <c r="AT384">
        <v>2.74</v>
      </c>
      <c r="AU384" t="s">
        <v>224</v>
      </c>
      <c r="AV384">
        <v>0</v>
      </c>
      <c r="AW384">
        <v>2</v>
      </c>
      <c r="AX384">
        <v>16500429</v>
      </c>
      <c r="AY384">
        <v>1</v>
      </c>
      <c r="AZ384">
        <v>0</v>
      </c>
      <c r="BA384">
        <v>407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Y384*Source!I150</f>
        <v>2.7400000000000004E-2</v>
      </c>
      <c r="CY384">
        <f>AA384</f>
        <v>37.82</v>
      </c>
      <c r="CZ384">
        <f>AE384</f>
        <v>6.22</v>
      </c>
      <c r="DA384">
        <f>AI384</f>
        <v>6.08</v>
      </c>
      <c r="DB384">
        <v>0</v>
      </c>
    </row>
    <row r="385" spans="1:106" x14ac:dyDescent="0.2">
      <c r="A385">
        <f>ROW(Source!A151)</f>
        <v>151</v>
      </c>
      <c r="B385">
        <v>16499835</v>
      </c>
      <c r="C385">
        <v>16500432</v>
      </c>
      <c r="D385">
        <v>15430767</v>
      </c>
      <c r="E385">
        <v>1</v>
      </c>
      <c r="F385">
        <v>1</v>
      </c>
      <c r="G385">
        <v>1</v>
      </c>
      <c r="H385">
        <v>1</v>
      </c>
      <c r="I385" t="s">
        <v>9</v>
      </c>
      <c r="J385" t="s">
        <v>224</v>
      </c>
      <c r="K385" t="s">
        <v>10</v>
      </c>
      <c r="L385">
        <v>1191</v>
      </c>
      <c r="N385">
        <v>1013</v>
      </c>
      <c r="O385" t="s">
        <v>628</v>
      </c>
      <c r="P385" t="s">
        <v>628</v>
      </c>
      <c r="Q385">
        <v>1</v>
      </c>
      <c r="W385">
        <v>0</v>
      </c>
      <c r="X385">
        <v>-400197608</v>
      </c>
      <c r="Y385">
        <v>36.71</v>
      </c>
      <c r="AA385">
        <v>0</v>
      </c>
      <c r="AB385">
        <v>0</v>
      </c>
      <c r="AC385">
        <v>0</v>
      </c>
      <c r="AD385">
        <v>8.5299999999999994</v>
      </c>
      <c r="AE385">
        <v>0</v>
      </c>
      <c r="AF385">
        <v>0</v>
      </c>
      <c r="AG385">
        <v>0</v>
      </c>
      <c r="AH385">
        <v>8.5299999999999994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224</v>
      </c>
      <c r="AT385">
        <v>36.71</v>
      </c>
      <c r="AU385" t="s">
        <v>224</v>
      </c>
      <c r="AV385">
        <v>1</v>
      </c>
      <c r="AW385">
        <v>2</v>
      </c>
      <c r="AX385">
        <v>16500433</v>
      </c>
      <c r="AY385">
        <v>1</v>
      </c>
      <c r="AZ385">
        <v>0</v>
      </c>
      <c r="BA385">
        <v>409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Y385*Source!I151</f>
        <v>0.36710000000000004</v>
      </c>
      <c r="CY385">
        <f>AD385</f>
        <v>8.5299999999999994</v>
      </c>
      <c r="CZ385">
        <f>AH385</f>
        <v>8.5299999999999994</v>
      </c>
      <c r="DA385">
        <f>AL385</f>
        <v>1</v>
      </c>
      <c r="DB385">
        <v>0</v>
      </c>
    </row>
    <row r="386" spans="1:106" x14ac:dyDescent="0.2">
      <c r="A386">
        <f>ROW(Source!A151)</f>
        <v>151</v>
      </c>
      <c r="B386">
        <v>16499835</v>
      </c>
      <c r="C386">
        <v>16500432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629</v>
      </c>
      <c r="J386" t="s">
        <v>224</v>
      </c>
      <c r="K386" t="s">
        <v>630</v>
      </c>
      <c r="L386">
        <v>1191</v>
      </c>
      <c r="N386">
        <v>1013</v>
      </c>
      <c r="O386" t="s">
        <v>628</v>
      </c>
      <c r="P386" t="s">
        <v>628</v>
      </c>
      <c r="Q386">
        <v>1</v>
      </c>
      <c r="W386">
        <v>0</v>
      </c>
      <c r="X386">
        <v>-1417349443</v>
      </c>
      <c r="Y386">
        <v>7.0000000000000007E-2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224</v>
      </c>
      <c r="AT386">
        <v>7.0000000000000007E-2</v>
      </c>
      <c r="AU386" t="s">
        <v>224</v>
      </c>
      <c r="AV386">
        <v>2</v>
      </c>
      <c r="AW386">
        <v>2</v>
      </c>
      <c r="AX386">
        <v>16500434</v>
      </c>
      <c r="AY386">
        <v>1</v>
      </c>
      <c r="AZ386">
        <v>0</v>
      </c>
      <c r="BA386">
        <v>410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Y386*Source!I151</f>
        <v>7.000000000000001E-4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">
      <c r="A387">
        <f>ROW(Source!A151)</f>
        <v>151</v>
      </c>
      <c r="B387">
        <v>16499835</v>
      </c>
      <c r="C387">
        <v>16500432</v>
      </c>
      <c r="D387">
        <v>15247974</v>
      </c>
      <c r="E387">
        <v>1</v>
      </c>
      <c r="F387">
        <v>1</v>
      </c>
      <c r="G387">
        <v>1</v>
      </c>
      <c r="H387">
        <v>2</v>
      </c>
      <c r="I387" t="s">
        <v>640</v>
      </c>
      <c r="J387" t="s">
        <v>641</v>
      </c>
      <c r="K387" t="s">
        <v>642</v>
      </c>
      <c r="L387">
        <v>1368</v>
      </c>
      <c r="N387">
        <v>1011</v>
      </c>
      <c r="O387" t="s">
        <v>634</v>
      </c>
      <c r="P387" t="s">
        <v>634</v>
      </c>
      <c r="Q387">
        <v>1</v>
      </c>
      <c r="W387">
        <v>0</v>
      </c>
      <c r="X387">
        <v>1188625873</v>
      </c>
      <c r="Y387">
        <v>7.0000000000000007E-2</v>
      </c>
      <c r="AA387">
        <v>0</v>
      </c>
      <c r="AB387">
        <v>31.26</v>
      </c>
      <c r="AC387">
        <v>13.5</v>
      </c>
      <c r="AD387">
        <v>0</v>
      </c>
      <c r="AE387">
        <v>0</v>
      </c>
      <c r="AF387">
        <v>31.26</v>
      </c>
      <c r="AG387">
        <v>13.5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224</v>
      </c>
      <c r="AT387">
        <v>7.0000000000000007E-2</v>
      </c>
      <c r="AU387" t="s">
        <v>224</v>
      </c>
      <c r="AV387">
        <v>0</v>
      </c>
      <c r="AW387">
        <v>2</v>
      </c>
      <c r="AX387">
        <v>16500435</v>
      </c>
      <c r="AY387">
        <v>1</v>
      </c>
      <c r="AZ387">
        <v>0</v>
      </c>
      <c r="BA387">
        <v>411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Y387*Source!I151</f>
        <v>7.000000000000001E-4</v>
      </c>
      <c r="CY387">
        <f>AB387</f>
        <v>31.26</v>
      </c>
      <c r="CZ387">
        <f>AF387</f>
        <v>31.26</v>
      </c>
      <c r="DA387">
        <f>AJ387</f>
        <v>1</v>
      </c>
      <c r="DB387">
        <v>0</v>
      </c>
    </row>
    <row r="388" spans="1:106" x14ac:dyDescent="0.2">
      <c r="A388">
        <f>ROW(Source!A152)</f>
        <v>152</v>
      </c>
      <c r="B388">
        <v>16499878</v>
      </c>
      <c r="C388">
        <v>16500432</v>
      </c>
      <c r="D388">
        <v>15430767</v>
      </c>
      <c r="E388">
        <v>1</v>
      </c>
      <c r="F388">
        <v>1</v>
      </c>
      <c r="G388">
        <v>1</v>
      </c>
      <c r="H388">
        <v>1</v>
      </c>
      <c r="I388" t="s">
        <v>9</v>
      </c>
      <c r="J388" t="s">
        <v>224</v>
      </c>
      <c r="K388" t="s">
        <v>10</v>
      </c>
      <c r="L388">
        <v>1191</v>
      </c>
      <c r="N388">
        <v>1013</v>
      </c>
      <c r="O388" t="s">
        <v>628</v>
      </c>
      <c r="P388" t="s">
        <v>628</v>
      </c>
      <c r="Q388">
        <v>1</v>
      </c>
      <c r="W388">
        <v>0</v>
      </c>
      <c r="X388">
        <v>-400197608</v>
      </c>
      <c r="Y388">
        <v>36.71</v>
      </c>
      <c r="AA388">
        <v>0</v>
      </c>
      <c r="AB388">
        <v>0</v>
      </c>
      <c r="AC388">
        <v>0</v>
      </c>
      <c r="AD388">
        <v>51.86</v>
      </c>
      <c r="AE388">
        <v>0</v>
      </c>
      <c r="AF388">
        <v>0</v>
      </c>
      <c r="AG388">
        <v>0</v>
      </c>
      <c r="AH388">
        <v>8.5299999999999994</v>
      </c>
      <c r="AI388">
        <v>1</v>
      </c>
      <c r="AJ388">
        <v>1</v>
      </c>
      <c r="AK388">
        <v>1</v>
      </c>
      <c r="AL388">
        <v>6.08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224</v>
      </c>
      <c r="AT388">
        <v>36.71</v>
      </c>
      <c r="AU388" t="s">
        <v>224</v>
      </c>
      <c r="AV388">
        <v>1</v>
      </c>
      <c r="AW388">
        <v>2</v>
      </c>
      <c r="AX388">
        <v>16500433</v>
      </c>
      <c r="AY388">
        <v>1</v>
      </c>
      <c r="AZ388">
        <v>0</v>
      </c>
      <c r="BA388">
        <v>413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Y388*Source!I152</f>
        <v>0.36710000000000004</v>
      </c>
      <c r="CY388">
        <f>AD388</f>
        <v>51.86</v>
      </c>
      <c r="CZ388">
        <f>AH388</f>
        <v>8.5299999999999994</v>
      </c>
      <c r="DA388">
        <f>AL388</f>
        <v>6.08</v>
      </c>
      <c r="DB388">
        <v>0</v>
      </c>
    </row>
    <row r="389" spans="1:106" x14ac:dyDescent="0.2">
      <c r="A389">
        <f>ROW(Source!A152)</f>
        <v>152</v>
      </c>
      <c r="B389">
        <v>16499878</v>
      </c>
      <c r="C389">
        <v>16500432</v>
      </c>
      <c r="D389">
        <v>15430395</v>
      </c>
      <c r="E389">
        <v>1</v>
      </c>
      <c r="F389">
        <v>1</v>
      </c>
      <c r="G389">
        <v>1</v>
      </c>
      <c r="H389">
        <v>1</v>
      </c>
      <c r="I389" t="s">
        <v>629</v>
      </c>
      <c r="J389" t="s">
        <v>224</v>
      </c>
      <c r="K389" t="s">
        <v>630</v>
      </c>
      <c r="L389">
        <v>1191</v>
      </c>
      <c r="N389">
        <v>1013</v>
      </c>
      <c r="O389" t="s">
        <v>628</v>
      </c>
      <c r="P389" t="s">
        <v>628</v>
      </c>
      <c r="Q389">
        <v>1</v>
      </c>
      <c r="W389">
        <v>0</v>
      </c>
      <c r="X389">
        <v>-1417349443</v>
      </c>
      <c r="Y389">
        <v>7.0000000000000007E-2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6.08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224</v>
      </c>
      <c r="AT389">
        <v>7.0000000000000007E-2</v>
      </c>
      <c r="AU389" t="s">
        <v>224</v>
      </c>
      <c r="AV389">
        <v>2</v>
      </c>
      <c r="AW389">
        <v>2</v>
      </c>
      <c r="AX389">
        <v>16500434</v>
      </c>
      <c r="AY389">
        <v>1</v>
      </c>
      <c r="AZ389">
        <v>0</v>
      </c>
      <c r="BA389">
        <v>414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Y389*Source!I152</f>
        <v>7.000000000000001E-4</v>
      </c>
      <c r="CY389">
        <f>AD389</f>
        <v>0</v>
      </c>
      <c r="CZ389">
        <f>AH389</f>
        <v>0</v>
      </c>
      <c r="DA389">
        <f>AL389</f>
        <v>1</v>
      </c>
      <c r="DB389">
        <v>0</v>
      </c>
    </row>
    <row r="390" spans="1:106" x14ac:dyDescent="0.2">
      <c r="A390">
        <f>ROW(Source!A152)</f>
        <v>152</v>
      </c>
      <c r="B390">
        <v>16499878</v>
      </c>
      <c r="C390">
        <v>16500432</v>
      </c>
      <c r="D390">
        <v>15247974</v>
      </c>
      <c r="E390">
        <v>1</v>
      </c>
      <c r="F390">
        <v>1</v>
      </c>
      <c r="G390">
        <v>1</v>
      </c>
      <c r="H390">
        <v>2</v>
      </c>
      <c r="I390" t="s">
        <v>640</v>
      </c>
      <c r="J390" t="s">
        <v>641</v>
      </c>
      <c r="K390" t="s">
        <v>642</v>
      </c>
      <c r="L390">
        <v>1368</v>
      </c>
      <c r="N390">
        <v>1011</v>
      </c>
      <c r="O390" t="s">
        <v>634</v>
      </c>
      <c r="P390" t="s">
        <v>634</v>
      </c>
      <c r="Q390">
        <v>1</v>
      </c>
      <c r="W390">
        <v>0</v>
      </c>
      <c r="X390">
        <v>1188625873</v>
      </c>
      <c r="Y390">
        <v>7.0000000000000007E-2</v>
      </c>
      <c r="AA390">
        <v>0</v>
      </c>
      <c r="AB390">
        <v>190.06</v>
      </c>
      <c r="AC390">
        <v>13.5</v>
      </c>
      <c r="AD390">
        <v>0</v>
      </c>
      <c r="AE390">
        <v>0</v>
      </c>
      <c r="AF390">
        <v>31.26</v>
      </c>
      <c r="AG390">
        <v>13.5</v>
      </c>
      <c r="AH390">
        <v>0</v>
      </c>
      <c r="AI390">
        <v>1</v>
      </c>
      <c r="AJ390">
        <v>6.08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224</v>
      </c>
      <c r="AT390">
        <v>7.0000000000000007E-2</v>
      </c>
      <c r="AU390" t="s">
        <v>224</v>
      </c>
      <c r="AV390">
        <v>0</v>
      </c>
      <c r="AW390">
        <v>2</v>
      </c>
      <c r="AX390">
        <v>16500435</v>
      </c>
      <c r="AY390">
        <v>1</v>
      </c>
      <c r="AZ390">
        <v>0</v>
      </c>
      <c r="BA390">
        <v>415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Y390*Source!I152</f>
        <v>7.000000000000001E-4</v>
      </c>
      <c r="CY390">
        <f>AB390</f>
        <v>190.06</v>
      </c>
      <c r="CZ390">
        <f>AF390</f>
        <v>31.26</v>
      </c>
      <c r="DA390">
        <f>AJ390</f>
        <v>6.08</v>
      </c>
      <c r="DB390">
        <v>0</v>
      </c>
    </row>
    <row r="391" spans="1:106" x14ac:dyDescent="0.2">
      <c r="A391">
        <f>ROW(Source!A153)</f>
        <v>153</v>
      </c>
      <c r="B391">
        <v>16499835</v>
      </c>
      <c r="C391">
        <v>16500438</v>
      </c>
      <c r="D391">
        <v>15430767</v>
      </c>
      <c r="E391">
        <v>1</v>
      </c>
      <c r="F391">
        <v>1</v>
      </c>
      <c r="G391">
        <v>1</v>
      </c>
      <c r="H391">
        <v>1</v>
      </c>
      <c r="I391" t="s">
        <v>9</v>
      </c>
      <c r="J391" t="s">
        <v>224</v>
      </c>
      <c r="K391" t="s">
        <v>10</v>
      </c>
      <c r="L391">
        <v>1191</v>
      </c>
      <c r="N391">
        <v>1013</v>
      </c>
      <c r="O391" t="s">
        <v>628</v>
      </c>
      <c r="P391" t="s">
        <v>628</v>
      </c>
      <c r="Q391">
        <v>1</v>
      </c>
      <c r="W391">
        <v>0</v>
      </c>
      <c r="X391">
        <v>-400197608</v>
      </c>
      <c r="Y391">
        <v>51.3</v>
      </c>
      <c r="AA391">
        <v>0</v>
      </c>
      <c r="AB391">
        <v>0</v>
      </c>
      <c r="AC391">
        <v>0</v>
      </c>
      <c r="AD391">
        <v>8.5299999999999994</v>
      </c>
      <c r="AE391">
        <v>0</v>
      </c>
      <c r="AF391">
        <v>0</v>
      </c>
      <c r="AG391">
        <v>0</v>
      </c>
      <c r="AH391">
        <v>8.5299999999999994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224</v>
      </c>
      <c r="AT391">
        <v>51.3</v>
      </c>
      <c r="AU391" t="s">
        <v>224</v>
      </c>
      <c r="AV391">
        <v>1</v>
      </c>
      <c r="AW391">
        <v>2</v>
      </c>
      <c r="AX391">
        <v>16500439</v>
      </c>
      <c r="AY391">
        <v>1</v>
      </c>
      <c r="AZ391">
        <v>0</v>
      </c>
      <c r="BA391">
        <v>417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Y391*Source!I153</f>
        <v>0.51300000000000001</v>
      </c>
      <c r="CY391">
        <f>AD391</f>
        <v>8.5299999999999994</v>
      </c>
      <c r="CZ391">
        <f>AH391</f>
        <v>8.5299999999999994</v>
      </c>
      <c r="DA391">
        <f>AL391</f>
        <v>1</v>
      </c>
      <c r="DB391">
        <v>0</v>
      </c>
    </row>
    <row r="392" spans="1:106" x14ac:dyDescent="0.2">
      <c r="A392">
        <f>ROW(Source!A153)</f>
        <v>153</v>
      </c>
      <c r="B392">
        <v>16499835</v>
      </c>
      <c r="C392">
        <v>16500438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629</v>
      </c>
      <c r="J392" t="s">
        <v>224</v>
      </c>
      <c r="K392" t="s">
        <v>630</v>
      </c>
      <c r="L392">
        <v>1191</v>
      </c>
      <c r="N392">
        <v>1013</v>
      </c>
      <c r="O392" t="s">
        <v>628</v>
      </c>
      <c r="P392" t="s">
        <v>628</v>
      </c>
      <c r="Q392">
        <v>1</v>
      </c>
      <c r="W392">
        <v>0</v>
      </c>
      <c r="X392">
        <v>-1417349443</v>
      </c>
      <c r="Y392">
        <v>0.26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224</v>
      </c>
      <c r="AT392">
        <v>0.26</v>
      </c>
      <c r="AU392" t="s">
        <v>224</v>
      </c>
      <c r="AV392">
        <v>2</v>
      </c>
      <c r="AW392">
        <v>2</v>
      </c>
      <c r="AX392">
        <v>16500440</v>
      </c>
      <c r="AY392">
        <v>1</v>
      </c>
      <c r="AZ392">
        <v>0</v>
      </c>
      <c r="BA392">
        <v>418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Y392*Source!I153</f>
        <v>2.6000000000000003E-3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ROW(Source!A153)</f>
        <v>153</v>
      </c>
      <c r="B393">
        <v>16499835</v>
      </c>
      <c r="C393">
        <v>16500438</v>
      </c>
      <c r="D393">
        <v>15247974</v>
      </c>
      <c r="E393">
        <v>1</v>
      </c>
      <c r="F393">
        <v>1</v>
      </c>
      <c r="G393">
        <v>1</v>
      </c>
      <c r="H393">
        <v>2</v>
      </c>
      <c r="I393" t="s">
        <v>640</v>
      </c>
      <c r="J393" t="s">
        <v>641</v>
      </c>
      <c r="K393" t="s">
        <v>642</v>
      </c>
      <c r="L393">
        <v>1368</v>
      </c>
      <c r="N393">
        <v>1011</v>
      </c>
      <c r="O393" t="s">
        <v>634</v>
      </c>
      <c r="P393" t="s">
        <v>634</v>
      </c>
      <c r="Q393">
        <v>1</v>
      </c>
      <c r="W393">
        <v>0</v>
      </c>
      <c r="X393">
        <v>1188625873</v>
      </c>
      <c r="Y393">
        <v>0.26</v>
      </c>
      <c r="AA393">
        <v>0</v>
      </c>
      <c r="AB393">
        <v>31.26</v>
      </c>
      <c r="AC393">
        <v>13.5</v>
      </c>
      <c r="AD393">
        <v>0</v>
      </c>
      <c r="AE393">
        <v>0</v>
      </c>
      <c r="AF393">
        <v>31.26</v>
      </c>
      <c r="AG393">
        <v>13.5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224</v>
      </c>
      <c r="AT393">
        <v>0.26</v>
      </c>
      <c r="AU393" t="s">
        <v>224</v>
      </c>
      <c r="AV393">
        <v>0</v>
      </c>
      <c r="AW393">
        <v>2</v>
      </c>
      <c r="AX393">
        <v>16500441</v>
      </c>
      <c r="AY393">
        <v>1</v>
      </c>
      <c r="AZ393">
        <v>0</v>
      </c>
      <c r="BA393">
        <v>419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Y393*Source!I153</f>
        <v>2.6000000000000003E-3</v>
      </c>
      <c r="CY393">
        <f>AB393</f>
        <v>31.26</v>
      </c>
      <c r="CZ393">
        <f>AF393</f>
        <v>31.26</v>
      </c>
      <c r="DA393">
        <f>AJ393</f>
        <v>1</v>
      </c>
      <c r="DB393">
        <v>0</v>
      </c>
    </row>
    <row r="394" spans="1:106" x14ac:dyDescent="0.2">
      <c r="A394">
        <f>ROW(Source!A154)</f>
        <v>154</v>
      </c>
      <c r="B394">
        <v>16499878</v>
      </c>
      <c r="C394">
        <v>16500438</v>
      </c>
      <c r="D394">
        <v>15430767</v>
      </c>
      <c r="E394">
        <v>1</v>
      </c>
      <c r="F394">
        <v>1</v>
      </c>
      <c r="G394">
        <v>1</v>
      </c>
      <c r="H394">
        <v>1</v>
      </c>
      <c r="I394" t="s">
        <v>9</v>
      </c>
      <c r="J394" t="s">
        <v>224</v>
      </c>
      <c r="K394" t="s">
        <v>10</v>
      </c>
      <c r="L394">
        <v>1191</v>
      </c>
      <c r="N394">
        <v>1013</v>
      </c>
      <c r="O394" t="s">
        <v>628</v>
      </c>
      <c r="P394" t="s">
        <v>628</v>
      </c>
      <c r="Q394">
        <v>1</v>
      </c>
      <c r="W394">
        <v>0</v>
      </c>
      <c r="X394">
        <v>-400197608</v>
      </c>
      <c r="Y394">
        <v>51.3</v>
      </c>
      <c r="AA394">
        <v>0</v>
      </c>
      <c r="AB394">
        <v>0</v>
      </c>
      <c r="AC394">
        <v>0</v>
      </c>
      <c r="AD394">
        <v>51.86</v>
      </c>
      <c r="AE394">
        <v>0</v>
      </c>
      <c r="AF394">
        <v>0</v>
      </c>
      <c r="AG394">
        <v>0</v>
      </c>
      <c r="AH394">
        <v>8.5299999999999994</v>
      </c>
      <c r="AI394">
        <v>1</v>
      </c>
      <c r="AJ394">
        <v>1</v>
      </c>
      <c r="AK394">
        <v>1</v>
      </c>
      <c r="AL394">
        <v>6.08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224</v>
      </c>
      <c r="AT394">
        <v>51.3</v>
      </c>
      <c r="AU394" t="s">
        <v>224</v>
      </c>
      <c r="AV394">
        <v>1</v>
      </c>
      <c r="AW394">
        <v>2</v>
      </c>
      <c r="AX394">
        <v>16500439</v>
      </c>
      <c r="AY394">
        <v>1</v>
      </c>
      <c r="AZ394">
        <v>0</v>
      </c>
      <c r="BA394">
        <v>421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Y394*Source!I154</f>
        <v>0.51300000000000001</v>
      </c>
      <c r="CY394">
        <f>AD394</f>
        <v>51.86</v>
      </c>
      <c r="CZ394">
        <f>AH394</f>
        <v>8.5299999999999994</v>
      </c>
      <c r="DA394">
        <f>AL394</f>
        <v>6.08</v>
      </c>
      <c r="DB394">
        <v>0</v>
      </c>
    </row>
    <row r="395" spans="1:106" x14ac:dyDescent="0.2">
      <c r="A395">
        <f>ROW(Source!A154)</f>
        <v>154</v>
      </c>
      <c r="B395">
        <v>16499878</v>
      </c>
      <c r="C395">
        <v>16500438</v>
      </c>
      <c r="D395">
        <v>15430395</v>
      </c>
      <c r="E395">
        <v>1</v>
      </c>
      <c r="F395">
        <v>1</v>
      </c>
      <c r="G395">
        <v>1</v>
      </c>
      <c r="H395">
        <v>1</v>
      </c>
      <c r="I395" t="s">
        <v>629</v>
      </c>
      <c r="J395" t="s">
        <v>224</v>
      </c>
      <c r="K395" t="s">
        <v>630</v>
      </c>
      <c r="L395">
        <v>1191</v>
      </c>
      <c r="N395">
        <v>1013</v>
      </c>
      <c r="O395" t="s">
        <v>628</v>
      </c>
      <c r="P395" t="s">
        <v>628</v>
      </c>
      <c r="Q395">
        <v>1</v>
      </c>
      <c r="W395">
        <v>0</v>
      </c>
      <c r="X395">
        <v>-1417349443</v>
      </c>
      <c r="Y395">
        <v>0.26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6.08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224</v>
      </c>
      <c r="AT395">
        <v>0.26</v>
      </c>
      <c r="AU395" t="s">
        <v>224</v>
      </c>
      <c r="AV395">
        <v>2</v>
      </c>
      <c r="AW395">
        <v>2</v>
      </c>
      <c r="AX395">
        <v>16500440</v>
      </c>
      <c r="AY395">
        <v>1</v>
      </c>
      <c r="AZ395">
        <v>0</v>
      </c>
      <c r="BA395">
        <v>422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Y395*Source!I154</f>
        <v>2.6000000000000003E-3</v>
      </c>
      <c r="CY395">
        <f>AD395</f>
        <v>0</v>
      </c>
      <c r="CZ395">
        <f>AH395</f>
        <v>0</v>
      </c>
      <c r="DA395">
        <f>AL395</f>
        <v>1</v>
      </c>
      <c r="DB395">
        <v>0</v>
      </c>
    </row>
    <row r="396" spans="1:106" x14ac:dyDescent="0.2">
      <c r="A396">
        <f>ROW(Source!A154)</f>
        <v>154</v>
      </c>
      <c r="B396">
        <v>16499878</v>
      </c>
      <c r="C396">
        <v>16500438</v>
      </c>
      <c r="D396">
        <v>15247974</v>
      </c>
      <c r="E396">
        <v>1</v>
      </c>
      <c r="F396">
        <v>1</v>
      </c>
      <c r="G396">
        <v>1</v>
      </c>
      <c r="H396">
        <v>2</v>
      </c>
      <c r="I396" t="s">
        <v>640</v>
      </c>
      <c r="J396" t="s">
        <v>641</v>
      </c>
      <c r="K396" t="s">
        <v>642</v>
      </c>
      <c r="L396">
        <v>1368</v>
      </c>
      <c r="N396">
        <v>1011</v>
      </c>
      <c r="O396" t="s">
        <v>634</v>
      </c>
      <c r="P396" t="s">
        <v>634</v>
      </c>
      <c r="Q396">
        <v>1</v>
      </c>
      <c r="W396">
        <v>0</v>
      </c>
      <c r="X396">
        <v>1188625873</v>
      </c>
      <c r="Y396">
        <v>0.26</v>
      </c>
      <c r="AA396">
        <v>0</v>
      </c>
      <c r="AB396">
        <v>190.06</v>
      </c>
      <c r="AC396">
        <v>13.5</v>
      </c>
      <c r="AD396">
        <v>0</v>
      </c>
      <c r="AE396">
        <v>0</v>
      </c>
      <c r="AF396">
        <v>31.26</v>
      </c>
      <c r="AG396">
        <v>13.5</v>
      </c>
      <c r="AH396">
        <v>0</v>
      </c>
      <c r="AI396">
        <v>1</v>
      </c>
      <c r="AJ396">
        <v>6.08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224</v>
      </c>
      <c r="AT396">
        <v>0.26</v>
      </c>
      <c r="AU396" t="s">
        <v>224</v>
      </c>
      <c r="AV396">
        <v>0</v>
      </c>
      <c r="AW396">
        <v>2</v>
      </c>
      <c r="AX396">
        <v>16500441</v>
      </c>
      <c r="AY396">
        <v>1</v>
      </c>
      <c r="AZ396">
        <v>0</v>
      </c>
      <c r="BA396">
        <v>423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Y396*Source!I154</f>
        <v>2.6000000000000003E-3</v>
      </c>
      <c r="CY396">
        <f>AB396</f>
        <v>190.06</v>
      </c>
      <c r="CZ396">
        <f>AF396</f>
        <v>31.26</v>
      </c>
      <c r="DA396">
        <f>AJ396</f>
        <v>6.08</v>
      </c>
      <c r="DB396">
        <v>0</v>
      </c>
    </row>
    <row r="397" spans="1:106" x14ac:dyDescent="0.2">
      <c r="A397">
        <f>ROW(Source!A155)</f>
        <v>155</v>
      </c>
      <c r="B397">
        <v>16499835</v>
      </c>
      <c r="C397">
        <v>16500444</v>
      </c>
      <c r="D397">
        <v>15432258</v>
      </c>
      <c r="E397">
        <v>1</v>
      </c>
      <c r="F397">
        <v>1</v>
      </c>
      <c r="G397">
        <v>1</v>
      </c>
      <c r="H397">
        <v>1</v>
      </c>
      <c r="I397" t="s">
        <v>32</v>
      </c>
      <c r="J397" t="s">
        <v>224</v>
      </c>
      <c r="K397" t="s">
        <v>33</v>
      </c>
      <c r="L397">
        <v>1191</v>
      </c>
      <c r="N397">
        <v>1013</v>
      </c>
      <c r="O397" t="s">
        <v>628</v>
      </c>
      <c r="P397" t="s">
        <v>628</v>
      </c>
      <c r="Q397">
        <v>1</v>
      </c>
      <c r="W397">
        <v>0</v>
      </c>
      <c r="X397">
        <v>-608433632</v>
      </c>
      <c r="Y397">
        <v>68.8</v>
      </c>
      <c r="AA397">
        <v>0</v>
      </c>
      <c r="AB397">
        <v>0</v>
      </c>
      <c r="AC397">
        <v>0</v>
      </c>
      <c r="AD397">
        <v>8.4600000000000009</v>
      </c>
      <c r="AE397">
        <v>0</v>
      </c>
      <c r="AF397">
        <v>0</v>
      </c>
      <c r="AG397">
        <v>0</v>
      </c>
      <c r="AH397">
        <v>8.4600000000000009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224</v>
      </c>
      <c r="AT397">
        <v>68.8</v>
      </c>
      <c r="AU397" t="s">
        <v>224</v>
      </c>
      <c r="AV397">
        <v>1</v>
      </c>
      <c r="AW397">
        <v>2</v>
      </c>
      <c r="AX397">
        <v>16500445</v>
      </c>
      <c r="AY397">
        <v>1</v>
      </c>
      <c r="AZ397">
        <v>0</v>
      </c>
      <c r="BA397">
        <v>425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Y397*Source!I155</f>
        <v>0.68799999999999994</v>
      </c>
      <c r="CY397">
        <f>AD397</f>
        <v>8.4600000000000009</v>
      </c>
      <c r="CZ397">
        <f>AH397</f>
        <v>8.4600000000000009</v>
      </c>
      <c r="DA397">
        <f>AL397</f>
        <v>1</v>
      </c>
      <c r="DB397">
        <v>0</v>
      </c>
    </row>
    <row r="398" spans="1:106" x14ac:dyDescent="0.2">
      <c r="A398">
        <f>ROW(Source!A155)</f>
        <v>155</v>
      </c>
      <c r="B398">
        <v>16499835</v>
      </c>
      <c r="C398">
        <v>16500444</v>
      </c>
      <c r="D398">
        <v>15430395</v>
      </c>
      <c r="E398">
        <v>1</v>
      </c>
      <c r="F398">
        <v>1</v>
      </c>
      <c r="G398">
        <v>1</v>
      </c>
      <c r="H398">
        <v>1</v>
      </c>
      <c r="I398" t="s">
        <v>629</v>
      </c>
      <c r="J398" t="s">
        <v>224</v>
      </c>
      <c r="K398" t="s">
        <v>630</v>
      </c>
      <c r="L398">
        <v>1191</v>
      </c>
      <c r="N398">
        <v>1013</v>
      </c>
      <c r="O398" t="s">
        <v>628</v>
      </c>
      <c r="P398" t="s">
        <v>628</v>
      </c>
      <c r="Q398">
        <v>1</v>
      </c>
      <c r="W398">
        <v>0</v>
      </c>
      <c r="X398">
        <v>-1417349443</v>
      </c>
      <c r="Y398">
        <v>0.16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224</v>
      </c>
      <c r="AT398">
        <v>0.16</v>
      </c>
      <c r="AU398" t="s">
        <v>224</v>
      </c>
      <c r="AV398">
        <v>2</v>
      </c>
      <c r="AW398">
        <v>2</v>
      </c>
      <c r="AX398">
        <v>16500446</v>
      </c>
      <c r="AY398">
        <v>1</v>
      </c>
      <c r="AZ398">
        <v>0</v>
      </c>
      <c r="BA398">
        <v>426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Y398*Source!I155</f>
        <v>1.6000000000000001E-3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ROW(Source!A155)</f>
        <v>155</v>
      </c>
      <c r="B399">
        <v>16499835</v>
      </c>
      <c r="C399">
        <v>16500444</v>
      </c>
      <c r="D399">
        <v>15247974</v>
      </c>
      <c r="E399">
        <v>1</v>
      </c>
      <c r="F399">
        <v>1</v>
      </c>
      <c r="G399">
        <v>1</v>
      </c>
      <c r="H399">
        <v>2</v>
      </c>
      <c r="I399" t="s">
        <v>640</v>
      </c>
      <c r="J399" t="s">
        <v>641</v>
      </c>
      <c r="K399" t="s">
        <v>642</v>
      </c>
      <c r="L399">
        <v>1368</v>
      </c>
      <c r="N399">
        <v>1011</v>
      </c>
      <c r="O399" t="s">
        <v>634</v>
      </c>
      <c r="P399" t="s">
        <v>634</v>
      </c>
      <c r="Q399">
        <v>1</v>
      </c>
      <c r="W399">
        <v>0</v>
      </c>
      <c r="X399">
        <v>1188625873</v>
      </c>
      <c r="Y399">
        <v>0.16</v>
      </c>
      <c r="AA399">
        <v>0</v>
      </c>
      <c r="AB399">
        <v>31.26</v>
      </c>
      <c r="AC399">
        <v>13.5</v>
      </c>
      <c r="AD399">
        <v>0</v>
      </c>
      <c r="AE399">
        <v>0</v>
      </c>
      <c r="AF399">
        <v>31.26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224</v>
      </c>
      <c r="AT399">
        <v>0.16</v>
      </c>
      <c r="AU399" t="s">
        <v>224</v>
      </c>
      <c r="AV399">
        <v>0</v>
      </c>
      <c r="AW399">
        <v>2</v>
      </c>
      <c r="AX399">
        <v>16500447</v>
      </c>
      <c r="AY399">
        <v>1</v>
      </c>
      <c r="AZ399">
        <v>0</v>
      </c>
      <c r="BA399">
        <v>427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Y399*Source!I155</f>
        <v>1.6000000000000001E-3</v>
      </c>
      <c r="CY399">
        <f>AB399</f>
        <v>31.26</v>
      </c>
      <c r="CZ399">
        <f>AF399</f>
        <v>31.26</v>
      </c>
      <c r="DA399">
        <f>AJ399</f>
        <v>1</v>
      </c>
      <c r="DB399">
        <v>0</v>
      </c>
    </row>
    <row r="400" spans="1:106" x14ac:dyDescent="0.2">
      <c r="A400">
        <f>ROW(Source!A156)</f>
        <v>156</v>
      </c>
      <c r="B400">
        <v>16499878</v>
      </c>
      <c r="C400">
        <v>16500444</v>
      </c>
      <c r="D400">
        <v>15432258</v>
      </c>
      <c r="E400">
        <v>1</v>
      </c>
      <c r="F400">
        <v>1</v>
      </c>
      <c r="G400">
        <v>1</v>
      </c>
      <c r="H400">
        <v>1</v>
      </c>
      <c r="I400" t="s">
        <v>32</v>
      </c>
      <c r="J400" t="s">
        <v>224</v>
      </c>
      <c r="K400" t="s">
        <v>33</v>
      </c>
      <c r="L400">
        <v>1191</v>
      </c>
      <c r="N400">
        <v>1013</v>
      </c>
      <c r="O400" t="s">
        <v>628</v>
      </c>
      <c r="P400" t="s">
        <v>628</v>
      </c>
      <c r="Q400">
        <v>1</v>
      </c>
      <c r="W400">
        <v>0</v>
      </c>
      <c r="X400">
        <v>-608433632</v>
      </c>
      <c r="Y400">
        <v>68.8</v>
      </c>
      <c r="AA400">
        <v>0</v>
      </c>
      <c r="AB400">
        <v>0</v>
      </c>
      <c r="AC400">
        <v>0</v>
      </c>
      <c r="AD400">
        <v>51.44</v>
      </c>
      <c r="AE400">
        <v>0</v>
      </c>
      <c r="AF400">
        <v>0</v>
      </c>
      <c r="AG400">
        <v>0</v>
      </c>
      <c r="AH400">
        <v>8.4600000000000009</v>
      </c>
      <c r="AI400">
        <v>1</v>
      </c>
      <c r="AJ400">
        <v>1</v>
      </c>
      <c r="AK400">
        <v>1</v>
      </c>
      <c r="AL400">
        <v>6.08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224</v>
      </c>
      <c r="AT400">
        <v>68.8</v>
      </c>
      <c r="AU400" t="s">
        <v>224</v>
      </c>
      <c r="AV400">
        <v>1</v>
      </c>
      <c r="AW400">
        <v>2</v>
      </c>
      <c r="AX400">
        <v>16500445</v>
      </c>
      <c r="AY400">
        <v>1</v>
      </c>
      <c r="AZ400">
        <v>0</v>
      </c>
      <c r="BA400">
        <v>429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Y400*Source!I156</f>
        <v>0.68799999999999994</v>
      </c>
      <c r="CY400">
        <f>AD400</f>
        <v>51.44</v>
      </c>
      <c r="CZ400">
        <f>AH400</f>
        <v>8.4600000000000009</v>
      </c>
      <c r="DA400">
        <f>AL400</f>
        <v>6.08</v>
      </c>
      <c r="DB400">
        <v>0</v>
      </c>
    </row>
    <row r="401" spans="1:106" x14ac:dyDescent="0.2">
      <c r="A401">
        <f>ROW(Source!A156)</f>
        <v>156</v>
      </c>
      <c r="B401">
        <v>16499878</v>
      </c>
      <c r="C401">
        <v>16500444</v>
      </c>
      <c r="D401">
        <v>15430395</v>
      </c>
      <c r="E401">
        <v>1</v>
      </c>
      <c r="F401">
        <v>1</v>
      </c>
      <c r="G401">
        <v>1</v>
      </c>
      <c r="H401">
        <v>1</v>
      </c>
      <c r="I401" t="s">
        <v>629</v>
      </c>
      <c r="J401" t="s">
        <v>224</v>
      </c>
      <c r="K401" t="s">
        <v>630</v>
      </c>
      <c r="L401">
        <v>1191</v>
      </c>
      <c r="N401">
        <v>1013</v>
      </c>
      <c r="O401" t="s">
        <v>628</v>
      </c>
      <c r="P401" t="s">
        <v>628</v>
      </c>
      <c r="Q401">
        <v>1</v>
      </c>
      <c r="W401">
        <v>0</v>
      </c>
      <c r="X401">
        <v>-1417349443</v>
      </c>
      <c r="Y401">
        <v>0.16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6.08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224</v>
      </c>
      <c r="AT401">
        <v>0.16</v>
      </c>
      <c r="AU401" t="s">
        <v>224</v>
      </c>
      <c r="AV401">
        <v>2</v>
      </c>
      <c r="AW401">
        <v>2</v>
      </c>
      <c r="AX401">
        <v>16500446</v>
      </c>
      <c r="AY401">
        <v>1</v>
      </c>
      <c r="AZ401">
        <v>0</v>
      </c>
      <c r="BA401">
        <v>430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Y401*Source!I156</f>
        <v>1.6000000000000001E-3</v>
      </c>
      <c r="CY401">
        <f>AD401</f>
        <v>0</v>
      </c>
      <c r="CZ401">
        <f>AH401</f>
        <v>0</v>
      </c>
      <c r="DA401">
        <f>AL401</f>
        <v>1</v>
      </c>
      <c r="DB401">
        <v>0</v>
      </c>
    </row>
    <row r="402" spans="1:106" x14ac:dyDescent="0.2">
      <c r="A402">
        <f>ROW(Source!A156)</f>
        <v>156</v>
      </c>
      <c r="B402">
        <v>16499878</v>
      </c>
      <c r="C402">
        <v>16500444</v>
      </c>
      <c r="D402">
        <v>15247974</v>
      </c>
      <c r="E402">
        <v>1</v>
      </c>
      <c r="F402">
        <v>1</v>
      </c>
      <c r="G402">
        <v>1</v>
      </c>
      <c r="H402">
        <v>2</v>
      </c>
      <c r="I402" t="s">
        <v>640</v>
      </c>
      <c r="J402" t="s">
        <v>641</v>
      </c>
      <c r="K402" t="s">
        <v>642</v>
      </c>
      <c r="L402">
        <v>1368</v>
      </c>
      <c r="N402">
        <v>1011</v>
      </c>
      <c r="O402" t="s">
        <v>634</v>
      </c>
      <c r="P402" t="s">
        <v>634</v>
      </c>
      <c r="Q402">
        <v>1</v>
      </c>
      <c r="W402">
        <v>0</v>
      </c>
      <c r="X402">
        <v>1188625873</v>
      </c>
      <c r="Y402">
        <v>0.16</v>
      </c>
      <c r="AA402">
        <v>0</v>
      </c>
      <c r="AB402">
        <v>190.06</v>
      </c>
      <c r="AC402">
        <v>13.5</v>
      </c>
      <c r="AD402">
        <v>0</v>
      </c>
      <c r="AE402">
        <v>0</v>
      </c>
      <c r="AF402">
        <v>31.26</v>
      </c>
      <c r="AG402">
        <v>13.5</v>
      </c>
      <c r="AH402">
        <v>0</v>
      </c>
      <c r="AI402">
        <v>1</v>
      </c>
      <c r="AJ402">
        <v>6.08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224</v>
      </c>
      <c r="AT402">
        <v>0.16</v>
      </c>
      <c r="AU402" t="s">
        <v>224</v>
      </c>
      <c r="AV402">
        <v>0</v>
      </c>
      <c r="AW402">
        <v>2</v>
      </c>
      <c r="AX402">
        <v>16500447</v>
      </c>
      <c r="AY402">
        <v>1</v>
      </c>
      <c r="AZ402">
        <v>0</v>
      </c>
      <c r="BA402">
        <v>431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Y402*Source!I156</f>
        <v>1.6000000000000001E-3</v>
      </c>
      <c r="CY402">
        <f>AB402</f>
        <v>190.06</v>
      </c>
      <c r="CZ402">
        <f>AF402</f>
        <v>31.26</v>
      </c>
      <c r="DA402">
        <f>AJ402</f>
        <v>6.08</v>
      </c>
      <c r="DB402">
        <v>0</v>
      </c>
    </row>
    <row r="403" spans="1:106" x14ac:dyDescent="0.2">
      <c r="A403">
        <f>ROW(Source!A157)</f>
        <v>157</v>
      </c>
      <c r="B403">
        <v>16499835</v>
      </c>
      <c r="C403">
        <v>16500450</v>
      </c>
      <c r="D403">
        <v>15436556</v>
      </c>
      <c r="E403">
        <v>1</v>
      </c>
      <c r="F403">
        <v>1</v>
      </c>
      <c r="G403">
        <v>1</v>
      </c>
      <c r="H403">
        <v>1</v>
      </c>
      <c r="I403" t="s">
        <v>726</v>
      </c>
      <c r="J403" t="s">
        <v>224</v>
      </c>
      <c r="K403" t="s">
        <v>727</v>
      </c>
      <c r="L403">
        <v>1191</v>
      </c>
      <c r="N403">
        <v>1013</v>
      </c>
      <c r="O403" t="s">
        <v>628</v>
      </c>
      <c r="P403" t="s">
        <v>628</v>
      </c>
      <c r="Q403">
        <v>1</v>
      </c>
      <c r="W403">
        <v>0</v>
      </c>
      <c r="X403">
        <v>1069510174</v>
      </c>
      <c r="Y403">
        <v>37.915499999999994</v>
      </c>
      <c r="AA403">
        <v>0</v>
      </c>
      <c r="AB403">
        <v>0</v>
      </c>
      <c r="AC403">
        <v>0</v>
      </c>
      <c r="AD403">
        <v>9.6199999999999992</v>
      </c>
      <c r="AE403">
        <v>0</v>
      </c>
      <c r="AF403">
        <v>0</v>
      </c>
      <c r="AG403">
        <v>0</v>
      </c>
      <c r="AH403">
        <v>9.6199999999999992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224</v>
      </c>
      <c r="AT403">
        <v>32.97</v>
      </c>
      <c r="AU403" t="s">
        <v>240</v>
      </c>
      <c r="AV403">
        <v>1</v>
      </c>
      <c r="AW403">
        <v>2</v>
      </c>
      <c r="AX403">
        <v>16500451</v>
      </c>
      <c r="AY403">
        <v>1</v>
      </c>
      <c r="AZ403">
        <v>0</v>
      </c>
      <c r="BA403">
        <v>433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Y403*Source!I157</f>
        <v>0.37915499999999996</v>
      </c>
      <c r="CY403">
        <f>AD403</f>
        <v>9.6199999999999992</v>
      </c>
      <c r="CZ403">
        <f>AH403</f>
        <v>9.6199999999999992</v>
      </c>
      <c r="DA403">
        <f>AL403</f>
        <v>1</v>
      </c>
      <c r="DB403">
        <v>0</v>
      </c>
    </row>
    <row r="404" spans="1:106" x14ac:dyDescent="0.2">
      <c r="A404">
        <f>ROW(Source!A157)</f>
        <v>157</v>
      </c>
      <c r="B404">
        <v>16499835</v>
      </c>
      <c r="C404">
        <v>16500450</v>
      </c>
      <c r="D404">
        <v>15430395</v>
      </c>
      <c r="E404">
        <v>1</v>
      </c>
      <c r="F404">
        <v>1</v>
      </c>
      <c r="G404">
        <v>1</v>
      </c>
      <c r="H404">
        <v>1</v>
      </c>
      <c r="I404" t="s">
        <v>629</v>
      </c>
      <c r="J404" t="s">
        <v>224</v>
      </c>
      <c r="K404" t="s">
        <v>630</v>
      </c>
      <c r="L404">
        <v>1191</v>
      </c>
      <c r="N404">
        <v>1013</v>
      </c>
      <c r="O404" t="s">
        <v>628</v>
      </c>
      <c r="P404" t="s">
        <v>628</v>
      </c>
      <c r="Q404">
        <v>1</v>
      </c>
      <c r="W404">
        <v>0</v>
      </c>
      <c r="X404">
        <v>-1417349443</v>
      </c>
      <c r="Y404">
        <v>0.5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224</v>
      </c>
      <c r="AT404">
        <v>0.5</v>
      </c>
      <c r="AU404" t="s">
        <v>224</v>
      </c>
      <c r="AV404">
        <v>2</v>
      </c>
      <c r="AW404">
        <v>2</v>
      </c>
      <c r="AX404">
        <v>16500452</v>
      </c>
      <c r="AY404">
        <v>1</v>
      </c>
      <c r="AZ404">
        <v>2048</v>
      </c>
      <c r="BA404">
        <v>434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Y404*Source!I157</f>
        <v>5.0000000000000001E-3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ROW(Source!A157)</f>
        <v>157</v>
      </c>
      <c r="B405">
        <v>16499835</v>
      </c>
      <c r="C405">
        <v>16500450</v>
      </c>
      <c r="D405">
        <v>15247578</v>
      </c>
      <c r="E405">
        <v>1</v>
      </c>
      <c r="F405">
        <v>1</v>
      </c>
      <c r="G405">
        <v>1</v>
      </c>
      <c r="H405">
        <v>2</v>
      </c>
      <c r="I405" t="s">
        <v>11</v>
      </c>
      <c r="J405" t="s">
        <v>12</v>
      </c>
      <c r="K405" t="s">
        <v>13</v>
      </c>
      <c r="L405">
        <v>1368</v>
      </c>
      <c r="N405">
        <v>1011</v>
      </c>
      <c r="O405" t="s">
        <v>634</v>
      </c>
      <c r="P405" t="s">
        <v>634</v>
      </c>
      <c r="Q405">
        <v>1</v>
      </c>
      <c r="W405">
        <v>0</v>
      </c>
      <c r="X405">
        <v>-1460065968</v>
      </c>
      <c r="Y405">
        <v>0.1</v>
      </c>
      <c r="AA405">
        <v>0</v>
      </c>
      <c r="AB405">
        <v>86.4</v>
      </c>
      <c r="AC405">
        <v>13.5</v>
      </c>
      <c r="AD405">
        <v>0</v>
      </c>
      <c r="AE405">
        <v>0</v>
      </c>
      <c r="AF405">
        <v>86.4</v>
      </c>
      <c r="AG405">
        <v>13.5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224</v>
      </c>
      <c r="AT405">
        <v>0.08</v>
      </c>
      <c r="AU405" t="s">
        <v>239</v>
      </c>
      <c r="AV405">
        <v>0</v>
      </c>
      <c r="AW405">
        <v>2</v>
      </c>
      <c r="AX405">
        <v>16500453</v>
      </c>
      <c r="AY405">
        <v>1</v>
      </c>
      <c r="AZ405">
        <v>0</v>
      </c>
      <c r="BA405">
        <v>435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Y405*Source!I157</f>
        <v>1E-3</v>
      </c>
      <c r="CY405">
        <f>AB405</f>
        <v>86.4</v>
      </c>
      <c r="CZ405">
        <f>AF405</f>
        <v>86.4</v>
      </c>
      <c r="DA405">
        <f>AJ405</f>
        <v>1</v>
      </c>
      <c r="DB405">
        <v>0</v>
      </c>
    </row>
    <row r="406" spans="1:106" x14ac:dyDescent="0.2">
      <c r="A406">
        <f>ROW(Source!A157)</f>
        <v>157</v>
      </c>
      <c r="B406">
        <v>16499835</v>
      </c>
      <c r="C406">
        <v>16500450</v>
      </c>
      <c r="D406">
        <v>15247680</v>
      </c>
      <c r="E406">
        <v>1</v>
      </c>
      <c r="F406">
        <v>1</v>
      </c>
      <c r="G406">
        <v>1</v>
      </c>
      <c r="H406">
        <v>2</v>
      </c>
      <c r="I406" t="s">
        <v>670</v>
      </c>
      <c r="J406" t="s">
        <v>671</v>
      </c>
      <c r="K406" t="s">
        <v>672</v>
      </c>
      <c r="L406">
        <v>1368</v>
      </c>
      <c r="N406">
        <v>1011</v>
      </c>
      <c r="O406" t="s">
        <v>634</v>
      </c>
      <c r="P406" t="s">
        <v>634</v>
      </c>
      <c r="Q406">
        <v>1</v>
      </c>
      <c r="W406">
        <v>0</v>
      </c>
      <c r="X406">
        <v>-1718674368</v>
      </c>
      <c r="Y406">
        <v>8.7500000000000008E-2</v>
      </c>
      <c r="AA406">
        <v>0</v>
      </c>
      <c r="AB406">
        <v>111.99</v>
      </c>
      <c r="AC406">
        <v>13.5</v>
      </c>
      <c r="AD406">
        <v>0</v>
      </c>
      <c r="AE406">
        <v>0</v>
      </c>
      <c r="AF406">
        <v>111.99</v>
      </c>
      <c r="AG406">
        <v>13.5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224</v>
      </c>
      <c r="AT406">
        <v>7.0000000000000007E-2</v>
      </c>
      <c r="AU406" t="s">
        <v>239</v>
      </c>
      <c r="AV406">
        <v>0</v>
      </c>
      <c r="AW406">
        <v>2</v>
      </c>
      <c r="AX406">
        <v>16500454</v>
      </c>
      <c r="AY406">
        <v>1</v>
      </c>
      <c r="AZ406">
        <v>0</v>
      </c>
      <c r="BA406">
        <v>436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Y406*Source!I157</f>
        <v>8.7500000000000013E-4</v>
      </c>
      <c r="CY406">
        <f>AB406</f>
        <v>111.99</v>
      </c>
      <c r="CZ406">
        <f>AF406</f>
        <v>111.99</v>
      </c>
      <c r="DA406">
        <f>AJ406</f>
        <v>1</v>
      </c>
      <c r="DB406">
        <v>0</v>
      </c>
    </row>
    <row r="407" spans="1:106" x14ac:dyDescent="0.2">
      <c r="A407">
        <f>ROW(Source!A157)</f>
        <v>157</v>
      </c>
      <c r="B407">
        <v>16499835</v>
      </c>
      <c r="C407">
        <v>16500450</v>
      </c>
      <c r="D407">
        <v>15249073</v>
      </c>
      <c r="E407">
        <v>1</v>
      </c>
      <c r="F407">
        <v>1</v>
      </c>
      <c r="G407">
        <v>1</v>
      </c>
      <c r="H407">
        <v>2</v>
      </c>
      <c r="I407" t="s">
        <v>631</v>
      </c>
      <c r="J407" t="s">
        <v>632</v>
      </c>
      <c r="K407" t="s">
        <v>633</v>
      </c>
      <c r="L407">
        <v>1368</v>
      </c>
      <c r="N407">
        <v>1011</v>
      </c>
      <c r="O407" t="s">
        <v>634</v>
      </c>
      <c r="P407" t="s">
        <v>634</v>
      </c>
      <c r="Q407">
        <v>1</v>
      </c>
      <c r="W407">
        <v>0</v>
      </c>
      <c r="X407">
        <v>1372534845</v>
      </c>
      <c r="Y407">
        <v>0.4375</v>
      </c>
      <c r="AA407">
        <v>0</v>
      </c>
      <c r="AB407">
        <v>65.709999999999994</v>
      </c>
      <c r="AC407">
        <v>11.6</v>
      </c>
      <c r="AD407">
        <v>0</v>
      </c>
      <c r="AE407">
        <v>0</v>
      </c>
      <c r="AF407">
        <v>65.709999999999994</v>
      </c>
      <c r="AG407">
        <v>11.6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224</v>
      </c>
      <c r="AT407">
        <v>0.35</v>
      </c>
      <c r="AU407" t="s">
        <v>239</v>
      </c>
      <c r="AV407">
        <v>0</v>
      </c>
      <c r="AW407">
        <v>2</v>
      </c>
      <c r="AX407">
        <v>16500455</v>
      </c>
      <c r="AY407">
        <v>1</v>
      </c>
      <c r="AZ407">
        <v>0</v>
      </c>
      <c r="BA407">
        <v>437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Y407*Source!I157</f>
        <v>4.3750000000000004E-3</v>
      </c>
      <c r="CY407">
        <f>AB407</f>
        <v>65.709999999999994</v>
      </c>
      <c r="CZ407">
        <f>AF407</f>
        <v>65.709999999999994</v>
      </c>
      <c r="DA407">
        <f>AJ407</f>
        <v>1</v>
      </c>
      <c r="DB407">
        <v>0</v>
      </c>
    </row>
    <row r="408" spans="1:106" x14ac:dyDescent="0.2">
      <c r="A408">
        <f>ROW(Source!A157)</f>
        <v>157</v>
      </c>
      <c r="B408">
        <v>16499835</v>
      </c>
      <c r="C408">
        <v>16500450</v>
      </c>
      <c r="D408">
        <v>15249308</v>
      </c>
      <c r="E408">
        <v>1</v>
      </c>
      <c r="F408">
        <v>1</v>
      </c>
      <c r="G408">
        <v>1</v>
      </c>
      <c r="H408">
        <v>2</v>
      </c>
      <c r="I408" t="s">
        <v>682</v>
      </c>
      <c r="J408" t="s">
        <v>683</v>
      </c>
      <c r="K408" t="s">
        <v>684</v>
      </c>
      <c r="L408">
        <v>1368</v>
      </c>
      <c r="N408">
        <v>1011</v>
      </c>
      <c r="O408" t="s">
        <v>634</v>
      </c>
      <c r="P408" t="s">
        <v>634</v>
      </c>
      <c r="Q408">
        <v>1</v>
      </c>
      <c r="W408">
        <v>0</v>
      </c>
      <c r="X408">
        <v>792402865</v>
      </c>
      <c r="Y408">
        <v>1.4375</v>
      </c>
      <c r="AA408">
        <v>0</v>
      </c>
      <c r="AB408">
        <v>1.2</v>
      </c>
      <c r="AC408">
        <v>0</v>
      </c>
      <c r="AD408">
        <v>0</v>
      </c>
      <c r="AE408">
        <v>0</v>
      </c>
      <c r="AF408">
        <v>1.2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224</v>
      </c>
      <c r="AT408">
        <v>1.1499999999999999</v>
      </c>
      <c r="AU408" t="s">
        <v>239</v>
      </c>
      <c r="AV408">
        <v>0</v>
      </c>
      <c r="AW408">
        <v>2</v>
      </c>
      <c r="AX408">
        <v>16500456</v>
      </c>
      <c r="AY408">
        <v>1</v>
      </c>
      <c r="AZ408">
        <v>0</v>
      </c>
      <c r="BA408">
        <v>438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Y408*Source!I157</f>
        <v>1.4375000000000001E-2</v>
      </c>
      <c r="CY408">
        <f>AB408</f>
        <v>1.2</v>
      </c>
      <c r="CZ408">
        <f>AF408</f>
        <v>1.2</v>
      </c>
      <c r="DA408">
        <f>AJ408</f>
        <v>1</v>
      </c>
      <c r="DB408">
        <v>0</v>
      </c>
    </row>
    <row r="409" spans="1:106" x14ac:dyDescent="0.2">
      <c r="A409">
        <f>ROW(Source!A157)</f>
        <v>157</v>
      </c>
      <c r="B409">
        <v>16499835</v>
      </c>
      <c r="C409">
        <v>16500450</v>
      </c>
      <c r="D409">
        <v>15165635</v>
      </c>
      <c r="E409">
        <v>1</v>
      </c>
      <c r="F409">
        <v>1</v>
      </c>
      <c r="G409">
        <v>1</v>
      </c>
      <c r="H409">
        <v>3</v>
      </c>
      <c r="I409" t="s">
        <v>34</v>
      </c>
      <c r="J409" t="s">
        <v>35</v>
      </c>
      <c r="K409" t="s">
        <v>36</v>
      </c>
      <c r="L409">
        <v>1348</v>
      </c>
      <c r="N409">
        <v>1009</v>
      </c>
      <c r="O409" t="s">
        <v>288</v>
      </c>
      <c r="P409" t="s">
        <v>288</v>
      </c>
      <c r="Q409">
        <v>1000</v>
      </c>
      <c r="W409">
        <v>0</v>
      </c>
      <c r="X409">
        <v>993149205</v>
      </c>
      <c r="Y409">
        <v>1.2999999999999999E-4</v>
      </c>
      <c r="AA409">
        <v>32830</v>
      </c>
      <c r="AB409">
        <v>0</v>
      </c>
      <c r="AC409">
        <v>0</v>
      </c>
      <c r="AD409">
        <v>0</v>
      </c>
      <c r="AE409">
        <v>32830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224</v>
      </c>
      <c r="AT409">
        <v>1.2999999999999999E-4</v>
      </c>
      <c r="AU409" t="s">
        <v>224</v>
      </c>
      <c r="AV409">
        <v>0</v>
      </c>
      <c r="AW409">
        <v>2</v>
      </c>
      <c r="AX409">
        <v>16500457</v>
      </c>
      <c r="AY409">
        <v>1</v>
      </c>
      <c r="AZ409">
        <v>0</v>
      </c>
      <c r="BA409">
        <v>439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Y409*Source!I157</f>
        <v>1.2999999999999998E-6</v>
      </c>
      <c r="CY409">
        <f t="shared" ref="CY409:CY417" si="60">AA409</f>
        <v>32830</v>
      </c>
      <c r="CZ409">
        <f t="shared" ref="CZ409:CZ417" si="61">AE409</f>
        <v>32830</v>
      </c>
      <c r="DA409">
        <f t="shared" ref="DA409:DA417" si="62">AI409</f>
        <v>1</v>
      </c>
      <c r="DB409">
        <v>0</v>
      </c>
    </row>
    <row r="410" spans="1:106" x14ac:dyDescent="0.2">
      <c r="A410">
        <f>ROW(Source!A157)</f>
        <v>157</v>
      </c>
      <c r="B410">
        <v>16499835</v>
      </c>
      <c r="C410">
        <v>16500450</v>
      </c>
      <c r="D410">
        <v>15165653</v>
      </c>
      <c r="E410">
        <v>1</v>
      </c>
      <c r="F410">
        <v>1</v>
      </c>
      <c r="G410">
        <v>1</v>
      </c>
      <c r="H410">
        <v>3</v>
      </c>
      <c r="I410" t="s">
        <v>688</v>
      </c>
      <c r="J410" t="s">
        <v>689</v>
      </c>
      <c r="K410" t="s">
        <v>690</v>
      </c>
      <c r="L410">
        <v>1339</v>
      </c>
      <c r="N410">
        <v>1007</v>
      </c>
      <c r="O410" t="s">
        <v>691</v>
      </c>
      <c r="P410" t="s">
        <v>691</v>
      </c>
      <c r="Q410">
        <v>1</v>
      </c>
      <c r="W410">
        <v>0</v>
      </c>
      <c r="X410">
        <v>1262771840</v>
      </c>
      <c r="Y410">
        <v>0.28100000000000003</v>
      </c>
      <c r="AA410">
        <v>6.22</v>
      </c>
      <c r="AB410">
        <v>0</v>
      </c>
      <c r="AC410">
        <v>0</v>
      </c>
      <c r="AD410">
        <v>0</v>
      </c>
      <c r="AE410">
        <v>6.22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224</v>
      </c>
      <c r="AT410">
        <v>0.28100000000000003</v>
      </c>
      <c r="AU410" t="s">
        <v>224</v>
      </c>
      <c r="AV410">
        <v>0</v>
      </c>
      <c r="AW410">
        <v>2</v>
      </c>
      <c r="AX410">
        <v>16500458</v>
      </c>
      <c r="AY410">
        <v>1</v>
      </c>
      <c r="AZ410">
        <v>0</v>
      </c>
      <c r="BA410">
        <v>440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Y410*Source!I157</f>
        <v>2.8100000000000004E-3</v>
      </c>
      <c r="CY410">
        <f t="shared" si="60"/>
        <v>6.22</v>
      </c>
      <c r="CZ410">
        <f t="shared" si="61"/>
        <v>6.22</v>
      </c>
      <c r="DA410">
        <f t="shared" si="62"/>
        <v>1</v>
      </c>
      <c r="DB410">
        <v>0</v>
      </c>
    </row>
    <row r="411" spans="1:106" x14ac:dyDescent="0.2">
      <c r="A411">
        <f>ROW(Source!A157)</f>
        <v>157</v>
      </c>
      <c r="B411">
        <v>16499835</v>
      </c>
      <c r="C411">
        <v>16500450</v>
      </c>
      <c r="D411">
        <v>15167286</v>
      </c>
      <c r="E411">
        <v>1</v>
      </c>
      <c r="F411">
        <v>1</v>
      </c>
      <c r="G411">
        <v>1</v>
      </c>
      <c r="H411">
        <v>3</v>
      </c>
      <c r="I411" t="s">
        <v>778</v>
      </c>
      <c r="J411" t="s">
        <v>779</v>
      </c>
      <c r="K411" t="s">
        <v>780</v>
      </c>
      <c r="L411">
        <v>1339</v>
      </c>
      <c r="N411">
        <v>1007</v>
      </c>
      <c r="O411" t="s">
        <v>691</v>
      </c>
      <c r="P411" t="s">
        <v>691</v>
      </c>
      <c r="Q411">
        <v>1</v>
      </c>
      <c r="W411">
        <v>0</v>
      </c>
      <c r="X411">
        <v>-1660354250</v>
      </c>
      <c r="Y411">
        <v>0.44</v>
      </c>
      <c r="AA411">
        <v>2.44</v>
      </c>
      <c r="AB411">
        <v>0</v>
      </c>
      <c r="AC411">
        <v>0</v>
      </c>
      <c r="AD411">
        <v>0</v>
      </c>
      <c r="AE411">
        <v>2.44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224</v>
      </c>
      <c r="AT411">
        <v>0.44</v>
      </c>
      <c r="AU411" t="s">
        <v>224</v>
      </c>
      <c r="AV411">
        <v>0</v>
      </c>
      <c r="AW411">
        <v>2</v>
      </c>
      <c r="AX411">
        <v>16500459</v>
      </c>
      <c r="AY411">
        <v>1</v>
      </c>
      <c r="AZ411">
        <v>0</v>
      </c>
      <c r="BA411">
        <v>441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Y411*Source!I157</f>
        <v>4.4000000000000003E-3</v>
      </c>
      <c r="CY411">
        <f t="shared" si="60"/>
        <v>2.44</v>
      </c>
      <c r="CZ411">
        <f t="shared" si="61"/>
        <v>2.44</v>
      </c>
      <c r="DA411">
        <f t="shared" si="62"/>
        <v>1</v>
      </c>
      <c r="DB411">
        <v>0</v>
      </c>
    </row>
    <row r="412" spans="1:106" x14ac:dyDescent="0.2">
      <c r="A412">
        <f>ROW(Source!A157)</f>
        <v>157</v>
      </c>
      <c r="B412">
        <v>16499835</v>
      </c>
      <c r="C412">
        <v>16500450</v>
      </c>
      <c r="D412">
        <v>15167963</v>
      </c>
      <c r="E412">
        <v>1</v>
      </c>
      <c r="F412">
        <v>1</v>
      </c>
      <c r="G412">
        <v>1</v>
      </c>
      <c r="H412">
        <v>3</v>
      </c>
      <c r="I412" t="s">
        <v>37</v>
      </c>
      <c r="J412" t="s">
        <v>38</v>
      </c>
      <c r="K412" t="s">
        <v>39</v>
      </c>
      <c r="L412">
        <v>1346</v>
      </c>
      <c r="N412">
        <v>1009</v>
      </c>
      <c r="O412" t="s">
        <v>303</v>
      </c>
      <c r="P412" t="s">
        <v>303</v>
      </c>
      <c r="Q412">
        <v>1</v>
      </c>
      <c r="W412">
        <v>0</v>
      </c>
      <c r="X412">
        <v>-490687590</v>
      </c>
      <c r="Y412">
        <v>0.06</v>
      </c>
      <c r="AA412">
        <v>37.29</v>
      </c>
      <c r="AB412">
        <v>0</v>
      </c>
      <c r="AC412">
        <v>0</v>
      </c>
      <c r="AD412">
        <v>0</v>
      </c>
      <c r="AE412">
        <v>37.29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224</v>
      </c>
      <c r="AT412">
        <v>0.06</v>
      </c>
      <c r="AU412" t="s">
        <v>224</v>
      </c>
      <c r="AV412">
        <v>0</v>
      </c>
      <c r="AW412">
        <v>2</v>
      </c>
      <c r="AX412">
        <v>16500460</v>
      </c>
      <c r="AY412">
        <v>1</v>
      </c>
      <c r="AZ412">
        <v>0</v>
      </c>
      <c r="BA412">
        <v>442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Y412*Source!I157</f>
        <v>5.9999999999999995E-4</v>
      </c>
      <c r="CY412">
        <f t="shared" si="60"/>
        <v>37.29</v>
      </c>
      <c r="CZ412">
        <f t="shared" si="61"/>
        <v>37.29</v>
      </c>
      <c r="DA412">
        <f t="shared" si="62"/>
        <v>1</v>
      </c>
      <c r="DB412">
        <v>0</v>
      </c>
    </row>
    <row r="413" spans="1:106" x14ac:dyDescent="0.2">
      <c r="A413">
        <f>ROW(Source!A157)</f>
        <v>157</v>
      </c>
      <c r="B413">
        <v>16499835</v>
      </c>
      <c r="C413">
        <v>16500450</v>
      </c>
      <c r="D413">
        <v>15168695</v>
      </c>
      <c r="E413">
        <v>1</v>
      </c>
      <c r="F413">
        <v>1</v>
      </c>
      <c r="G413">
        <v>1</v>
      </c>
      <c r="H413">
        <v>3</v>
      </c>
      <c r="I413" t="s">
        <v>40</v>
      </c>
      <c r="J413" t="s">
        <v>41</v>
      </c>
      <c r="K413" t="s">
        <v>42</v>
      </c>
      <c r="L413">
        <v>1348</v>
      </c>
      <c r="N413">
        <v>1009</v>
      </c>
      <c r="O413" t="s">
        <v>288</v>
      </c>
      <c r="P413" t="s">
        <v>288</v>
      </c>
      <c r="Q413">
        <v>1000</v>
      </c>
      <c r="W413">
        <v>0</v>
      </c>
      <c r="X413">
        <v>-531507062</v>
      </c>
      <c r="Y413">
        <v>1.7000000000000001E-4</v>
      </c>
      <c r="AA413">
        <v>13560</v>
      </c>
      <c r="AB413">
        <v>0</v>
      </c>
      <c r="AC413">
        <v>0</v>
      </c>
      <c r="AD413">
        <v>0</v>
      </c>
      <c r="AE413">
        <v>13560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224</v>
      </c>
      <c r="AT413">
        <v>1.7000000000000001E-4</v>
      </c>
      <c r="AU413" t="s">
        <v>224</v>
      </c>
      <c r="AV413">
        <v>0</v>
      </c>
      <c r="AW413">
        <v>2</v>
      </c>
      <c r="AX413">
        <v>16500461</v>
      </c>
      <c r="AY413">
        <v>1</v>
      </c>
      <c r="AZ413">
        <v>0</v>
      </c>
      <c r="BA413">
        <v>443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Y413*Source!I157</f>
        <v>1.7000000000000002E-6</v>
      </c>
      <c r="CY413">
        <f t="shared" si="60"/>
        <v>13560</v>
      </c>
      <c r="CZ413">
        <f t="shared" si="61"/>
        <v>13560</v>
      </c>
      <c r="DA413">
        <f t="shared" si="62"/>
        <v>1</v>
      </c>
      <c r="DB413">
        <v>0</v>
      </c>
    </row>
    <row r="414" spans="1:106" x14ac:dyDescent="0.2">
      <c r="A414">
        <f>ROW(Source!A157)</f>
        <v>157</v>
      </c>
      <c r="B414">
        <v>16499835</v>
      </c>
      <c r="C414">
        <v>16500450</v>
      </c>
      <c r="D414">
        <v>15172018</v>
      </c>
      <c r="E414">
        <v>1</v>
      </c>
      <c r="F414">
        <v>1</v>
      </c>
      <c r="G414">
        <v>1</v>
      </c>
      <c r="H414">
        <v>3</v>
      </c>
      <c r="I414" t="s">
        <v>43</v>
      </c>
      <c r="J414" t="s">
        <v>44</v>
      </c>
      <c r="K414" t="s">
        <v>45</v>
      </c>
      <c r="L414">
        <v>1346</v>
      </c>
      <c r="N414">
        <v>1009</v>
      </c>
      <c r="O414" t="s">
        <v>303</v>
      </c>
      <c r="P414" t="s">
        <v>303</v>
      </c>
      <c r="Q414">
        <v>1</v>
      </c>
      <c r="W414">
        <v>0</v>
      </c>
      <c r="X414">
        <v>450790165</v>
      </c>
      <c r="Y414">
        <v>1.6000000000000001E-3</v>
      </c>
      <c r="AA414">
        <v>2.15</v>
      </c>
      <c r="AB414">
        <v>0</v>
      </c>
      <c r="AC414">
        <v>0</v>
      </c>
      <c r="AD414">
        <v>0</v>
      </c>
      <c r="AE414">
        <v>2.15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224</v>
      </c>
      <c r="AT414">
        <v>1.6000000000000001E-3</v>
      </c>
      <c r="AU414" t="s">
        <v>224</v>
      </c>
      <c r="AV414">
        <v>0</v>
      </c>
      <c r="AW414">
        <v>2</v>
      </c>
      <c r="AX414">
        <v>16500462</v>
      </c>
      <c r="AY414">
        <v>1</v>
      </c>
      <c r="AZ414">
        <v>0</v>
      </c>
      <c r="BA414">
        <v>444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Y414*Source!I157</f>
        <v>1.6000000000000003E-5</v>
      </c>
      <c r="CY414">
        <f t="shared" si="60"/>
        <v>2.15</v>
      </c>
      <c r="CZ414">
        <f t="shared" si="61"/>
        <v>2.15</v>
      </c>
      <c r="DA414">
        <f t="shared" si="62"/>
        <v>1</v>
      </c>
      <c r="DB414">
        <v>0</v>
      </c>
    </row>
    <row r="415" spans="1:106" x14ac:dyDescent="0.2">
      <c r="A415">
        <f>ROW(Source!A157)</f>
        <v>157</v>
      </c>
      <c r="B415">
        <v>16499835</v>
      </c>
      <c r="C415">
        <v>16500450</v>
      </c>
      <c r="D415">
        <v>15203740</v>
      </c>
      <c r="E415">
        <v>1</v>
      </c>
      <c r="F415">
        <v>1</v>
      </c>
      <c r="G415">
        <v>1</v>
      </c>
      <c r="H415">
        <v>3</v>
      </c>
      <c r="I415" t="s">
        <v>796</v>
      </c>
      <c r="J415" t="s">
        <v>797</v>
      </c>
      <c r="K415" t="s">
        <v>798</v>
      </c>
      <c r="L415">
        <v>1348</v>
      </c>
      <c r="N415">
        <v>1009</v>
      </c>
      <c r="O415" t="s">
        <v>288</v>
      </c>
      <c r="P415" t="s">
        <v>288</v>
      </c>
      <c r="Q415">
        <v>1000</v>
      </c>
      <c r="W415">
        <v>0</v>
      </c>
      <c r="X415">
        <v>570223526</v>
      </c>
      <c r="Y415">
        <v>4.4000000000000002E-4</v>
      </c>
      <c r="AA415">
        <v>15119</v>
      </c>
      <c r="AB415">
        <v>0</v>
      </c>
      <c r="AC415">
        <v>0</v>
      </c>
      <c r="AD415">
        <v>0</v>
      </c>
      <c r="AE415">
        <v>15119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224</v>
      </c>
      <c r="AT415">
        <v>4.4000000000000002E-4</v>
      </c>
      <c r="AU415" t="s">
        <v>224</v>
      </c>
      <c r="AV415">
        <v>0</v>
      </c>
      <c r="AW415">
        <v>2</v>
      </c>
      <c r="AX415">
        <v>16500463</v>
      </c>
      <c r="AY415">
        <v>1</v>
      </c>
      <c r="AZ415">
        <v>0</v>
      </c>
      <c r="BA415">
        <v>445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Y415*Source!I157</f>
        <v>4.4000000000000002E-6</v>
      </c>
      <c r="CY415">
        <f t="shared" si="60"/>
        <v>15119</v>
      </c>
      <c r="CZ415">
        <f t="shared" si="61"/>
        <v>15119</v>
      </c>
      <c r="DA415">
        <f t="shared" si="62"/>
        <v>1</v>
      </c>
      <c r="DB415">
        <v>0</v>
      </c>
    </row>
    <row r="416" spans="1:106" x14ac:dyDescent="0.2">
      <c r="A416">
        <f>ROW(Source!A157)</f>
        <v>157</v>
      </c>
      <c r="B416">
        <v>16499835</v>
      </c>
      <c r="C416">
        <v>16500450</v>
      </c>
      <c r="D416">
        <v>15204468</v>
      </c>
      <c r="E416">
        <v>1</v>
      </c>
      <c r="F416">
        <v>1</v>
      </c>
      <c r="G416">
        <v>1</v>
      </c>
      <c r="H416">
        <v>3</v>
      </c>
      <c r="I416" t="s">
        <v>46</v>
      </c>
      <c r="J416" t="s">
        <v>47</v>
      </c>
      <c r="K416" t="s">
        <v>48</v>
      </c>
      <c r="L416">
        <v>1348</v>
      </c>
      <c r="N416">
        <v>1009</v>
      </c>
      <c r="O416" t="s">
        <v>288</v>
      </c>
      <c r="P416" t="s">
        <v>288</v>
      </c>
      <c r="Q416">
        <v>1000</v>
      </c>
      <c r="W416">
        <v>0</v>
      </c>
      <c r="X416">
        <v>-909021926</v>
      </c>
      <c r="Y416">
        <v>5.2999999999999998E-4</v>
      </c>
      <c r="AA416">
        <v>16950</v>
      </c>
      <c r="AB416">
        <v>0</v>
      </c>
      <c r="AC416">
        <v>0</v>
      </c>
      <c r="AD416">
        <v>0</v>
      </c>
      <c r="AE416">
        <v>16950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224</v>
      </c>
      <c r="AT416">
        <v>5.2999999999999998E-4</v>
      </c>
      <c r="AU416" t="s">
        <v>224</v>
      </c>
      <c r="AV416">
        <v>0</v>
      </c>
      <c r="AW416">
        <v>2</v>
      </c>
      <c r="AX416">
        <v>16500464</v>
      </c>
      <c r="AY416">
        <v>1</v>
      </c>
      <c r="AZ416">
        <v>0</v>
      </c>
      <c r="BA416">
        <v>446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Y416*Source!I157</f>
        <v>5.3000000000000001E-6</v>
      </c>
      <c r="CY416">
        <f t="shared" si="60"/>
        <v>16950</v>
      </c>
      <c r="CZ416">
        <f t="shared" si="61"/>
        <v>16950</v>
      </c>
      <c r="DA416">
        <f t="shared" si="62"/>
        <v>1</v>
      </c>
      <c r="DB416">
        <v>0</v>
      </c>
    </row>
    <row r="417" spans="1:106" x14ac:dyDescent="0.2">
      <c r="A417">
        <f>ROW(Source!A157)</f>
        <v>157</v>
      </c>
      <c r="B417">
        <v>16499835</v>
      </c>
      <c r="C417">
        <v>16500450</v>
      </c>
      <c r="D417">
        <v>15213482</v>
      </c>
      <c r="E417">
        <v>1</v>
      </c>
      <c r="F417">
        <v>1</v>
      </c>
      <c r="G417">
        <v>1</v>
      </c>
      <c r="H417">
        <v>3</v>
      </c>
      <c r="I417" t="s">
        <v>514</v>
      </c>
      <c r="J417" t="s">
        <v>516</v>
      </c>
      <c r="K417" t="s">
        <v>515</v>
      </c>
      <c r="L417">
        <v>1301</v>
      </c>
      <c r="N417">
        <v>1003</v>
      </c>
      <c r="O417" t="s">
        <v>351</v>
      </c>
      <c r="P417" t="s">
        <v>351</v>
      </c>
      <c r="Q417">
        <v>1</v>
      </c>
      <c r="W417">
        <v>0</v>
      </c>
      <c r="X417">
        <v>1733734597</v>
      </c>
      <c r="Y417">
        <v>100</v>
      </c>
      <c r="AA417">
        <v>23.39</v>
      </c>
      <c r="AB417">
        <v>0</v>
      </c>
      <c r="AC417">
        <v>0</v>
      </c>
      <c r="AD417">
        <v>0</v>
      </c>
      <c r="AE417">
        <v>23.39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224</v>
      </c>
      <c r="AT417">
        <v>100</v>
      </c>
      <c r="AU417" t="s">
        <v>224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224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Y417*Source!I157</f>
        <v>1</v>
      </c>
      <c r="CY417">
        <f t="shared" si="60"/>
        <v>23.39</v>
      </c>
      <c r="CZ417">
        <f t="shared" si="61"/>
        <v>23.39</v>
      </c>
      <c r="DA417">
        <f t="shared" si="62"/>
        <v>1</v>
      </c>
      <c r="DB417">
        <v>0</v>
      </c>
    </row>
    <row r="418" spans="1:106" x14ac:dyDescent="0.2">
      <c r="A418">
        <f>ROW(Source!A158)</f>
        <v>158</v>
      </c>
      <c r="B418">
        <v>16499878</v>
      </c>
      <c r="C418">
        <v>16500450</v>
      </c>
      <c r="D418">
        <v>15436556</v>
      </c>
      <c r="E418">
        <v>1</v>
      </c>
      <c r="F418">
        <v>1</v>
      </c>
      <c r="G418">
        <v>1</v>
      </c>
      <c r="H418">
        <v>1</v>
      </c>
      <c r="I418" t="s">
        <v>726</v>
      </c>
      <c r="J418" t="s">
        <v>224</v>
      </c>
      <c r="K418" t="s">
        <v>727</v>
      </c>
      <c r="L418">
        <v>1191</v>
      </c>
      <c r="N418">
        <v>1013</v>
      </c>
      <c r="O418" t="s">
        <v>628</v>
      </c>
      <c r="P418" t="s">
        <v>628</v>
      </c>
      <c r="Q418">
        <v>1</v>
      </c>
      <c r="W418">
        <v>0</v>
      </c>
      <c r="X418">
        <v>1069510174</v>
      </c>
      <c r="Y418">
        <v>37.915499999999994</v>
      </c>
      <c r="AA418">
        <v>0</v>
      </c>
      <c r="AB418">
        <v>0</v>
      </c>
      <c r="AC418">
        <v>0</v>
      </c>
      <c r="AD418">
        <v>58.49</v>
      </c>
      <c r="AE418">
        <v>0</v>
      </c>
      <c r="AF418">
        <v>0</v>
      </c>
      <c r="AG418">
        <v>0</v>
      </c>
      <c r="AH418">
        <v>9.6199999999999992</v>
      </c>
      <c r="AI418">
        <v>1</v>
      </c>
      <c r="AJ418">
        <v>1</v>
      </c>
      <c r="AK418">
        <v>1</v>
      </c>
      <c r="AL418">
        <v>6.08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224</v>
      </c>
      <c r="AT418">
        <v>32.97</v>
      </c>
      <c r="AU418" t="s">
        <v>240</v>
      </c>
      <c r="AV418">
        <v>1</v>
      </c>
      <c r="AW418">
        <v>2</v>
      </c>
      <c r="AX418">
        <v>16500451</v>
      </c>
      <c r="AY418">
        <v>1</v>
      </c>
      <c r="AZ418">
        <v>0</v>
      </c>
      <c r="BA418">
        <v>450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Y418*Source!I158</f>
        <v>0.37915499999999996</v>
      </c>
      <c r="CY418">
        <f>AD418</f>
        <v>58.49</v>
      </c>
      <c r="CZ418">
        <f>AH418</f>
        <v>9.6199999999999992</v>
      </c>
      <c r="DA418">
        <f>AL418</f>
        <v>6.08</v>
      </c>
      <c r="DB418">
        <v>0</v>
      </c>
    </row>
    <row r="419" spans="1:106" x14ac:dyDescent="0.2">
      <c r="A419">
        <f>ROW(Source!A158)</f>
        <v>158</v>
      </c>
      <c r="B419">
        <v>16499878</v>
      </c>
      <c r="C419">
        <v>16500450</v>
      </c>
      <c r="D419">
        <v>15430395</v>
      </c>
      <c r="E419">
        <v>1</v>
      </c>
      <c r="F419">
        <v>1</v>
      </c>
      <c r="G419">
        <v>1</v>
      </c>
      <c r="H419">
        <v>1</v>
      </c>
      <c r="I419" t="s">
        <v>629</v>
      </c>
      <c r="J419" t="s">
        <v>224</v>
      </c>
      <c r="K419" t="s">
        <v>630</v>
      </c>
      <c r="L419">
        <v>1191</v>
      </c>
      <c r="N419">
        <v>1013</v>
      </c>
      <c r="O419" t="s">
        <v>628</v>
      </c>
      <c r="P419" t="s">
        <v>628</v>
      </c>
      <c r="Q419">
        <v>1</v>
      </c>
      <c r="W419">
        <v>0</v>
      </c>
      <c r="X419">
        <v>-1417349443</v>
      </c>
      <c r="Y419">
        <v>0.5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6.08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224</v>
      </c>
      <c r="AT419">
        <v>0.5</v>
      </c>
      <c r="AU419" t="s">
        <v>224</v>
      </c>
      <c r="AV419">
        <v>2</v>
      </c>
      <c r="AW419">
        <v>2</v>
      </c>
      <c r="AX419">
        <v>16500452</v>
      </c>
      <c r="AY419">
        <v>1</v>
      </c>
      <c r="AZ419">
        <v>2048</v>
      </c>
      <c r="BA419">
        <v>451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Y419*Source!I158</f>
        <v>5.0000000000000001E-3</v>
      </c>
      <c r="CY419">
        <f>AD419</f>
        <v>0</v>
      </c>
      <c r="CZ419">
        <f>AH419</f>
        <v>0</v>
      </c>
      <c r="DA419">
        <f>AL419</f>
        <v>1</v>
      </c>
      <c r="DB419">
        <v>0</v>
      </c>
    </row>
    <row r="420" spans="1:106" x14ac:dyDescent="0.2">
      <c r="A420">
        <f>ROW(Source!A158)</f>
        <v>158</v>
      </c>
      <c r="B420">
        <v>16499878</v>
      </c>
      <c r="C420">
        <v>16500450</v>
      </c>
      <c r="D420">
        <v>15247578</v>
      </c>
      <c r="E420">
        <v>1</v>
      </c>
      <c r="F420">
        <v>1</v>
      </c>
      <c r="G420">
        <v>1</v>
      </c>
      <c r="H420">
        <v>2</v>
      </c>
      <c r="I420" t="s">
        <v>11</v>
      </c>
      <c r="J420" t="s">
        <v>12</v>
      </c>
      <c r="K420" t="s">
        <v>13</v>
      </c>
      <c r="L420">
        <v>1368</v>
      </c>
      <c r="N420">
        <v>1011</v>
      </c>
      <c r="O420" t="s">
        <v>634</v>
      </c>
      <c r="P420" t="s">
        <v>634</v>
      </c>
      <c r="Q420">
        <v>1</v>
      </c>
      <c r="W420">
        <v>0</v>
      </c>
      <c r="X420">
        <v>-1460065968</v>
      </c>
      <c r="Y420">
        <v>0.1</v>
      </c>
      <c r="AA420">
        <v>0</v>
      </c>
      <c r="AB420">
        <v>525.30999999999995</v>
      </c>
      <c r="AC420">
        <v>13.5</v>
      </c>
      <c r="AD420">
        <v>0</v>
      </c>
      <c r="AE420">
        <v>0</v>
      </c>
      <c r="AF420">
        <v>86.4</v>
      </c>
      <c r="AG420">
        <v>13.5</v>
      </c>
      <c r="AH420">
        <v>0</v>
      </c>
      <c r="AI420">
        <v>1</v>
      </c>
      <c r="AJ420">
        <v>6.08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224</v>
      </c>
      <c r="AT420">
        <v>0.08</v>
      </c>
      <c r="AU420" t="s">
        <v>239</v>
      </c>
      <c r="AV420">
        <v>0</v>
      </c>
      <c r="AW420">
        <v>2</v>
      </c>
      <c r="AX420">
        <v>16500453</v>
      </c>
      <c r="AY420">
        <v>1</v>
      </c>
      <c r="AZ420">
        <v>0</v>
      </c>
      <c r="BA420">
        <v>452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Y420*Source!I158</f>
        <v>1E-3</v>
      </c>
      <c r="CY420">
        <f>AB420</f>
        <v>525.30999999999995</v>
      </c>
      <c r="CZ420">
        <f>AF420</f>
        <v>86.4</v>
      </c>
      <c r="DA420">
        <f>AJ420</f>
        <v>6.08</v>
      </c>
      <c r="DB420">
        <v>0</v>
      </c>
    </row>
    <row r="421" spans="1:106" x14ac:dyDescent="0.2">
      <c r="A421">
        <f>ROW(Source!A158)</f>
        <v>158</v>
      </c>
      <c r="B421">
        <v>16499878</v>
      </c>
      <c r="C421">
        <v>16500450</v>
      </c>
      <c r="D421">
        <v>15247680</v>
      </c>
      <c r="E421">
        <v>1</v>
      </c>
      <c r="F421">
        <v>1</v>
      </c>
      <c r="G421">
        <v>1</v>
      </c>
      <c r="H421">
        <v>2</v>
      </c>
      <c r="I421" t="s">
        <v>670</v>
      </c>
      <c r="J421" t="s">
        <v>671</v>
      </c>
      <c r="K421" t="s">
        <v>672</v>
      </c>
      <c r="L421">
        <v>1368</v>
      </c>
      <c r="N421">
        <v>1011</v>
      </c>
      <c r="O421" t="s">
        <v>634</v>
      </c>
      <c r="P421" t="s">
        <v>634</v>
      </c>
      <c r="Q421">
        <v>1</v>
      </c>
      <c r="W421">
        <v>0</v>
      </c>
      <c r="X421">
        <v>-1718674368</v>
      </c>
      <c r="Y421">
        <v>8.7500000000000008E-2</v>
      </c>
      <c r="AA421">
        <v>0</v>
      </c>
      <c r="AB421">
        <v>680.9</v>
      </c>
      <c r="AC421">
        <v>13.5</v>
      </c>
      <c r="AD421">
        <v>0</v>
      </c>
      <c r="AE421">
        <v>0</v>
      </c>
      <c r="AF421">
        <v>111.99</v>
      </c>
      <c r="AG421">
        <v>13.5</v>
      </c>
      <c r="AH421">
        <v>0</v>
      </c>
      <c r="AI421">
        <v>1</v>
      </c>
      <c r="AJ421">
        <v>6.08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224</v>
      </c>
      <c r="AT421">
        <v>7.0000000000000007E-2</v>
      </c>
      <c r="AU421" t="s">
        <v>239</v>
      </c>
      <c r="AV421">
        <v>0</v>
      </c>
      <c r="AW421">
        <v>2</v>
      </c>
      <c r="AX421">
        <v>16500454</v>
      </c>
      <c r="AY421">
        <v>1</v>
      </c>
      <c r="AZ421">
        <v>0</v>
      </c>
      <c r="BA421">
        <v>453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Y421*Source!I158</f>
        <v>8.7500000000000013E-4</v>
      </c>
      <c r="CY421">
        <f>AB421</f>
        <v>680.9</v>
      </c>
      <c r="CZ421">
        <f>AF421</f>
        <v>111.99</v>
      </c>
      <c r="DA421">
        <f>AJ421</f>
        <v>6.08</v>
      </c>
      <c r="DB421">
        <v>0</v>
      </c>
    </row>
    <row r="422" spans="1:106" x14ac:dyDescent="0.2">
      <c r="A422">
        <f>ROW(Source!A158)</f>
        <v>158</v>
      </c>
      <c r="B422">
        <v>16499878</v>
      </c>
      <c r="C422">
        <v>16500450</v>
      </c>
      <c r="D422">
        <v>15249073</v>
      </c>
      <c r="E422">
        <v>1</v>
      </c>
      <c r="F422">
        <v>1</v>
      </c>
      <c r="G422">
        <v>1</v>
      </c>
      <c r="H422">
        <v>2</v>
      </c>
      <c r="I422" t="s">
        <v>631</v>
      </c>
      <c r="J422" t="s">
        <v>632</v>
      </c>
      <c r="K422" t="s">
        <v>633</v>
      </c>
      <c r="L422">
        <v>1368</v>
      </c>
      <c r="N422">
        <v>1011</v>
      </c>
      <c r="O422" t="s">
        <v>634</v>
      </c>
      <c r="P422" t="s">
        <v>634</v>
      </c>
      <c r="Q422">
        <v>1</v>
      </c>
      <c r="W422">
        <v>0</v>
      </c>
      <c r="X422">
        <v>1372534845</v>
      </c>
      <c r="Y422">
        <v>0.4375</v>
      </c>
      <c r="AA422">
        <v>0</v>
      </c>
      <c r="AB422">
        <v>399.52</v>
      </c>
      <c r="AC422">
        <v>11.6</v>
      </c>
      <c r="AD422">
        <v>0</v>
      </c>
      <c r="AE422">
        <v>0</v>
      </c>
      <c r="AF422">
        <v>65.709999999999994</v>
      </c>
      <c r="AG422">
        <v>11.6</v>
      </c>
      <c r="AH422">
        <v>0</v>
      </c>
      <c r="AI422">
        <v>1</v>
      </c>
      <c r="AJ422">
        <v>6.08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224</v>
      </c>
      <c r="AT422">
        <v>0.35</v>
      </c>
      <c r="AU422" t="s">
        <v>239</v>
      </c>
      <c r="AV422">
        <v>0</v>
      </c>
      <c r="AW422">
        <v>2</v>
      </c>
      <c r="AX422">
        <v>16500455</v>
      </c>
      <c r="AY422">
        <v>1</v>
      </c>
      <c r="AZ422">
        <v>0</v>
      </c>
      <c r="BA422">
        <v>454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Y422*Source!I158</f>
        <v>4.3750000000000004E-3</v>
      </c>
      <c r="CY422">
        <f>AB422</f>
        <v>399.52</v>
      </c>
      <c r="CZ422">
        <f>AF422</f>
        <v>65.709999999999994</v>
      </c>
      <c r="DA422">
        <f>AJ422</f>
        <v>6.08</v>
      </c>
      <c r="DB422">
        <v>0</v>
      </c>
    </row>
    <row r="423" spans="1:106" x14ac:dyDescent="0.2">
      <c r="A423">
        <f>ROW(Source!A158)</f>
        <v>158</v>
      </c>
      <c r="B423">
        <v>16499878</v>
      </c>
      <c r="C423">
        <v>16500450</v>
      </c>
      <c r="D423">
        <v>15249308</v>
      </c>
      <c r="E423">
        <v>1</v>
      </c>
      <c r="F423">
        <v>1</v>
      </c>
      <c r="G423">
        <v>1</v>
      </c>
      <c r="H423">
        <v>2</v>
      </c>
      <c r="I423" t="s">
        <v>682</v>
      </c>
      <c r="J423" t="s">
        <v>683</v>
      </c>
      <c r="K423" t="s">
        <v>684</v>
      </c>
      <c r="L423">
        <v>1368</v>
      </c>
      <c r="N423">
        <v>1011</v>
      </c>
      <c r="O423" t="s">
        <v>634</v>
      </c>
      <c r="P423" t="s">
        <v>634</v>
      </c>
      <c r="Q423">
        <v>1</v>
      </c>
      <c r="W423">
        <v>0</v>
      </c>
      <c r="X423">
        <v>792402865</v>
      </c>
      <c r="Y423">
        <v>1.4375</v>
      </c>
      <c r="AA423">
        <v>0</v>
      </c>
      <c r="AB423">
        <v>7.3</v>
      </c>
      <c r="AC423">
        <v>0</v>
      </c>
      <c r="AD423">
        <v>0</v>
      </c>
      <c r="AE423">
        <v>0</v>
      </c>
      <c r="AF423">
        <v>1.2</v>
      </c>
      <c r="AG423">
        <v>0</v>
      </c>
      <c r="AH423">
        <v>0</v>
      </c>
      <c r="AI423">
        <v>1</v>
      </c>
      <c r="AJ423">
        <v>6.08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224</v>
      </c>
      <c r="AT423">
        <v>1.1499999999999999</v>
      </c>
      <c r="AU423" t="s">
        <v>239</v>
      </c>
      <c r="AV423">
        <v>0</v>
      </c>
      <c r="AW423">
        <v>2</v>
      </c>
      <c r="AX423">
        <v>16500456</v>
      </c>
      <c r="AY423">
        <v>1</v>
      </c>
      <c r="AZ423">
        <v>0</v>
      </c>
      <c r="BA423">
        <v>455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Y423*Source!I158</f>
        <v>1.4375000000000001E-2</v>
      </c>
      <c r="CY423">
        <f>AB423</f>
        <v>7.3</v>
      </c>
      <c r="CZ423">
        <f>AF423</f>
        <v>1.2</v>
      </c>
      <c r="DA423">
        <f>AJ423</f>
        <v>6.08</v>
      </c>
      <c r="DB423">
        <v>0</v>
      </c>
    </row>
    <row r="424" spans="1:106" x14ac:dyDescent="0.2">
      <c r="A424">
        <f>ROW(Source!A158)</f>
        <v>158</v>
      </c>
      <c r="B424">
        <v>16499878</v>
      </c>
      <c r="C424">
        <v>16500450</v>
      </c>
      <c r="D424">
        <v>15165635</v>
      </c>
      <c r="E424">
        <v>1</v>
      </c>
      <c r="F424">
        <v>1</v>
      </c>
      <c r="G424">
        <v>1</v>
      </c>
      <c r="H424">
        <v>3</v>
      </c>
      <c r="I424" t="s">
        <v>34</v>
      </c>
      <c r="J424" t="s">
        <v>35</v>
      </c>
      <c r="K424" t="s">
        <v>36</v>
      </c>
      <c r="L424">
        <v>1348</v>
      </c>
      <c r="N424">
        <v>1009</v>
      </c>
      <c r="O424" t="s">
        <v>288</v>
      </c>
      <c r="P424" t="s">
        <v>288</v>
      </c>
      <c r="Q424">
        <v>1000</v>
      </c>
      <c r="W424">
        <v>0</v>
      </c>
      <c r="X424">
        <v>993149205</v>
      </c>
      <c r="Y424">
        <v>1.2999999999999999E-4</v>
      </c>
      <c r="AA424">
        <v>199606.39999999999</v>
      </c>
      <c r="AB424">
        <v>0</v>
      </c>
      <c r="AC424">
        <v>0</v>
      </c>
      <c r="AD424">
        <v>0</v>
      </c>
      <c r="AE424">
        <v>32830</v>
      </c>
      <c r="AF424">
        <v>0</v>
      </c>
      <c r="AG424">
        <v>0</v>
      </c>
      <c r="AH424">
        <v>0</v>
      </c>
      <c r="AI424">
        <v>6.08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224</v>
      </c>
      <c r="AT424">
        <v>1.2999999999999999E-4</v>
      </c>
      <c r="AU424" t="s">
        <v>224</v>
      </c>
      <c r="AV424">
        <v>0</v>
      </c>
      <c r="AW424">
        <v>2</v>
      </c>
      <c r="AX424">
        <v>16500457</v>
      </c>
      <c r="AY424">
        <v>1</v>
      </c>
      <c r="AZ424">
        <v>0</v>
      </c>
      <c r="BA424">
        <v>456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Y424*Source!I158</f>
        <v>1.2999999999999998E-6</v>
      </c>
      <c r="CY424">
        <f t="shared" ref="CY424:CY432" si="63">AA424</f>
        <v>199606.39999999999</v>
      </c>
      <c r="CZ424">
        <f t="shared" ref="CZ424:CZ432" si="64">AE424</f>
        <v>32830</v>
      </c>
      <c r="DA424">
        <f t="shared" ref="DA424:DA432" si="65">AI424</f>
        <v>6.08</v>
      </c>
      <c r="DB424">
        <v>0</v>
      </c>
    </row>
    <row r="425" spans="1:106" x14ac:dyDescent="0.2">
      <c r="A425">
        <f>ROW(Source!A158)</f>
        <v>158</v>
      </c>
      <c r="B425">
        <v>16499878</v>
      </c>
      <c r="C425">
        <v>16500450</v>
      </c>
      <c r="D425">
        <v>15165653</v>
      </c>
      <c r="E425">
        <v>1</v>
      </c>
      <c r="F425">
        <v>1</v>
      </c>
      <c r="G425">
        <v>1</v>
      </c>
      <c r="H425">
        <v>3</v>
      </c>
      <c r="I425" t="s">
        <v>688</v>
      </c>
      <c r="J425" t="s">
        <v>689</v>
      </c>
      <c r="K425" t="s">
        <v>690</v>
      </c>
      <c r="L425">
        <v>1339</v>
      </c>
      <c r="N425">
        <v>1007</v>
      </c>
      <c r="O425" t="s">
        <v>691</v>
      </c>
      <c r="P425" t="s">
        <v>691</v>
      </c>
      <c r="Q425">
        <v>1</v>
      </c>
      <c r="W425">
        <v>0</v>
      </c>
      <c r="X425">
        <v>1262771840</v>
      </c>
      <c r="Y425">
        <v>0.28100000000000003</v>
      </c>
      <c r="AA425">
        <v>37.82</v>
      </c>
      <c r="AB425">
        <v>0</v>
      </c>
      <c r="AC425">
        <v>0</v>
      </c>
      <c r="AD425">
        <v>0</v>
      </c>
      <c r="AE425">
        <v>6.22</v>
      </c>
      <c r="AF425">
        <v>0</v>
      </c>
      <c r="AG425">
        <v>0</v>
      </c>
      <c r="AH425">
        <v>0</v>
      </c>
      <c r="AI425">
        <v>6.08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224</v>
      </c>
      <c r="AT425">
        <v>0.28100000000000003</v>
      </c>
      <c r="AU425" t="s">
        <v>224</v>
      </c>
      <c r="AV425">
        <v>0</v>
      </c>
      <c r="AW425">
        <v>2</v>
      </c>
      <c r="AX425">
        <v>16500458</v>
      </c>
      <c r="AY425">
        <v>1</v>
      </c>
      <c r="AZ425">
        <v>0</v>
      </c>
      <c r="BA425">
        <v>457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Y425*Source!I158</f>
        <v>2.8100000000000004E-3</v>
      </c>
      <c r="CY425">
        <f t="shared" si="63"/>
        <v>37.82</v>
      </c>
      <c r="CZ425">
        <f t="shared" si="64"/>
        <v>6.22</v>
      </c>
      <c r="DA425">
        <f t="shared" si="65"/>
        <v>6.08</v>
      </c>
      <c r="DB425">
        <v>0</v>
      </c>
    </row>
    <row r="426" spans="1:106" x14ac:dyDescent="0.2">
      <c r="A426">
        <f>ROW(Source!A158)</f>
        <v>158</v>
      </c>
      <c r="B426">
        <v>16499878</v>
      </c>
      <c r="C426">
        <v>16500450</v>
      </c>
      <c r="D426">
        <v>15167286</v>
      </c>
      <c r="E426">
        <v>1</v>
      </c>
      <c r="F426">
        <v>1</v>
      </c>
      <c r="G426">
        <v>1</v>
      </c>
      <c r="H426">
        <v>3</v>
      </c>
      <c r="I426" t="s">
        <v>778</v>
      </c>
      <c r="J426" t="s">
        <v>779</v>
      </c>
      <c r="K426" t="s">
        <v>780</v>
      </c>
      <c r="L426">
        <v>1339</v>
      </c>
      <c r="N426">
        <v>1007</v>
      </c>
      <c r="O426" t="s">
        <v>691</v>
      </c>
      <c r="P426" t="s">
        <v>691</v>
      </c>
      <c r="Q426">
        <v>1</v>
      </c>
      <c r="W426">
        <v>0</v>
      </c>
      <c r="X426">
        <v>-1660354250</v>
      </c>
      <c r="Y426">
        <v>0.44</v>
      </c>
      <c r="AA426">
        <v>14.84</v>
      </c>
      <c r="AB426">
        <v>0</v>
      </c>
      <c r="AC426">
        <v>0</v>
      </c>
      <c r="AD426">
        <v>0</v>
      </c>
      <c r="AE426">
        <v>2.44</v>
      </c>
      <c r="AF426">
        <v>0</v>
      </c>
      <c r="AG426">
        <v>0</v>
      </c>
      <c r="AH426">
        <v>0</v>
      </c>
      <c r="AI426">
        <v>6.08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224</v>
      </c>
      <c r="AT426">
        <v>0.44</v>
      </c>
      <c r="AU426" t="s">
        <v>224</v>
      </c>
      <c r="AV426">
        <v>0</v>
      </c>
      <c r="AW426">
        <v>2</v>
      </c>
      <c r="AX426">
        <v>16500459</v>
      </c>
      <c r="AY426">
        <v>1</v>
      </c>
      <c r="AZ426">
        <v>0</v>
      </c>
      <c r="BA426">
        <v>458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Y426*Source!I158</f>
        <v>4.4000000000000003E-3</v>
      </c>
      <c r="CY426">
        <f t="shared" si="63"/>
        <v>14.84</v>
      </c>
      <c r="CZ426">
        <f t="shared" si="64"/>
        <v>2.44</v>
      </c>
      <c r="DA426">
        <f t="shared" si="65"/>
        <v>6.08</v>
      </c>
      <c r="DB426">
        <v>0</v>
      </c>
    </row>
    <row r="427" spans="1:106" x14ac:dyDescent="0.2">
      <c r="A427">
        <f>ROW(Source!A158)</f>
        <v>158</v>
      </c>
      <c r="B427">
        <v>16499878</v>
      </c>
      <c r="C427">
        <v>16500450</v>
      </c>
      <c r="D427">
        <v>15167963</v>
      </c>
      <c r="E427">
        <v>1</v>
      </c>
      <c r="F427">
        <v>1</v>
      </c>
      <c r="G427">
        <v>1</v>
      </c>
      <c r="H427">
        <v>3</v>
      </c>
      <c r="I427" t="s">
        <v>37</v>
      </c>
      <c r="J427" t="s">
        <v>38</v>
      </c>
      <c r="K427" t="s">
        <v>39</v>
      </c>
      <c r="L427">
        <v>1346</v>
      </c>
      <c r="N427">
        <v>1009</v>
      </c>
      <c r="O427" t="s">
        <v>303</v>
      </c>
      <c r="P427" t="s">
        <v>303</v>
      </c>
      <c r="Q427">
        <v>1</v>
      </c>
      <c r="W427">
        <v>0</v>
      </c>
      <c r="X427">
        <v>-490687590</v>
      </c>
      <c r="Y427">
        <v>0.06</v>
      </c>
      <c r="AA427">
        <v>226.72</v>
      </c>
      <c r="AB427">
        <v>0</v>
      </c>
      <c r="AC427">
        <v>0</v>
      </c>
      <c r="AD427">
        <v>0</v>
      </c>
      <c r="AE427">
        <v>37.29</v>
      </c>
      <c r="AF427">
        <v>0</v>
      </c>
      <c r="AG427">
        <v>0</v>
      </c>
      <c r="AH427">
        <v>0</v>
      </c>
      <c r="AI427">
        <v>6.08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224</v>
      </c>
      <c r="AT427">
        <v>0.06</v>
      </c>
      <c r="AU427" t="s">
        <v>224</v>
      </c>
      <c r="AV427">
        <v>0</v>
      </c>
      <c r="AW427">
        <v>2</v>
      </c>
      <c r="AX427">
        <v>16500460</v>
      </c>
      <c r="AY427">
        <v>1</v>
      </c>
      <c r="AZ427">
        <v>0</v>
      </c>
      <c r="BA427">
        <v>459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Y427*Source!I158</f>
        <v>5.9999999999999995E-4</v>
      </c>
      <c r="CY427">
        <f t="shared" si="63"/>
        <v>226.72</v>
      </c>
      <c r="CZ427">
        <f t="shared" si="64"/>
        <v>37.29</v>
      </c>
      <c r="DA427">
        <f t="shared" si="65"/>
        <v>6.08</v>
      </c>
      <c r="DB427">
        <v>0</v>
      </c>
    </row>
    <row r="428" spans="1:106" x14ac:dyDescent="0.2">
      <c r="A428">
        <f>ROW(Source!A158)</f>
        <v>158</v>
      </c>
      <c r="B428">
        <v>16499878</v>
      </c>
      <c r="C428">
        <v>16500450</v>
      </c>
      <c r="D428">
        <v>15168695</v>
      </c>
      <c r="E428">
        <v>1</v>
      </c>
      <c r="F428">
        <v>1</v>
      </c>
      <c r="G428">
        <v>1</v>
      </c>
      <c r="H428">
        <v>3</v>
      </c>
      <c r="I428" t="s">
        <v>40</v>
      </c>
      <c r="J428" t="s">
        <v>41</v>
      </c>
      <c r="K428" t="s">
        <v>42</v>
      </c>
      <c r="L428">
        <v>1348</v>
      </c>
      <c r="N428">
        <v>1009</v>
      </c>
      <c r="O428" t="s">
        <v>288</v>
      </c>
      <c r="P428" t="s">
        <v>288</v>
      </c>
      <c r="Q428">
        <v>1000</v>
      </c>
      <c r="W428">
        <v>0</v>
      </c>
      <c r="X428">
        <v>-531507062</v>
      </c>
      <c r="Y428">
        <v>1.7000000000000001E-4</v>
      </c>
      <c r="AA428">
        <v>82444.800000000003</v>
      </c>
      <c r="AB428">
        <v>0</v>
      </c>
      <c r="AC428">
        <v>0</v>
      </c>
      <c r="AD428">
        <v>0</v>
      </c>
      <c r="AE428">
        <v>13560</v>
      </c>
      <c r="AF428">
        <v>0</v>
      </c>
      <c r="AG428">
        <v>0</v>
      </c>
      <c r="AH428">
        <v>0</v>
      </c>
      <c r="AI428">
        <v>6.08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224</v>
      </c>
      <c r="AT428">
        <v>1.7000000000000001E-4</v>
      </c>
      <c r="AU428" t="s">
        <v>224</v>
      </c>
      <c r="AV428">
        <v>0</v>
      </c>
      <c r="AW428">
        <v>2</v>
      </c>
      <c r="AX428">
        <v>16500461</v>
      </c>
      <c r="AY428">
        <v>1</v>
      </c>
      <c r="AZ428">
        <v>0</v>
      </c>
      <c r="BA428">
        <v>460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Y428*Source!I158</f>
        <v>1.7000000000000002E-6</v>
      </c>
      <c r="CY428">
        <f t="shared" si="63"/>
        <v>82444.800000000003</v>
      </c>
      <c r="CZ428">
        <f t="shared" si="64"/>
        <v>13560</v>
      </c>
      <c r="DA428">
        <f t="shared" si="65"/>
        <v>6.08</v>
      </c>
      <c r="DB428">
        <v>0</v>
      </c>
    </row>
    <row r="429" spans="1:106" x14ac:dyDescent="0.2">
      <c r="A429">
        <f>ROW(Source!A158)</f>
        <v>158</v>
      </c>
      <c r="B429">
        <v>16499878</v>
      </c>
      <c r="C429">
        <v>16500450</v>
      </c>
      <c r="D429">
        <v>15172018</v>
      </c>
      <c r="E429">
        <v>1</v>
      </c>
      <c r="F429">
        <v>1</v>
      </c>
      <c r="G429">
        <v>1</v>
      </c>
      <c r="H429">
        <v>3</v>
      </c>
      <c r="I429" t="s">
        <v>43</v>
      </c>
      <c r="J429" t="s">
        <v>44</v>
      </c>
      <c r="K429" t="s">
        <v>45</v>
      </c>
      <c r="L429">
        <v>1346</v>
      </c>
      <c r="N429">
        <v>1009</v>
      </c>
      <c r="O429" t="s">
        <v>303</v>
      </c>
      <c r="P429" t="s">
        <v>303</v>
      </c>
      <c r="Q429">
        <v>1</v>
      </c>
      <c r="W429">
        <v>0</v>
      </c>
      <c r="X429">
        <v>450790165</v>
      </c>
      <c r="Y429">
        <v>1.6000000000000001E-3</v>
      </c>
      <c r="AA429">
        <v>13.07</v>
      </c>
      <c r="AB429">
        <v>0</v>
      </c>
      <c r="AC429">
        <v>0</v>
      </c>
      <c r="AD429">
        <v>0</v>
      </c>
      <c r="AE429">
        <v>2.15</v>
      </c>
      <c r="AF429">
        <v>0</v>
      </c>
      <c r="AG429">
        <v>0</v>
      </c>
      <c r="AH429">
        <v>0</v>
      </c>
      <c r="AI429">
        <v>6.08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224</v>
      </c>
      <c r="AT429">
        <v>1.6000000000000001E-3</v>
      </c>
      <c r="AU429" t="s">
        <v>224</v>
      </c>
      <c r="AV429">
        <v>0</v>
      </c>
      <c r="AW429">
        <v>2</v>
      </c>
      <c r="AX429">
        <v>16500462</v>
      </c>
      <c r="AY429">
        <v>1</v>
      </c>
      <c r="AZ429">
        <v>0</v>
      </c>
      <c r="BA429">
        <v>461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Y429*Source!I158</f>
        <v>1.6000000000000003E-5</v>
      </c>
      <c r="CY429">
        <f t="shared" si="63"/>
        <v>13.07</v>
      </c>
      <c r="CZ429">
        <f t="shared" si="64"/>
        <v>2.15</v>
      </c>
      <c r="DA429">
        <f t="shared" si="65"/>
        <v>6.08</v>
      </c>
      <c r="DB429">
        <v>0</v>
      </c>
    </row>
    <row r="430" spans="1:106" x14ac:dyDescent="0.2">
      <c r="A430">
        <f>ROW(Source!A158)</f>
        <v>158</v>
      </c>
      <c r="B430">
        <v>16499878</v>
      </c>
      <c r="C430">
        <v>16500450</v>
      </c>
      <c r="D430">
        <v>15203740</v>
      </c>
      <c r="E430">
        <v>1</v>
      </c>
      <c r="F430">
        <v>1</v>
      </c>
      <c r="G430">
        <v>1</v>
      </c>
      <c r="H430">
        <v>3</v>
      </c>
      <c r="I430" t="s">
        <v>796</v>
      </c>
      <c r="J430" t="s">
        <v>797</v>
      </c>
      <c r="K430" t="s">
        <v>798</v>
      </c>
      <c r="L430">
        <v>1348</v>
      </c>
      <c r="N430">
        <v>1009</v>
      </c>
      <c r="O430" t="s">
        <v>288</v>
      </c>
      <c r="P430" t="s">
        <v>288</v>
      </c>
      <c r="Q430">
        <v>1000</v>
      </c>
      <c r="W430">
        <v>0</v>
      </c>
      <c r="X430">
        <v>570223526</v>
      </c>
      <c r="Y430">
        <v>4.4000000000000002E-4</v>
      </c>
      <c r="AA430">
        <v>91923.520000000004</v>
      </c>
      <c r="AB430">
        <v>0</v>
      </c>
      <c r="AC430">
        <v>0</v>
      </c>
      <c r="AD430">
        <v>0</v>
      </c>
      <c r="AE430">
        <v>15119</v>
      </c>
      <c r="AF430">
        <v>0</v>
      </c>
      <c r="AG430">
        <v>0</v>
      </c>
      <c r="AH430">
        <v>0</v>
      </c>
      <c r="AI430">
        <v>6.08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224</v>
      </c>
      <c r="AT430">
        <v>4.4000000000000002E-4</v>
      </c>
      <c r="AU430" t="s">
        <v>224</v>
      </c>
      <c r="AV430">
        <v>0</v>
      </c>
      <c r="AW430">
        <v>2</v>
      </c>
      <c r="AX430">
        <v>16500463</v>
      </c>
      <c r="AY430">
        <v>1</v>
      </c>
      <c r="AZ430">
        <v>0</v>
      </c>
      <c r="BA430">
        <v>462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Y430*Source!I158</f>
        <v>4.4000000000000002E-6</v>
      </c>
      <c r="CY430">
        <f t="shared" si="63"/>
        <v>91923.520000000004</v>
      </c>
      <c r="CZ430">
        <f t="shared" si="64"/>
        <v>15119</v>
      </c>
      <c r="DA430">
        <f t="shared" si="65"/>
        <v>6.08</v>
      </c>
      <c r="DB430">
        <v>0</v>
      </c>
    </row>
    <row r="431" spans="1:106" x14ac:dyDescent="0.2">
      <c r="A431">
        <f>ROW(Source!A158)</f>
        <v>158</v>
      </c>
      <c r="B431">
        <v>16499878</v>
      </c>
      <c r="C431">
        <v>16500450</v>
      </c>
      <c r="D431">
        <v>15204468</v>
      </c>
      <c r="E431">
        <v>1</v>
      </c>
      <c r="F431">
        <v>1</v>
      </c>
      <c r="G431">
        <v>1</v>
      </c>
      <c r="H431">
        <v>3</v>
      </c>
      <c r="I431" t="s">
        <v>46</v>
      </c>
      <c r="J431" t="s">
        <v>47</v>
      </c>
      <c r="K431" t="s">
        <v>48</v>
      </c>
      <c r="L431">
        <v>1348</v>
      </c>
      <c r="N431">
        <v>1009</v>
      </c>
      <c r="O431" t="s">
        <v>288</v>
      </c>
      <c r="P431" t="s">
        <v>288</v>
      </c>
      <c r="Q431">
        <v>1000</v>
      </c>
      <c r="W431">
        <v>0</v>
      </c>
      <c r="X431">
        <v>-909021926</v>
      </c>
      <c r="Y431">
        <v>5.2999999999999998E-4</v>
      </c>
      <c r="AA431">
        <v>103056</v>
      </c>
      <c r="AB431">
        <v>0</v>
      </c>
      <c r="AC431">
        <v>0</v>
      </c>
      <c r="AD431">
        <v>0</v>
      </c>
      <c r="AE431">
        <v>16950</v>
      </c>
      <c r="AF431">
        <v>0</v>
      </c>
      <c r="AG431">
        <v>0</v>
      </c>
      <c r="AH431">
        <v>0</v>
      </c>
      <c r="AI431">
        <v>6.08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224</v>
      </c>
      <c r="AT431">
        <v>5.2999999999999998E-4</v>
      </c>
      <c r="AU431" t="s">
        <v>224</v>
      </c>
      <c r="AV431">
        <v>0</v>
      </c>
      <c r="AW431">
        <v>2</v>
      </c>
      <c r="AX431">
        <v>16500464</v>
      </c>
      <c r="AY431">
        <v>1</v>
      </c>
      <c r="AZ431">
        <v>0</v>
      </c>
      <c r="BA431">
        <v>463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Y431*Source!I158</f>
        <v>5.3000000000000001E-6</v>
      </c>
      <c r="CY431">
        <f t="shared" si="63"/>
        <v>103056</v>
      </c>
      <c r="CZ431">
        <f t="shared" si="64"/>
        <v>16950</v>
      </c>
      <c r="DA431">
        <f t="shared" si="65"/>
        <v>6.08</v>
      </c>
      <c r="DB431">
        <v>0</v>
      </c>
    </row>
    <row r="432" spans="1:106" x14ac:dyDescent="0.2">
      <c r="A432">
        <f>ROW(Source!A158)</f>
        <v>158</v>
      </c>
      <c r="B432">
        <v>16499878</v>
      </c>
      <c r="C432">
        <v>16500450</v>
      </c>
      <c r="D432">
        <v>15213482</v>
      </c>
      <c r="E432">
        <v>1</v>
      </c>
      <c r="F432">
        <v>1</v>
      </c>
      <c r="G432">
        <v>1</v>
      </c>
      <c r="H432">
        <v>3</v>
      </c>
      <c r="I432" t="s">
        <v>514</v>
      </c>
      <c r="J432" t="s">
        <v>516</v>
      </c>
      <c r="K432" t="s">
        <v>515</v>
      </c>
      <c r="L432">
        <v>1301</v>
      </c>
      <c r="N432">
        <v>1003</v>
      </c>
      <c r="O432" t="s">
        <v>351</v>
      </c>
      <c r="P432" t="s">
        <v>351</v>
      </c>
      <c r="Q432">
        <v>1</v>
      </c>
      <c r="W432">
        <v>0</v>
      </c>
      <c r="X432">
        <v>1733734597</v>
      </c>
      <c r="Y432">
        <v>100</v>
      </c>
      <c r="AA432">
        <v>142.21</v>
      </c>
      <c r="AB432">
        <v>0</v>
      </c>
      <c r="AC432">
        <v>0</v>
      </c>
      <c r="AD432">
        <v>0</v>
      </c>
      <c r="AE432">
        <v>23.39</v>
      </c>
      <c r="AF432">
        <v>0</v>
      </c>
      <c r="AG432">
        <v>0</v>
      </c>
      <c r="AH432">
        <v>0</v>
      </c>
      <c r="AI432">
        <v>6.08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224</v>
      </c>
      <c r="AT432">
        <v>100</v>
      </c>
      <c r="AU432" t="s">
        <v>224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224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Y432*Source!I158</f>
        <v>1</v>
      </c>
      <c r="CY432">
        <f t="shared" si="63"/>
        <v>142.21</v>
      </c>
      <c r="CZ432">
        <f t="shared" si="64"/>
        <v>23.39</v>
      </c>
      <c r="DA432">
        <f t="shared" si="65"/>
        <v>6.08</v>
      </c>
      <c r="DB432">
        <v>0</v>
      </c>
    </row>
    <row r="433" spans="1:106" x14ac:dyDescent="0.2">
      <c r="A433">
        <f>ROW(Source!A161)</f>
        <v>161</v>
      </c>
      <c r="B433">
        <v>16499835</v>
      </c>
      <c r="C433">
        <v>16500471</v>
      </c>
      <c r="D433">
        <v>15446300</v>
      </c>
      <c r="E433">
        <v>1</v>
      </c>
      <c r="F433">
        <v>1</v>
      </c>
      <c r="G433">
        <v>1</v>
      </c>
      <c r="H433">
        <v>1</v>
      </c>
      <c r="I433" t="s">
        <v>651</v>
      </c>
      <c r="J433" t="s">
        <v>224</v>
      </c>
      <c r="K433" t="s">
        <v>652</v>
      </c>
      <c r="L433">
        <v>1191</v>
      </c>
      <c r="N433">
        <v>1013</v>
      </c>
      <c r="O433" t="s">
        <v>628</v>
      </c>
      <c r="P433" t="s">
        <v>628</v>
      </c>
      <c r="Q433">
        <v>1</v>
      </c>
      <c r="W433">
        <v>0</v>
      </c>
      <c r="X433">
        <v>912892513</v>
      </c>
      <c r="Y433">
        <v>73.875999999999991</v>
      </c>
      <c r="AA433">
        <v>0</v>
      </c>
      <c r="AB433">
        <v>0</v>
      </c>
      <c r="AC433">
        <v>0</v>
      </c>
      <c r="AD433">
        <v>9.92</v>
      </c>
      <c r="AE433">
        <v>0</v>
      </c>
      <c r="AF433">
        <v>0</v>
      </c>
      <c r="AG433">
        <v>0</v>
      </c>
      <c r="AH433">
        <v>9.92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224</v>
      </c>
      <c r="AT433">
        <v>64.239999999999995</v>
      </c>
      <c r="AU433" t="s">
        <v>240</v>
      </c>
      <c r="AV433">
        <v>1</v>
      </c>
      <c r="AW433">
        <v>2</v>
      </c>
      <c r="AX433">
        <v>16500472</v>
      </c>
      <c r="AY433">
        <v>1</v>
      </c>
      <c r="AZ433">
        <v>0</v>
      </c>
      <c r="BA433">
        <v>467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Y433*Source!I161</f>
        <v>0.73875999999999997</v>
      </c>
      <c r="CY433">
        <f>AD433</f>
        <v>9.92</v>
      </c>
      <c r="CZ433">
        <f>AH433</f>
        <v>9.92</v>
      </c>
      <c r="DA433">
        <f>AL433</f>
        <v>1</v>
      </c>
      <c r="DB433">
        <v>0</v>
      </c>
    </row>
    <row r="434" spans="1:106" x14ac:dyDescent="0.2">
      <c r="A434">
        <f>ROW(Source!A161)</f>
        <v>161</v>
      </c>
      <c r="B434">
        <v>16499835</v>
      </c>
      <c r="C434">
        <v>16500471</v>
      </c>
      <c r="D434">
        <v>15430395</v>
      </c>
      <c r="E434">
        <v>1</v>
      </c>
      <c r="F434">
        <v>1</v>
      </c>
      <c r="G434">
        <v>1</v>
      </c>
      <c r="H434">
        <v>1</v>
      </c>
      <c r="I434" t="s">
        <v>629</v>
      </c>
      <c r="J434" t="s">
        <v>224</v>
      </c>
      <c r="K434" t="s">
        <v>630</v>
      </c>
      <c r="L434">
        <v>1191</v>
      </c>
      <c r="N434">
        <v>1013</v>
      </c>
      <c r="O434" t="s">
        <v>628</v>
      </c>
      <c r="P434" t="s">
        <v>628</v>
      </c>
      <c r="Q434">
        <v>1</v>
      </c>
      <c r="W434">
        <v>0</v>
      </c>
      <c r="X434">
        <v>-1417349443</v>
      </c>
      <c r="Y434">
        <v>0.03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224</v>
      </c>
      <c r="AT434">
        <v>0.03</v>
      </c>
      <c r="AU434" t="s">
        <v>224</v>
      </c>
      <c r="AV434">
        <v>2</v>
      </c>
      <c r="AW434">
        <v>2</v>
      </c>
      <c r="AX434">
        <v>16500473</v>
      </c>
      <c r="AY434">
        <v>1</v>
      </c>
      <c r="AZ434">
        <v>2048</v>
      </c>
      <c r="BA434">
        <v>468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Y434*Source!I161</f>
        <v>2.9999999999999997E-4</v>
      </c>
      <c r="CY434">
        <f>AD434</f>
        <v>0</v>
      </c>
      <c r="CZ434">
        <f>AH434</f>
        <v>0</v>
      </c>
      <c r="DA434">
        <f>AL434</f>
        <v>1</v>
      </c>
      <c r="DB434">
        <v>0</v>
      </c>
    </row>
    <row r="435" spans="1:106" x14ac:dyDescent="0.2">
      <c r="A435">
        <f>ROW(Source!A161)</f>
        <v>161</v>
      </c>
      <c r="B435">
        <v>16499835</v>
      </c>
      <c r="C435">
        <v>16500471</v>
      </c>
      <c r="D435">
        <v>15247578</v>
      </c>
      <c r="E435">
        <v>1</v>
      </c>
      <c r="F435">
        <v>1</v>
      </c>
      <c r="G435">
        <v>1</v>
      </c>
      <c r="H435">
        <v>2</v>
      </c>
      <c r="I435" t="s">
        <v>11</v>
      </c>
      <c r="J435" t="s">
        <v>12</v>
      </c>
      <c r="K435" t="s">
        <v>13</v>
      </c>
      <c r="L435">
        <v>1368</v>
      </c>
      <c r="N435">
        <v>1011</v>
      </c>
      <c r="O435" t="s">
        <v>634</v>
      </c>
      <c r="P435" t="s">
        <v>634</v>
      </c>
      <c r="Q435">
        <v>1</v>
      </c>
      <c r="W435">
        <v>0</v>
      </c>
      <c r="X435">
        <v>-1460065968</v>
      </c>
      <c r="Y435">
        <v>1.2500000000000001E-2</v>
      </c>
      <c r="AA435">
        <v>0</v>
      </c>
      <c r="AB435">
        <v>86.4</v>
      </c>
      <c r="AC435">
        <v>13.5</v>
      </c>
      <c r="AD435">
        <v>0</v>
      </c>
      <c r="AE435">
        <v>0</v>
      </c>
      <c r="AF435">
        <v>86.4</v>
      </c>
      <c r="AG435">
        <v>13.5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224</v>
      </c>
      <c r="AT435">
        <v>0.01</v>
      </c>
      <c r="AU435" t="s">
        <v>239</v>
      </c>
      <c r="AV435">
        <v>0</v>
      </c>
      <c r="AW435">
        <v>2</v>
      </c>
      <c r="AX435">
        <v>16500474</v>
      </c>
      <c r="AY435">
        <v>1</v>
      </c>
      <c r="AZ435">
        <v>0</v>
      </c>
      <c r="BA435">
        <v>469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Y435*Source!I161</f>
        <v>1.25E-4</v>
      </c>
      <c r="CY435">
        <f>AB435</f>
        <v>86.4</v>
      </c>
      <c r="CZ435">
        <f>AF435</f>
        <v>86.4</v>
      </c>
      <c r="DA435">
        <f>AJ435</f>
        <v>1</v>
      </c>
      <c r="DB435">
        <v>0</v>
      </c>
    </row>
    <row r="436" spans="1:106" x14ac:dyDescent="0.2">
      <c r="A436">
        <f>ROW(Source!A161)</f>
        <v>161</v>
      </c>
      <c r="B436">
        <v>16499835</v>
      </c>
      <c r="C436">
        <v>16500471</v>
      </c>
      <c r="D436">
        <v>15247680</v>
      </c>
      <c r="E436">
        <v>1</v>
      </c>
      <c r="F436">
        <v>1</v>
      </c>
      <c r="G436">
        <v>1</v>
      </c>
      <c r="H436">
        <v>2</v>
      </c>
      <c r="I436" t="s">
        <v>670</v>
      </c>
      <c r="J436" t="s">
        <v>671</v>
      </c>
      <c r="K436" t="s">
        <v>672</v>
      </c>
      <c r="L436">
        <v>1368</v>
      </c>
      <c r="N436">
        <v>1011</v>
      </c>
      <c r="O436" t="s">
        <v>634</v>
      </c>
      <c r="P436" t="s">
        <v>634</v>
      </c>
      <c r="Q436">
        <v>1</v>
      </c>
      <c r="W436">
        <v>0</v>
      </c>
      <c r="X436">
        <v>-1718674368</v>
      </c>
      <c r="Y436">
        <v>1.2500000000000001E-2</v>
      </c>
      <c r="AA436">
        <v>0</v>
      </c>
      <c r="AB436">
        <v>111.99</v>
      </c>
      <c r="AC436">
        <v>13.5</v>
      </c>
      <c r="AD436">
        <v>0</v>
      </c>
      <c r="AE436">
        <v>0</v>
      </c>
      <c r="AF436">
        <v>111.99</v>
      </c>
      <c r="AG436">
        <v>13.5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224</v>
      </c>
      <c r="AT436">
        <v>0.01</v>
      </c>
      <c r="AU436" t="s">
        <v>239</v>
      </c>
      <c r="AV436">
        <v>0</v>
      </c>
      <c r="AW436">
        <v>2</v>
      </c>
      <c r="AX436">
        <v>16500475</v>
      </c>
      <c r="AY436">
        <v>1</v>
      </c>
      <c r="AZ436">
        <v>0</v>
      </c>
      <c r="BA436">
        <v>470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Y436*Source!I161</f>
        <v>1.25E-4</v>
      </c>
      <c r="CY436">
        <f>AB436</f>
        <v>111.99</v>
      </c>
      <c r="CZ436">
        <f>AF436</f>
        <v>111.99</v>
      </c>
      <c r="DA436">
        <f>AJ436</f>
        <v>1</v>
      </c>
      <c r="DB436">
        <v>0</v>
      </c>
    </row>
    <row r="437" spans="1:106" x14ac:dyDescent="0.2">
      <c r="A437">
        <f>ROW(Source!A161)</f>
        <v>161</v>
      </c>
      <c r="B437">
        <v>16499835</v>
      </c>
      <c r="C437">
        <v>16500471</v>
      </c>
      <c r="D437">
        <v>15249073</v>
      </c>
      <c r="E437">
        <v>1</v>
      </c>
      <c r="F437">
        <v>1</v>
      </c>
      <c r="G437">
        <v>1</v>
      </c>
      <c r="H437">
        <v>2</v>
      </c>
      <c r="I437" t="s">
        <v>631</v>
      </c>
      <c r="J437" t="s">
        <v>632</v>
      </c>
      <c r="K437" t="s">
        <v>633</v>
      </c>
      <c r="L437">
        <v>1368</v>
      </c>
      <c r="N437">
        <v>1011</v>
      </c>
      <c r="O437" t="s">
        <v>634</v>
      </c>
      <c r="P437" t="s">
        <v>634</v>
      </c>
      <c r="Q437">
        <v>1</v>
      </c>
      <c r="W437">
        <v>0</v>
      </c>
      <c r="X437">
        <v>1372534845</v>
      </c>
      <c r="Y437">
        <v>1.2500000000000001E-2</v>
      </c>
      <c r="AA437">
        <v>0</v>
      </c>
      <c r="AB437">
        <v>65.709999999999994</v>
      </c>
      <c r="AC437">
        <v>11.6</v>
      </c>
      <c r="AD437">
        <v>0</v>
      </c>
      <c r="AE437">
        <v>0</v>
      </c>
      <c r="AF437">
        <v>65.709999999999994</v>
      </c>
      <c r="AG437">
        <v>11.6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224</v>
      </c>
      <c r="AT437">
        <v>0.01</v>
      </c>
      <c r="AU437" t="s">
        <v>239</v>
      </c>
      <c r="AV437">
        <v>0</v>
      </c>
      <c r="AW437">
        <v>2</v>
      </c>
      <c r="AX437">
        <v>16500476</v>
      </c>
      <c r="AY437">
        <v>1</v>
      </c>
      <c r="AZ437">
        <v>0</v>
      </c>
      <c r="BA437">
        <v>471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Y437*Source!I161</f>
        <v>1.25E-4</v>
      </c>
      <c r="CY437">
        <f>AB437</f>
        <v>65.709999999999994</v>
      </c>
      <c r="CZ437">
        <f>AF437</f>
        <v>65.709999999999994</v>
      </c>
      <c r="DA437">
        <f>AJ437</f>
        <v>1</v>
      </c>
      <c r="DB437">
        <v>0</v>
      </c>
    </row>
    <row r="438" spans="1:106" x14ac:dyDescent="0.2">
      <c r="A438">
        <f>ROW(Source!A161)</f>
        <v>161</v>
      </c>
      <c r="B438">
        <v>16499835</v>
      </c>
      <c r="C438">
        <v>16500471</v>
      </c>
      <c r="D438">
        <v>15167286</v>
      </c>
      <c r="E438">
        <v>1</v>
      </c>
      <c r="F438">
        <v>1</v>
      </c>
      <c r="G438">
        <v>1</v>
      </c>
      <c r="H438">
        <v>3</v>
      </c>
      <c r="I438" t="s">
        <v>778</v>
      </c>
      <c r="J438" t="s">
        <v>779</v>
      </c>
      <c r="K438" t="s">
        <v>780</v>
      </c>
      <c r="L438">
        <v>1339</v>
      </c>
      <c r="N438">
        <v>1007</v>
      </c>
      <c r="O438" t="s">
        <v>691</v>
      </c>
      <c r="P438" t="s">
        <v>691</v>
      </c>
      <c r="Q438">
        <v>1</v>
      </c>
      <c r="W438">
        <v>0</v>
      </c>
      <c r="X438">
        <v>-1660354250</v>
      </c>
      <c r="Y438">
        <v>0.39</v>
      </c>
      <c r="AA438">
        <v>2.44</v>
      </c>
      <c r="AB438">
        <v>0</v>
      </c>
      <c r="AC438">
        <v>0</v>
      </c>
      <c r="AD438">
        <v>0</v>
      </c>
      <c r="AE438">
        <v>2.44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224</v>
      </c>
      <c r="AT438">
        <v>0.39</v>
      </c>
      <c r="AU438" t="s">
        <v>224</v>
      </c>
      <c r="AV438">
        <v>0</v>
      </c>
      <c r="AW438">
        <v>2</v>
      </c>
      <c r="AX438">
        <v>16500477</v>
      </c>
      <c r="AY438">
        <v>1</v>
      </c>
      <c r="AZ438">
        <v>0</v>
      </c>
      <c r="BA438">
        <v>472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Y438*Source!I161</f>
        <v>3.9000000000000003E-3</v>
      </c>
      <c r="CY438">
        <f>AA438</f>
        <v>2.44</v>
      </c>
      <c r="CZ438">
        <f>AE438</f>
        <v>2.44</v>
      </c>
      <c r="DA438">
        <f>AI438</f>
        <v>1</v>
      </c>
      <c r="DB438">
        <v>0</v>
      </c>
    </row>
    <row r="439" spans="1:106" x14ac:dyDescent="0.2">
      <c r="A439">
        <f>ROW(Source!A161)</f>
        <v>161</v>
      </c>
      <c r="B439">
        <v>16499835</v>
      </c>
      <c r="C439">
        <v>16500471</v>
      </c>
      <c r="D439">
        <v>15169924</v>
      </c>
      <c r="E439">
        <v>1</v>
      </c>
      <c r="F439">
        <v>1</v>
      </c>
      <c r="G439">
        <v>1</v>
      </c>
      <c r="H439">
        <v>3</v>
      </c>
      <c r="I439" t="s">
        <v>49</v>
      </c>
      <c r="J439" t="s">
        <v>50</v>
      </c>
      <c r="K439" t="s">
        <v>51</v>
      </c>
      <c r="L439">
        <v>1348</v>
      </c>
      <c r="N439">
        <v>1009</v>
      </c>
      <c r="O439" t="s">
        <v>288</v>
      </c>
      <c r="P439" t="s">
        <v>288</v>
      </c>
      <c r="Q439">
        <v>1000</v>
      </c>
      <c r="W439">
        <v>0</v>
      </c>
      <c r="X439">
        <v>-405065451</v>
      </c>
      <c r="Y439">
        <v>1.1999999999999999E-3</v>
      </c>
      <c r="AA439">
        <v>14830</v>
      </c>
      <c r="AB439">
        <v>0</v>
      </c>
      <c r="AC439">
        <v>0</v>
      </c>
      <c r="AD439">
        <v>0</v>
      </c>
      <c r="AE439">
        <v>14830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224</v>
      </c>
      <c r="AT439">
        <v>1.1999999999999999E-3</v>
      </c>
      <c r="AU439" t="s">
        <v>224</v>
      </c>
      <c r="AV439">
        <v>0</v>
      </c>
      <c r="AW439">
        <v>2</v>
      </c>
      <c r="AX439">
        <v>16500478</v>
      </c>
      <c r="AY439">
        <v>1</v>
      </c>
      <c r="AZ439">
        <v>0</v>
      </c>
      <c r="BA439">
        <v>473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Y439*Source!I161</f>
        <v>1.1999999999999999E-5</v>
      </c>
      <c r="CY439">
        <f>AA439</f>
        <v>14830</v>
      </c>
      <c r="CZ439">
        <f>AE439</f>
        <v>14830</v>
      </c>
      <c r="DA439">
        <f>AI439</f>
        <v>1</v>
      </c>
      <c r="DB439">
        <v>0</v>
      </c>
    </row>
    <row r="440" spans="1:106" x14ac:dyDescent="0.2">
      <c r="A440">
        <f>ROW(Source!A161)</f>
        <v>161</v>
      </c>
      <c r="B440">
        <v>16499835</v>
      </c>
      <c r="C440">
        <v>16500471</v>
      </c>
      <c r="D440">
        <v>15170781</v>
      </c>
      <c r="E440">
        <v>1</v>
      </c>
      <c r="F440">
        <v>1</v>
      </c>
      <c r="G440">
        <v>1</v>
      </c>
      <c r="H440">
        <v>3</v>
      </c>
      <c r="I440" t="s">
        <v>52</v>
      </c>
      <c r="J440" t="s">
        <v>53</v>
      </c>
      <c r="K440" t="s">
        <v>54</v>
      </c>
      <c r="L440">
        <v>1346</v>
      </c>
      <c r="N440">
        <v>1009</v>
      </c>
      <c r="O440" t="s">
        <v>303</v>
      </c>
      <c r="P440" t="s">
        <v>303</v>
      </c>
      <c r="Q440">
        <v>1</v>
      </c>
      <c r="W440">
        <v>0</v>
      </c>
      <c r="X440">
        <v>1537401615</v>
      </c>
      <c r="Y440">
        <v>1.5</v>
      </c>
      <c r="AA440">
        <v>24.41</v>
      </c>
      <c r="AB440">
        <v>0</v>
      </c>
      <c r="AC440">
        <v>0</v>
      </c>
      <c r="AD440">
        <v>0</v>
      </c>
      <c r="AE440">
        <v>24.41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224</v>
      </c>
      <c r="AT440">
        <v>1.5</v>
      </c>
      <c r="AU440" t="s">
        <v>224</v>
      </c>
      <c r="AV440">
        <v>0</v>
      </c>
      <c r="AW440">
        <v>2</v>
      </c>
      <c r="AX440">
        <v>16500479</v>
      </c>
      <c r="AY440">
        <v>1</v>
      </c>
      <c r="AZ440">
        <v>0</v>
      </c>
      <c r="BA440">
        <v>474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Y440*Source!I161</f>
        <v>1.4999999999999999E-2</v>
      </c>
      <c r="CY440">
        <f>AA440</f>
        <v>24.41</v>
      </c>
      <c r="CZ440">
        <f>AE440</f>
        <v>24.41</v>
      </c>
      <c r="DA440">
        <f>AI440</f>
        <v>1</v>
      </c>
      <c r="DB440">
        <v>0</v>
      </c>
    </row>
    <row r="441" spans="1:106" x14ac:dyDescent="0.2">
      <c r="A441">
        <f>ROW(Source!A161)</f>
        <v>161</v>
      </c>
      <c r="B441">
        <v>16499835</v>
      </c>
      <c r="C441">
        <v>16500471</v>
      </c>
      <c r="D441">
        <v>15233613</v>
      </c>
      <c r="E441">
        <v>1</v>
      </c>
      <c r="F441">
        <v>1</v>
      </c>
      <c r="G441">
        <v>1</v>
      </c>
      <c r="H441">
        <v>3</v>
      </c>
      <c r="I441" t="s">
        <v>522</v>
      </c>
      <c r="J441" t="s">
        <v>524</v>
      </c>
      <c r="K441" t="s">
        <v>523</v>
      </c>
      <c r="L441">
        <v>1301</v>
      </c>
      <c r="N441">
        <v>1003</v>
      </c>
      <c r="O441" t="s">
        <v>351</v>
      </c>
      <c r="P441" t="s">
        <v>351</v>
      </c>
      <c r="Q441">
        <v>1</v>
      </c>
      <c r="W441">
        <v>0</v>
      </c>
      <c r="X441">
        <v>1805353578</v>
      </c>
      <c r="Y441">
        <v>99.8</v>
      </c>
      <c r="AA441">
        <v>39.36</v>
      </c>
      <c r="AB441">
        <v>0</v>
      </c>
      <c r="AC441">
        <v>0</v>
      </c>
      <c r="AD441">
        <v>0</v>
      </c>
      <c r="AE441">
        <v>39.36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0</v>
      </c>
      <c r="AP441">
        <v>0</v>
      </c>
      <c r="AQ441">
        <v>0</v>
      </c>
      <c r="AR441">
        <v>0</v>
      </c>
      <c r="AS441" t="s">
        <v>224</v>
      </c>
      <c r="AT441">
        <v>99.8</v>
      </c>
      <c r="AU441" t="s">
        <v>224</v>
      </c>
      <c r="AV441">
        <v>0</v>
      </c>
      <c r="AW441">
        <v>1</v>
      </c>
      <c r="AX441">
        <v>-1</v>
      </c>
      <c r="AY441">
        <v>0</v>
      </c>
      <c r="AZ441">
        <v>0</v>
      </c>
      <c r="BA441" t="s">
        <v>224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Y441*Source!I161</f>
        <v>0.998</v>
      </c>
      <c r="CY441">
        <f>AA441</f>
        <v>39.36</v>
      </c>
      <c r="CZ441">
        <f>AE441</f>
        <v>39.36</v>
      </c>
      <c r="DA441">
        <f>AI441</f>
        <v>1</v>
      </c>
      <c r="DB441">
        <v>0</v>
      </c>
    </row>
    <row r="442" spans="1:106" x14ac:dyDescent="0.2">
      <c r="A442">
        <f>ROW(Source!A162)</f>
        <v>162</v>
      </c>
      <c r="B442">
        <v>16499878</v>
      </c>
      <c r="C442">
        <v>16500471</v>
      </c>
      <c r="D442">
        <v>15446300</v>
      </c>
      <c r="E442">
        <v>1</v>
      </c>
      <c r="F442">
        <v>1</v>
      </c>
      <c r="G442">
        <v>1</v>
      </c>
      <c r="H442">
        <v>1</v>
      </c>
      <c r="I442" t="s">
        <v>651</v>
      </c>
      <c r="J442" t="s">
        <v>224</v>
      </c>
      <c r="K442" t="s">
        <v>652</v>
      </c>
      <c r="L442">
        <v>1191</v>
      </c>
      <c r="N442">
        <v>1013</v>
      </c>
      <c r="O442" t="s">
        <v>628</v>
      </c>
      <c r="P442" t="s">
        <v>628</v>
      </c>
      <c r="Q442">
        <v>1</v>
      </c>
      <c r="W442">
        <v>0</v>
      </c>
      <c r="X442">
        <v>912892513</v>
      </c>
      <c r="Y442">
        <v>73.875999999999991</v>
      </c>
      <c r="AA442">
        <v>0</v>
      </c>
      <c r="AB442">
        <v>0</v>
      </c>
      <c r="AC442">
        <v>0</v>
      </c>
      <c r="AD442">
        <v>60.31</v>
      </c>
      <c r="AE442">
        <v>0</v>
      </c>
      <c r="AF442">
        <v>0</v>
      </c>
      <c r="AG442">
        <v>0</v>
      </c>
      <c r="AH442">
        <v>9.92</v>
      </c>
      <c r="AI442">
        <v>1</v>
      </c>
      <c r="AJ442">
        <v>1</v>
      </c>
      <c r="AK442">
        <v>1</v>
      </c>
      <c r="AL442">
        <v>6.08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224</v>
      </c>
      <c r="AT442">
        <v>64.239999999999995</v>
      </c>
      <c r="AU442" t="s">
        <v>240</v>
      </c>
      <c r="AV442">
        <v>1</v>
      </c>
      <c r="AW442">
        <v>2</v>
      </c>
      <c r="AX442">
        <v>16500472</v>
      </c>
      <c r="AY442">
        <v>1</v>
      </c>
      <c r="AZ442">
        <v>0</v>
      </c>
      <c r="BA442">
        <v>478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Y442*Source!I162</f>
        <v>0.73875999999999997</v>
      </c>
      <c r="CY442">
        <f>AD442</f>
        <v>60.31</v>
      </c>
      <c r="CZ442">
        <f>AH442</f>
        <v>9.92</v>
      </c>
      <c r="DA442">
        <f>AL442</f>
        <v>6.08</v>
      </c>
      <c r="DB442">
        <v>0</v>
      </c>
    </row>
    <row r="443" spans="1:106" x14ac:dyDescent="0.2">
      <c r="A443">
        <f>ROW(Source!A162)</f>
        <v>162</v>
      </c>
      <c r="B443">
        <v>16499878</v>
      </c>
      <c r="C443">
        <v>16500471</v>
      </c>
      <c r="D443">
        <v>15430395</v>
      </c>
      <c r="E443">
        <v>1</v>
      </c>
      <c r="F443">
        <v>1</v>
      </c>
      <c r="G443">
        <v>1</v>
      </c>
      <c r="H443">
        <v>1</v>
      </c>
      <c r="I443" t="s">
        <v>629</v>
      </c>
      <c r="J443" t="s">
        <v>224</v>
      </c>
      <c r="K443" t="s">
        <v>630</v>
      </c>
      <c r="L443">
        <v>1191</v>
      </c>
      <c r="N443">
        <v>1013</v>
      </c>
      <c r="O443" t="s">
        <v>628</v>
      </c>
      <c r="P443" t="s">
        <v>628</v>
      </c>
      <c r="Q443">
        <v>1</v>
      </c>
      <c r="W443">
        <v>0</v>
      </c>
      <c r="X443">
        <v>-1417349443</v>
      </c>
      <c r="Y443">
        <v>0.03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6.08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224</v>
      </c>
      <c r="AT443">
        <v>0.03</v>
      </c>
      <c r="AU443" t="s">
        <v>224</v>
      </c>
      <c r="AV443">
        <v>2</v>
      </c>
      <c r="AW443">
        <v>2</v>
      </c>
      <c r="AX443">
        <v>16500473</v>
      </c>
      <c r="AY443">
        <v>1</v>
      </c>
      <c r="AZ443">
        <v>2048</v>
      </c>
      <c r="BA443">
        <v>479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Y443*Source!I162</f>
        <v>2.9999999999999997E-4</v>
      </c>
      <c r="CY443">
        <f>AD443</f>
        <v>0</v>
      </c>
      <c r="CZ443">
        <f>AH443</f>
        <v>0</v>
      </c>
      <c r="DA443">
        <f>AL443</f>
        <v>1</v>
      </c>
      <c r="DB443">
        <v>0</v>
      </c>
    </row>
    <row r="444" spans="1:106" x14ac:dyDescent="0.2">
      <c r="A444">
        <f>ROW(Source!A162)</f>
        <v>162</v>
      </c>
      <c r="B444">
        <v>16499878</v>
      </c>
      <c r="C444">
        <v>16500471</v>
      </c>
      <c r="D444">
        <v>15247578</v>
      </c>
      <c r="E444">
        <v>1</v>
      </c>
      <c r="F444">
        <v>1</v>
      </c>
      <c r="G444">
        <v>1</v>
      </c>
      <c r="H444">
        <v>2</v>
      </c>
      <c r="I444" t="s">
        <v>11</v>
      </c>
      <c r="J444" t="s">
        <v>12</v>
      </c>
      <c r="K444" t="s">
        <v>13</v>
      </c>
      <c r="L444">
        <v>1368</v>
      </c>
      <c r="N444">
        <v>1011</v>
      </c>
      <c r="O444" t="s">
        <v>634</v>
      </c>
      <c r="P444" t="s">
        <v>634</v>
      </c>
      <c r="Q444">
        <v>1</v>
      </c>
      <c r="W444">
        <v>0</v>
      </c>
      <c r="X444">
        <v>-1460065968</v>
      </c>
      <c r="Y444">
        <v>1.2500000000000001E-2</v>
      </c>
      <c r="AA444">
        <v>0</v>
      </c>
      <c r="AB444">
        <v>525.30999999999995</v>
      </c>
      <c r="AC444">
        <v>13.5</v>
      </c>
      <c r="AD444">
        <v>0</v>
      </c>
      <c r="AE444">
        <v>0</v>
      </c>
      <c r="AF444">
        <v>86.4</v>
      </c>
      <c r="AG444">
        <v>13.5</v>
      </c>
      <c r="AH444">
        <v>0</v>
      </c>
      <c r="AI444">
        <v>1</v>
      </c>
      <c r="AJ444">
        <v>6.08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224</v>
      </c>
      <c r="AT444">
        <v>0.01</v>
      </c>
      <c r="AU444" t="s">
        <v>239</v>
      </c>
      <c r="AV444">
        <v>0</v>
      </c>
      <c r="AW444">
        <v>2</v>
      </c>
      <c r="AX444">
        <v>16500474</v>
      </c>
      <c r="AY444">
        <v>1</v>
      </c>
      <c r="AZ444">
        <v>0</v>
      </c>
      <c r="BA444">
        <v>480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Y444*Source!I162</f>
        <v>1.25E-4</v>
      </c>
      <c r="CY444">
        <f>AB444</f>
        <v>525.30999999999995</v>
      </c>
      <c r="CZ444">
        <f>AF444</f>
        <v>86.4</v>
      </c>
      <c r="DA444">
        <f>AJ444</f>
        <v>6.08</v>
      </c>
      <c r="DB444">
        <v>0</v>
      </c>
    </row>
    <row r="445" spans="1:106" x14ac:dyDescent="0.2">
      <c r="A445">
        <f>ROW(Source!A162)</f>
        <v>162</v>
      </c>
      <c r="B445">
        <v>16499878</v>
      </c>
      <c r="C445">
        <v>16500471</v>
      </c>
      <c r="D445">
        <v>15247680</v>
      </c>
      <c r="E445">
        <v>1</v>
      </c>
      <c r="F445">
        <v>1</v>
      </c>
      <c r="G445">
        <v>1</v>
      </c>
      <c r="H445">
        <v>2</v>
      </c>
      <c r="I445" t="s">
        <v>670</v>
      </c>
      <c r="J445" t="s">
        <v>671</v>
      </c>
      <c r="K445" t="s">
        <v>672</v>
      </c>
      <c r="L445">
        <v>1368</v>
      </c>
      <c r="N445">
        <v>1011</v>
      </c>
      <c r="O445" t="s">
        <v>634</v>
      </c>
      <c r="P445" t="s">
        <v>634</v>
      </c>
      <c r="Q445">
        <v>1</v>
      </c>
      <c r="W445">
        <v>0</v>
      </c>
      <c r="X445">
        <v>-1718674368</v>
      </c>
      <c r="Y445">
        <v>1.2500000000000001E-2</v>
      </c>
      <c r="AA445">
        <v>0</v>
      </c>
      <c r="AB445">
        <v>680.9</v>
      </c>
      <c r="AC445">
        <v>13.5</v>
      </c>
      <c r="AD445">
        <v>0</v>
      </c>
      <c r="AE445">
        <v>0</v>
      </c>
      <c r="AF445">
        <v>111.99</v>
      </c>
      <c r="AG445">
        <v>13.5</v>
      </c>
      <c r="AH445">
        <v>0</v>
      </c>
      <c r="AI445">
        <v>1</v>
      </c>
      <c r="AJ445">
        <v>6.08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224</v>
      </c>
      <c r="AT445">
        <v>0.01</v>
      </c>
      <c r="AU445" t="s">
        <v>239</v>
      </c>
      <c r="AV445">
        <v>0</v>
      </c>
      <c r="AW445">
        <v>2</v>
      </c>
      <c r="AX445">
        <v>16500475</v>
      </c>
      <c r="AY445">
        <v>1</v>
      </c>
      <c r="AZ445">
        <v>0</v>
      </c>
      <c r="BA445">
        <v>481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Y445*Source!I162</f>
        <v>1.25E-4</v>
      </c>
      <c r="CY445">
        <f>AB445</f>
        <v>680.9</v>
      </c>
      <c r="CZ445">
        <f>AF445</f>
        <v>111.99</v>
      </c>
      <c r="DA445">
        <f>AJ445</f>
        <v>6.08</v>
      </c>
      <c r="DB445">
        <v>0</v>
      </c>
    </row>
    <row r="446" spans="1:106" x14ac:dyDescent="0.2">
      <c r="A446">
        <f>ROW(Source!A162)</f>
        <v>162</v>
      </c>
      <c r="B446">
        <v>16499878</v>
      </c>
      <c r="C446">
        <v>16500471</v>
      </c>
      <c r="D446">
        <v>15249073</v>
      </c>
      <c r="E446">
        <v>1</v>
      </c>
      <c r="F446">
        <v>1</v>
      </c>
      <c r="G446">
        <v>1</v>
      </c>
      <c r="H446">
        <v>2</v>
      </c>
      <c r="I446" t="s">
        <v>631</v>
      </c>
      <c r="J446" t="s">
        <v>632</v>
      </c>
      <c r="K446" t="s">
        <v>633</v>
      </c>
      <c r="L446">
        <v>1368</v>
      </c>
      <c r="N446">
        <v>1011</v>
      </c>
      <c r="O446" t="s">
        <v>634</v>
      </c>
      <c r="P446" t="s">
        <v>634</v>
      </c>
      <c r="Q446">
        <v>1</v>
      </c>
      <c r="W446">
        <v>0</v>
      </c>
      <c r="X446">
        <v>1372534845</v>
      </c>
      <c r="Y446">
        <v>1.2500000000000001E-2</v>
      </c>
      <c r="AA446">
        <v>0</v>
      </c>
      <c r="AB446">
        <v>399.52</v>
      </c>
      <c r="AC446">
        <v>11.6</v>
      </c>
      <c r="AD446">
        <v>0</v>
      </c>
      <c r="AE446">
        <v>0</v>
      </c>
      <c r="AF446">
        <v>65.709999999999994</v>
      </c>
      <c r="AG446">
        <v>11.6</v>
      </c>
      <c r="AH446">
        <v>0</v>
      </c>
      <c r="AI446">
        <v>1</v>
      </c>
      <c r="AJ446">
        <v>6.08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224</v>
      </c>
      <c r="AT446">
        <v>0.01</v>
      </c>
      <c r="AU446" t="s">
        <v>239</v>
      </c>
      <c r="AV446">
        <v>0</v>
      </c>
      <c r="AW446">
        <v>2</v>
      </c>
      <c r="AX446">
        <v>16500476</v>
      </c>
      <c r="AY446">
        <v>1</v>
      </c>
      <c r="AZ446">
        <v>0</v>
      </c>
      <c r="BA446">
        <v>482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Y446*Source!I162</f>
        <v>1.25E-4</v>
      </c>
      <c r="CY446">
        <f>AB446</f>
        <v>399.52</v>
      </c>
      <c r="CZ446">
        <f>AF446</f>
        <v>65.709999999999994</v>
      </c>
      <c r="DA446">
        <f>AJ446</f>
        <v>6.08</v>
      </c>
      <c r="DB446">
        <v>0</v>
      </c>
    </row>
    <row r="447" spans="1:106" x14ac:dyDescent="0.2">
      <c r="A447">
        <f>ROW(Source!A162)</f>
        <v>162</v>
      </c>
      <c r="B447">
        <v>16499878</v>
      </c>
      <c r="C447">
        <v>16500471</v>
      </c>
      <c r="D447">
        <v>15167286</v>
      </c>
      <c r="E447">
        <v>1</v>
      </c>
      <c r="F447">
        <v>1</v>
      </c>
      <c r="G447">
        <v>1</v>
      </c>
      <c r="H447">
        <v>3</v>
      </c>
      <c r="I447" t="s">
        <v>778</v>
      </c>
      <c r="J447" t="s">
        <v>779</v>
      </c>
      <c r="K447" t="s">
        <v>780</v>
      </c>
      <c r="L447">
        <v>1339</v>
      </c>
      <c r="N447">
        <v>1007</v>
      </c>
      <c r="O447" t="s">
        <v>691</v>
      </c>
      <c r="P447" t="s">
        <v>691</v>
      </c>
      <c r="Q447">
        <v>1</v>
      </c>
      <c r="W447">
        <v>0</v>
      </c>
      <c r="X447">
        <v>-1660354250</v>
      </c>
      <c r="Y447">
        <v>0.39</v>
      </c>
      <c r="AA447">
        <v>14.84</v>
      </c>
      <c r="AB447">
        <v>0</v>
      </c>
      <c r="AC447">
        <v>0</v>
      </c>
      <c r="AD447">
        <v>0</v>
      </c>
      <c r="AE447">
        <v>2.44</v>
      </c>
      <c r="AF447">
        <v>0</v>
      </c>
      <c r="AG447">
        <v>0</v>
      </c>
      <c r="AH447">
        <v>0</v>
      </c>
      <c r="AI447">
        <v>6.08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224</v>
      </c>
      <c r="AT447">
        <v>0.39</v>
      </c>
      <c r="AU447" t="s">
        <v>224</v>
      </c>
      <c r="AV447">
        <v>0</v>
      </c>
      <c r="AW447">
        <v>2</v>
      </c>
      <c r="AX447">
        <v>16500477</v>
      </c>
      <c r="AY447">
        <v>1</v>
      </c>
      <c r="AZ447">
        <v>0</v>
      </c>
      <c r="BA447">
        <v>483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Y447*Source!I162</f>
        <v>3.9000000000000003E-3</v>
      </c>
      <c r="CY447">
        <f>AA447</f>
        <v>14.84</v>
      </c>
      <c r="CZ447">
        <f>AE447</f>
        <v>2.44</v>
      </c>
      <c r="DA447">
        <f>AI447</f>
        <v>6.08</v>
      </c>
      <c r="DB447">
        <v>0</v>
      </c>
    </row>
    <row r="448" spans="1:106" x14ac:dyDescent="0.2">
      <c r="A448">
        <f>ROW(Source!A162)</f>
        <v>162</v>
      </c>
      <c r="B448">
        <v>16499878</v>
      </c>
      <c r="C448">
        <v>16500471</v>
      </c>
      <c r="D448">
        <v>15169924</v>
      </c>
      <c r="E448">
        <v>1</v>
      </c>
      <c r="F448">
        <v>1</v>
      </c>
      <c r="G448">
        <v>1</v>
      </c>
      <c r="H448">
        <v>3</v>
      </c>
      <c r="I448" t="s">
        <v>49</v>
      </c>
      <c r="J448" t="s">
        <v>50</v>
      </c>
      <c r="K448" t="s">
        <v>51</v>
      </c>
      <c r="L448">
        <v>1348</v>
      </c>
      <c r="N448">
        <v>1009</v>
      </c>
      <c r="O448" t="s">
        <v>288</v>
      </c>
      <c r="P448" t="s">
        <v>288</v>
      </c>
      <c r="Q448">
        <v>1000</v>
      </c>
      <c r="W448">
        <v>0</v>
      </c>
      <c r="X448">
        <v>-405065451</v>
      </c>
      <c r="Y448">
        <v>1.1999999999999999E-3</v>
      </c>
      <c r="AA448">
        <v>90166.399999999994</v>
      </c>
      <c r="AB448">
        <v>0</v>
      </c>
      <c r="AC448">
        <v>0</v>
      </c>
      <c r="AD448">
        <v>0</v>
      </c>
      <c r="AE448">
        <v>14830</v>
      </c>
      <c r="AF448">
        <v>0</v>
      </c>
      <c r="AG448">
        <v>0</v>
      </c>
      <c r="AH448">
        <v>0</v>
      </c>
      <c r="AI448">
        <v>6.08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224</v>
      </c>
      <c r="AT448">
        <v>1.1999999999999999E-3</v>
      </c>
      <c r="AU448" t="s">
        <v>224</v>
      </c>
      <c r="AV448">
        <v>0</v>
      </c>
      <c r="AW448">
        <v>2</v>
      </c>
      <c r="AX448">
        <v>16500478</v>
      </c>
      <c r="AY448">
        <v>1</v>
      </c>
      <c r="AZ448">
        <v>0</v>
      </c>
      <c r="BA448">
        <v>484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Y448*Source!I162</f>
        <v>1.1999999999999999E-5</v>
      </c>
      <c r="CY448">
        <f>AA448</f>
        <v>90166.399999999994</v>
      </c>
      <c r="CZ448">
        <f>AE448</f>
        <v>14830</v>
      </c>
      <c r="DA448">
        <f>AI448</f>
        <v>6.08</v>
      </c>
      <c r="DB448">
        <v>0</v>
      </c>
    </row>
    <row r="449" spans="1:106" x14ac:dyDescent="0.2">
      <c r="A449">
        <f>ROW(Source!A162)</f>
        <v>162</v>
      </c>
      <c r="B449">
        <v>16499878</v>
      </c>
      <c r="C449">
        <v>16500471</v>
      </c>
      <c r="D449">
        <v>15170781</v>
      </c>
      <c r="E449">
        <v>1</v>
      </c>
      <c r="F449">
        <v>1</v>
      </c>
      <c r="G449">
        <v>1</v>
      </c>
      <c r="H449">
        <v>3</v>
      </c>
      <c r="I449" t="s">
        <v>52</v>
      </c>
      <c r="J449" t="s">
        <v>53</v>
      </c>
      <c r="K449" t="s">
        <v>54</v>
      </c>
      <c r="L449">
        <v>1346</v>
      </c>
      <c r="N449">
        <v>1009</v>
      </c>
      <c r="O449" t="s">
        <v>303</v>
      </c>
      <c r="P449" t="s">
        <v>303</v>
      </c>
      <c r="Q449">
        <v>1</v>
      </c>
      <c r="W449">
        <v>0</v>
      </c>
      <c r="X449">
        <v>1537401615</v>
      </c>
      <c r="Y449">
        <v>1.5</v>
      </c>
      <c r="AA449">
        <v>148.41</v>
      </c>
      <c r="AB449">
        <v>0</v>
      </c>
      <c r="AC449">
        <v>0</v>
      </c>
      <c r="AD449">
        <v>0</v>
      </c>
      <c r="AE449">
        <v>24.41</v>
      </c>
      <c r="AF449">
        <v>0</v>
      </c>
      <c r="AG449">
        <v>0</v>
      </c>
      <c r="AH449">
        <v>0</v>
      </c>
      <c r="AI449">
        <v>6.08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224</v>
      </c>
      <c r="AT449">
        <v>1.5</v>
      </c>
      <c r="AU449" t="s">
        <v>224</v>
      </c>
      <c r="AV449">
        <v>0</v>
      </c>
      <c r="AW449">
        <v>2</v>
      </c>
      <c r="AX449">
        <v>16500479</v>
      </c>
      <c r="AY449">
        <v>1</v>
      </c>
      <c r="AZ449">
        <v>0</v>
      </c>
      <c r="BA449">
        <v>485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Y449*Source!I162</f>
        <v>1.4999999999999999E-2</v>
      </c>
      <c r="CY449">
        <f>AA449</f>
        <v>148.41</v>
      </c>
      <c r="CZ449">
        <f>AE449</f>
        <v>24.41</v>
      </c>
      <c r="DA449">
        <f>AI449</f>
        <v>6.08</v>
      </c>
      <c r="DB449">
        <v>0</v>
      </c>
    </row>
    <row r="450" spans="1:106" x14ac:dyDescent="0.2">
      <c r="A450">
        <f>ROW(Source!A162)</f>
        <v>162</v>
      </c>
      <c r="B450">
        <v>16499878</v>
      </c>
      <c r="C450">
        <v>16500471</v>
      </c>
      <c r="D450">
        <v>15233613</v>
      </c>
      <c r="E450">
        <v>1</v>
      </c>
      <c r="F450">
        <v>1</v>
      </c>
      <c r="G450">
        <v>1</v>
      </c>
      <c r="H450">
        <v>3</v>
      </c>
      <c r="I450" t="s">
        <v>522</v>
      </c>
      <c r="J450" t="s">
        <v>524</v>
      </c>
      <c r="K450" t="s">
        <v>523</v>
      </c>
      <c r="L450">
        <v>1301</v>
      </c>
      <c r="N450">
        <v>1003</v>
      </c>
      <c r="O450" t="s">
        <v>351</v>
      </c>
      <c r="P450" t="s">
        <v>351</v>
      </c>
      <c r="Q450">
        <v>1</v>
      </c>
      <c r="W450">
        <v>0</v>
      </c>
      <c r="X450">
        <v>1805353578</v>
      </c>
      <c r="Y450">
        <v>99.8</v>
      </c>
      <c r="AA450">
        <v>239.31</v>
      </c>
      <c r="AB450">
        <v>0</v>
      </c>
      <c r="AC450">
        <v>0</v>
      </c>
      <c r="AD450">
        <v>0</v>
      </c>
      <c r="AE450">
        <v>39.36</v>
      </c>
      <c r="AF450">
        <v>0</v>
      </c>
      <c r="AG450">
        <v>0</v>
      </c>
      <c r="AH450">
        <v>0</v>
      </c>
      <c r="AI450">
        <v>6.08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224</v>
      </c>
      <c r="AT450">
        <v>99.8</v>
      </c>
      <c r="AU450" t="s">
        <v>224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224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Y450*Source!I162</f>
        <v>0.998</v>
      </c>
      <c r="CY450">
        <f>AA450</f>
        <v>239.31</v>
      </c>
      <c r="CZ450">
        <f>AE450</f>
        <v>39.36</v>
      </c>
      <c r="DA450">
        <f>AI450</f>
        <v>6.08</v>
      </c>
      <c r="DB450">
        <v>0</v>
      </c>
    </row>
    <row r="451" spans="1:106" x14ac:dyDescent="0.2">
      <c r="A451">
        <f>ROW(Source!A165)</f>
        <v>165</v>
      </c>
      <c r="B451">
        <v>16499835</v>
      </c>
      <c r="C451">
        <v>16500490</v>
      </c>
      <c r="D451">
        <v>15436556</v>
      </c>
      <c r="E451">
        <v>1</v>
      </c>
      <c r="F451">
        <v>1</v>
      </c>
      <c r="G451">
        <v>1</v>
      </c>
      <c r="H451">
        <v>1</v>
      </c>
      <c r="I451" t="s">
        <v>726</v>
      </c>
      <c r="J451" t="s">
        <v>224</v>
      </c>
      <c r="K451" t="s">
        <v>727</v>
      </c>
      <c r="L451">
        <v>1191</v>
      </c>
      <c r="N451">
        <v>1013</v>
      </c>
      <c r="O451" t="s">
        <v>628</v>
      </c>
      <c r="P451" t="s">
        <v>628</v>
      </c>
      <c r="Q451">
        <v>1</v>
      </c>
      <c r="W451">
        <v>0</v>
      </c>
      <c r="X451">
        <v>1069510174</v>
      </c>
      <c r="Y451">
        <v>10.3385</v>
      </c>
      <c r="AA451">
        <v>0</v>
      </c>
      <c r="AB451">
        <v>0</v>
      </c>
      <c r="AC451">
        <v>0</v>
      </c>
      <c r="AD451">
        <v>9.6199999999999992</v>
      </c>
      <c r="AE451">
        <v>0</v>
      </c>
      <c r="AF451">
        <v>0</v>
      </c>
      <c r="AG451">
        <v>0</v>
      </c>
      <c r="AH451">
        <v>9.6199999999999992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224</v>
      </c>
      <c r="AT451">
        <v>8.99</v>
      </c>
      <c r="AU451" t="s">
        <v>240</v>
      </c>
      <c r="AV451">
        <v>1</v>
      </c>
      <c r="AW451">
        <v>2</v>
      </c>
      <c r="AX451">
        <v>16500491</v>
      </c>
      <c r="AY451">
        <v>1</v>
      </c>
      <c r="AZ451">
        <v>0</v>
      </c>
      <c r="BA451">
        <v>489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Y451*Source!I165</f>
        <v>1.0338499999999999</v>
      </c>
      <c r="CY451">
        <f>AD451</f>
        <v>9.6199999999999992</v>
      </c>
      <c r="CZ451">
        <f>AH451</f>
        <v>9.6199999999999992</v>
      </c>
      <c r="DA451">
        <f>AL451</f>
        <v>1</v>
      </c>
      <c r="DB451">
        <v>0</v>
      </c>
    </row>
    <row r="452" spans="1:106" x14ac:dyDescent="0.2">
      <c r="A452">
        <f>ROW(Source!A165)</f>
        <v>165</v>
      </c>
      <c r="B452">
        <v>16499835</v>
      </c>
      <c r="C452">
        <v>16500490</v>
      </c>
      <c r="D452">
        <v>15430395</v>
      </c>
      <c r="E452">
        <v>1</v>
      </c>
      <c r="F452">
        <v>1</v>
      </c>
      <c r="G452">
        <v>1</v>
      </c>
      <c r="H452">
        <v>1</v>
      </c>
      <c r="I452" t="s">
        <v>629</v>
      </c>
      <c r="J452" t="s">
        <v>224</v>
      </c>
      <c r="K452" t="s">
        <v>630</v>
      </c>
      <c r="L452">
        <v>1191</v>
      </c>
      <c r="N452">
        <v>1013</v>
      </c>
      <c r="O452" t="s">
        <v>628</v>
      </c>
      <c r="P452" t="s">
        <v>628</v>
      </c>
      <c r="Q452">
        <v>1</v>
      </c>
      <c r="W452">
        <v>0</v>
      </c>
      <c r="X452">
        <v>-1417349443</v>
      </c>
      <c r="Y452">
        <v>0.21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224</v>
      </c>
      <c r="AT452">
        <v>0.21</v>
      </c>
      <c r="AU452" t="s">
        <v>224</v>
      </c>
      <c r="AV452">
        <v>2</v>
      </c>
      <c r="AW452">
        <v>2</v>
      </c>
      <c r="AX452">
        <v>16500492</v>
      </c>
      <c r="AY452">
        <v>1</v>
      </c>
      <c r="AZ452">
        <v>2048</v>
      </c>
      <c r="BA452">
        <v>490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Y452*Source!I165</f>
        <v>2.1000000000000001E-2</v>
      </c>
      <c r="CY452">
        <f>AD452</f>
        <v>0</v>
      </c>
      <c r="CZ452">
        <f>AH452</f>
        <v>0</v>
      </c>
      <c r="DA452">
        <f>AL452</f>
        <v>1</v>
      </c>
      <c r="DB452">
        <v>0</v>
      </c>
    </row>
    <row r="453" spans="1:106" x14ac:dyDescent="0.2">
      <c r="A453">
        <f>ROW(Source!A165)</f>
        <v>165</v>
      </c>
      <c r="B453">
        <v>16499835</v>
      </c>
      <c r="C453">
        <v>16500490</v>
      </c>
      <c r="D453">
        <v>15247974</v>
      </c>
      <c r="E453">
        <v>1</v>
      </c>
      <c r="F453">
        <v>1</v>
      </c>
      <c r="G453">
        <v>1</v>
      </c>
      <c r="H453">
        <v>2</v>
      </c>
      <c r="I453" t="s">
        <v>640</v>
      </c>
      <c r="J453" t="s">
        <v>641</v>
      </c>
      <c r="K453" t="s">
        <v>642</v>
      </c>
      <c r="L453">
        <v>1368</v>
      </c>
      <c r="N453">
        <v>1011</v>
      </c>
      <c r="O453" t="s">
        <v>634</v>
      </c>
      <c r="P453" t="s">
        <v>634</v>
      </c>
      <c r="Q453">
        <v>1</v>
      </c>
      <c r="W453">
        <v>0</v>
      </c>
      <c r="X453">
        <v>1188625873</v>
      </c>
      <c r="Y453">
        <v>8.7500000000000008E-2</v>
      </c>
      <c r="AA453">
        <v>0</v>
      </c>
      <c r="AB453">
        <v>31.26</v>
      </c>
      <c r="AC453">
        <v>13.5</v>
      </c>
      <c r="AD453">
        <v>0</v>
      </c>
      <c r="AE453">
        <v>0</v>
      </c>
      <c r="AF453">
        <v>31.26</v>
      </c>
      <c r="AG453">
        <v>13.5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224</v>
      </c>
      <c r="AT453">
        <v>7.0000000000000007E-2</v>
      </c>
      <c r="AU453" t="s">
        <v>239</v>
      </c>
      <c r="AV453">
        <v>0</v>
      </c>
      <c r="AW453">
        <v>2</v>
      </c>
      <c r="AX453">
        <v>16500493</v>
      </c>
      <c r="AY453">
        <v>1</v>
      </c>
      <c r="AZ453">
        <v>0</v>
      </c>
      <c r="BA453">
        <v>491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Y453*Source!I165</f>
        <v>8.7500000000000008E-3</v>
      </c>
      <c r="CY453">
        <f>AB453</f>
        <v>31.26</v>
      </c>
      <c r="CZ453">
        <f>AF453</f>
        <v>31.26</v>
      </c>
      <c r="DA453">
        <f>AJ453</f>
        <v>1</v>
      </c>
      <c r="DB453">
        <v>0</v>
      </c>
    </row>
    <row r="454" spans="1:106" x14ac:dyDescent="0.2">
      <c r="A454">
        <f>ROW(Source!A165)</f>
        <v>165</v>
      </c>
      <c r="B454">
        <v>16499835</v>
      </c>
      <c r="C454">
        <v>16500490</v>
      </c>
      <c r="D454">
        <v>15249073</v>
      </c>
      <c r="E454">
        <v>1</v>
      </c>
      <c r="F454">
        <v>1</v>
      </c>
      <c r="G454">
        <v>1</v>
      </c>
      <c r="H454">
        <v>2</v>
      </c>
      <c r="I454" t="s">
        <v>631</v>
      </c>
      <c r="J454" t="s">
        <v>632</v>
      </c>
      <c r="K454" t="s">
        <v>633</v>
      </c>
      <c r="L454">
        <v>1368</v>
      </c>
      <c r="N454">
        <v>1011</v>
      </c>
      <c r="O454" t="s">
        <v>634</v>
      </c>
      <c r="P454" t="s">
        <v>634</v>
      </c>
      <c r="Q454">
        <v>1</v>
      </c>
      <c r="W454">
        <v>0</v>
      </c>
      <c r="X454">
        <v>1372534845</v>
      </c>
      <c r="Y454">
        <v>0.17500000000000002</v>
      </c>
      <c r="AA454">
        <v>0</v>
      </c>
      <c r="AB454">
        <v>65.709999999999994</v>
      </c>
      <c r="AC454">
        <v>11.6</v>
      </c>
      <c r="AD454">
        <v>0</v>
      </c>
      <c r="AE454">
        <v>0</v>
      </c>
      <c r="AF454">
        <v>65.709999999999994</v>
      </c>
      <c r="AG454">
        <v>11.6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224</v>
      </c>
      <c r="AT454">
        <v>0.14000000000000001</v>
      </c>
      <c r="AU454" t="s">
        <v>239</v>
      </c>
      <c r="AV454">
        <v>0</v>
      </c>
      <c r="AW454">
        <v>2</v>
      </c>
      <c r="AX454">
        <v>16500494</v>
      </c>
      <c r="AY454">
        <v>1</v>
      </c>
      <c r="AZ454">
        <v>0</v>
      </c>
      <c r="BA454">
        <v>492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Y454*Source!I165</f>
        <v>1.7500000000000002E-2</v>
      </c>
      <c r="CY454">
        <f>AB454</f>
        <v>65.709999999999994</v>
      </c>
      <c r="CZ454">
        <f>AF454</f>
        <v>65.709999999999994</v>
      </c>
      <c r="DA454">
        <f>AJ454</f>
        <v>1</v>
      </c>
      <c r="DB454">
        <v>0</v>
      </c>
    </row>
    <row r="455" spans="1:106" x14ac:dyDescent="0.2">
      <c r="A455">
        <f>ROW(Source!A165)</f>
        <v>165</v>
      </c>
      <c r="B455">
        <v>16499835</v>
      </c>
      <c r="C455">
        <v>16500490</v>
      </c>
      <c r="D455">
        <v>15167955</v>
      </c>
      <c r="E455">
        <v>1</v>
      </c>
      <c r="F455">
        <v>1</v>
      </c>
      <c r="G455">
        <v>1</v>
      </c>
      <c r="H455">
        <v>3</v>
      </c>
      <c r="I455" t="s">
        <v>55</v>
      </c>
      <c r="J455" t="s">
        <v>56</v>
      </c>
      <c r="K455" t="s">
        <v>57</v>
      </c>
      <c r="L455">
        <v>1348</v>
      </c>
      <c r="N455">
        <v>1009</v>
      </c>
      <c r="O455" t="s">
        <v>288</v>
      </c>
      <c r="P455" t="s">
        <v>288</v>
      </c>
      <c r="Q455">
        <v>1000</v>
      </c>
      <c r="W455">
        <v>0</v>
      </c>
      <c r="X455">
        <v>-1699345571</v>
      </c>
      <c r="Y455">
        <v>1.4E-3</v>
      </c>
      <c r="AA455">
        <v>30030</v>
      </c>
      <c r="AB455">
        <v>0</v>
      </c>
      <c r="AC455">
        <v>0</v>
      </c>
      <c r="AD455">
        <v>0</v>
      </c>
      <c r="AE455">
        <v>30030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224</v>
      </c>
      <c r="AT455">
        <v>1.4E-3</v>
      </c>
      <c r="AU455" t="s">
        <v>224</v>
      </c>
      <c r="AV455">
        <v>0</v>
      </c>
      <c r="AW455">
        <v>2</v>
      </c>
      <c r="AX455">
        <v>16500495</v>
      </c>
      <c r="AY455">
        <v>1</v>
      </c>
      <c r="AZ455">
        <v>0</v>
      </c>
      <c r="BA455">
        <v>493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Y455*Source!I165</f>
        <v>1.4000000000000001E-4</v>
      </c>
      <c r="CY455">
        <f t="shared" ref="CY455:CY460" si="66">AA455</f>
        <v>30030</v>
      </c>
      <c r="CZ455">
        <f t="shared" ref="CZ455:CZ460" si="67">AE455</f>
        <v>30030</v>
      </c>
      <c r="DA455">
        <f t="shared" ref="DA455:DA460" si="68">AI455</f>
        <v>1</v>
      </c>
      <c r="DB455">
        <v>0</v>
      </c>
    </row>
    <row r="456" spans="1:106" x14ac:dyDescent="0.2">
      <c r="A456">
        <f>ROW(Source!A165)</f>
        <v>165</v>
      </c>
      <c r="B456">
        <v>16499835</v>
      </c>
      <c r="C456">
        <v>16500490</v>
      </c>
      <c r="D456">
        <v>15167963</v>
      </c>
      <c r="E456">
        <v>1</v>
      </c>
      <c r="F456">
        <v>1</v>
      </c>
      <c r="G456">
        <v>1</v>
      </c>
      <c r="H456">
        <v>3</v>
      </c>
      <c r="I456" t="s">
        <v>37</v>
      </c>
      <c r="J456" t="s">
        <v>38</v>
      </c>
      <c r="K456" t="s">
        <v>39</v>
      </c>
      <c r="L456">
        <v>1346</v>
      </c>
      <c r="N456">
        <v>1009</v>
      </c>
      <c r="O456" t="s">
        <v>303</v>
      </c>
      <c r="P456" t="s">
        <v>303</v>
      </c>
      <c r="Q456">
        <v>1</v>
      </c>
      <c r="W456">
        <v>0</v>
      </c>
      <c r="X456">
        <v>-490687590</v>
      </c>
      <c r="Y456">
        <v>0.02</v>
      </c>
      <c r="AA456">
        <v>37.29</v>
      </c>
      <c r="AB456">
        <v>0</v>
      </c>
      <c r="AC456">
        <v>0</v>
      </c>
      <c r="AD456">
        <v>0</v>
      </c>
      <c r="AE456">
        <v>37.29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224</v>
      </c>
      <c r="AT456">
        <v>0.02</v>
      </c>
      <c r="AU456" t="s">
        <v>224</v>
      </c>
      <c r="AV456">
        <v>0</v>
      </c>
      <c r="AW456">
        <v>2</v>
      </c>
      <c r="AX456">
        <v>16500496</v>
      </c>
      <c r="AY456">
        <v>1</v>
      </c>
      <c r="AZ456">
        <v>0</v>
      </c>
      <c r="BA456">
        <v>494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Y456*Source!I165</f>
        <v>2E-3</v>
      </c>
      <c r="CY456">
        <f t="shared" si="66"/>
        <v>37.29</v>
      </c>
      <c r="CZ456">
        <f t="shared" si="67"/>
        <v>37.29</v>
      </c>
      <c r="DA456">
        <f t="shared" si="68"/>
        <v>1</v>
      </c>
      <c r="DB456">
        <v>0</v>
      </c>
    </row>
    <row r="457" spans="1:106" x14ac:dyDescent="0.2">
      <c r="A457">
        <f>ROW(Source!A165)</f>
        <v>165</v>
      </c>
      <c r="B457">
        <v>16499835</v>
      </c>
      <c r="C457">
        <v>16500490</v>
      </c>
      <c r="D457">
        <v>15172117</v>
      </c>
      <c r="E457">
        <v>1</v>
      </c>
      <c r="F457">
        <v>1</v>
      </c>
      <c r="G457">
        <v>1</v>
      </c>
      <c r="H457">
        <v>3</v>
      </c>
      <c r="I457" t="s">
        <v>58</v>
      </c>
      <c r="J457" t="s">
        <v>59</v>
      </c>
      <c r="K457" t="s">
        <v>60</v>
      </c>
      <c r="L457">
        <v>1348</v>
      </c>
      <c r="N457">
        <v>1009</v>
      </c>
      <c r="O457" t="s">
        <v>288</v>
      </c>
      <c r="P457" t="s">
        <v>288</v>
      </c>
      <c r="Q457">
        <v>1000</v>
      </c>
      <c r="W457">
        <v>0</v>
      </c>
      <c r="X457">
        <v>1529337430</v>
      </c>
      <c r="Y457">
        <v>2E-3</v>
      </c>
      <c r="AA457">
        <v>1836</v>
      </c>
      <c r="AB457">
        <v>0</v>
      </c>
      <c r="AC457">
        <v>0</v>
      </c>
      <c r="AD457">
        <v>0</v>
      </c>
      <c r="AE457">
        <v>1836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224</v>
      </c>
      <c r="AT457">
        <v>2E-3</v>
      </c>
      <c r="AU457" t="s">
        <v>224</v>
      </c>
      <c r="AV457">
        <v>0</v>
      </c>
      <c r="AW457">
        <v>2</v>
      </c>
      <c r="AX457">
        <v>16500499</v>
      </c>
      <c r="AY457">
        <v>1</v>
      </c>
      <c r="AZ457">
        <v>0</v>
      </c>
      <c r="BA457">
        <v>497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Y457*Source!I165</f>
        <v>2.0000000000000001E-4</v>
      </c>
      <c r="CY457">
        <f t="shared" si="66"/>
        <v>1836</v>
      </c>
      <c r="CZ457">
        <f t="shared" si="67"/>
        <v>1836</v>
      </c>
      <c r="DA457">
        <f t="shared" si="68"/>
        <v>1</v>
      </c>
      <c r="DB457">
        <v>0</v>
      </c>
    </row>
    <row r="458" spans="1:106" x14ac:dyDescent="0.2">
      <c r="A458">
        <f>ROW(Source!A165)</f>
        <v>165</v>
      </c>
      <c r="B458">
        <v>16499835</v>
      </c>
      <c r="C458">
        <v>16500490</v>
      </c>
      <c r="D458">
        <v>15203740</v>
      </c>
      <c r="E458">
        <v>1</v>
      </c>
      <c r="F458">
        <v>1</v>
      </c>
      <c r="G458">
        <v>1</v>
      </c>
      <c r="H458">
        <v>3</v>
      </c>
      <c r="I458" t="s">
        <v>796</v>
      </c>
      <c r="J458" t="s">
        <v>797</v>
      </c>
      <c r="K458" t="s">
        <v>798</v>
      </c>
      <c r="L458">
        <v>1348</v>
      </c>
      <c r="N458">
        <v>1009</v>
      </c>
      <c r="O458" t="s">
        <v>288</v>
      </c>
      <c r="P458" t="s">
        <v>288</v>
      </c>
      <c r="Q458">
        <v>1000</v>
      </c>
      <c r="W458">
        <v>0</v>
      </c>
      <c r="X458">
        <v>570223526</v>
      </c>
      <c r="Y458">
        <v>4.0000000000000002E-4</v>
      </c>
      <c r="AA458">
        <v>15119</v>
      </c>
      <c r="AB458">
        <v>0</v>
      </c>
      <c r="AC458">
        <v>0</v>
      </c>
      <c r="AD458">
        <v>0</v>
      </c>
      <c r="AE458">
        <v>15119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224</v>
      </c>
      <c r="AT458">
        <v>4.0000000000000002E-4</v>
      </c>
      <c r="AU458" t="s">
        <v>224</v>
      </c>
      <c r="AV458">
        <v>0</v>
      </c>
      <c r="AW458">
        <v>2</v>
      </c>
      <c r="AX458">
        <v>16500500</v>
      </c>
      <c r="AY458">
        <v>1</v>
      </c>
      <c r="AZ458">
        <v>0</v>
      </c>
      <c r="BA458">
        <v>498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Y458*Source!I165</f>
        <v>4.0000000000000003E-5</v>
      </c>
      <c r="CY458">
        <f t="shared" si="66"/>
        <v>15119</v>
      </c>
      <c r="CZ458">
        <f t="shared" si="67"/>
        <v>15119</v>
      </c>
      <c r="DA458">
        <f t="shared" si="68"/>
        <v>1</v>
      </c>
      <c r="DB458">
        <v>0</v>
      </c>
    </row>
    <row r="459" spans="1:106" x14ac:dyDescent="0.2">
      <c r="A459">
        <f>ROW(Source!A165)</f>
        <v>165</v>
      </c>
      <c r="B459">
        <v>16499835</v>
      </c>
      <c r="C459">
        <v>16500490</v>
      </c>
      <c r="D459">
        <v>15204468</v>
      </c>
      <c r="E459">
        <v>1</v>
      </c>
      <c r="F459">
        <v>1</v>
      </c>
      <c r="G459">
        <v>1</v>
      </c>
      <c r="H459">
        <v>3</v>
      </c>
      <c r="I459" t="s">
        <v>46</v>
      </c>
      <c r="J459" t="s">
        <v>47</v>
      </c>
      <c r="K459" t="s">
        <v>48</v>
      </c>
      <c r="L459">
        <v>1348</v>
      </c>
      <c r="N459">
        <v>1009</v>
      </c>
      <c r="O459" t="s">
        <v>288</v>
      </c>
      <c r="P459" t="s">
        <v>288</v>
      </c>
      <c r="Q459">
        <v>1000</v>
      </c>
      <c r="W459">
        <v>0</v>
      </c>
      <c r="X459">
        <v>-909021926</v>
      </c>
      <c r="Y459">
        <v>2.0000000000000001E-4</v>
      </c>
      <c r="AA459">
        <v>16950</v>
      </c>
      <c r="AB459">
        <v>0</v>
      </c>
      <c r="AC459">
        <v>0</v>
      </c>
      <c r="AD459">
        <v>0</v>
      </c>
      <c r="AE459">
        <v>16950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224</v>
      </c>
      <c r="AT459">
        <v>2.0000000000000001E-4</v>
      </c>
      <c r="AU459" t="s">
        <v>224</v>
      </c>
      <c r="AV459">
        <v>0</v>
      </c>
      <c r="AW459">
        <v>2</v>
      </c>
      <c r="AX459">
        <v>16500502</v>
      </c>
      <c r="AY459">
        <v>1</v>
      </c>
      <c r="AZ459">
        <v>0</v>
      </c>
      <c r="BA459">
        <v>500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Y459*Source!I165</f>
        <v>2.0000000000000002E-5</v>
      </c>
      <c r="CY459">
        <f t="shared" si="66"/>
        <v>16950</v>
      </c>
      <c r="CZ459">
        <f t="shared" si="67"/>
        <v>16950</v>
      </c>
      <c r="DA459">
        <f t="shared" si="68"/>
        <v>1</v>
      </c>
      <c r="DB459">
        <v>0</v>
      </c>
    </row>
    <row r="460" spans="1:106" x14ac:dyDescent="0.2">
      <c r="A460">
        <f>ROW(Source!A165)</f>
        <v>165</v>
      </c>
      <c r="B460">
        <v>16499835</v>
      </c>
      <c r="C460">
        <v>16500490</v>
      </c>
      <c r="D460">
        <v>15211781</v>
      </c>
      <c r="E460">
        <v>1</v>
      </c>
      <c r="F460">
        <v>1</v>
      </c>
      <c r="G460">
        <v>1</v>
      </c>
      <c r="H460">
        <v>3</v>
      </c>
      <c r="I460" t="s">
        <v>533</v>
      </c>
      <c r="J460" t="s">
        <v>536</v>
      </c>
      <c r="K460" t="s">
        <v>534</v>
      </c>
      <c r="L460">
        <v>1035</v>
      </c>
      <c r="N460">
        <v>1013</v>
      </c>
      <c r="O460" t="s">
        <v>535</v>
      </c>
      <c r="P460" t="s">
        <v>535</v>
      </c>
      <c r="Q460">
        <v>1</v>
      </c>
      <c r="W460">
        <v>0</v>
      </c>
      <c r="X460">
        <v>596368426</v>
      </c>
      <c r="Y460">
        <v>10</v>
      </c>
      <c r="AA460">
        <v>101.7</v>
      </c>
      <c r="AB460">
        <v>0</v>
      </c>
      <c r="AC460">
        <v>0</v>
      </c>
      <c r="AD460">
        <v>0</v>
      </c>
      <c r="AE460">
        <v>101.7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224</v>
      </c>
      <c r="AT460">
        <v>10</v>
      </c>
      <c r="AU460" t="s">
        <v>224</v>
      </c>
      <c r="AV460">
        <v>0</v>
      </c>
      <c r="AW460">
        <v>1</v>
      </c>
      <c r="AX460">
        <v>-1</v>
      </c>
      <c r="AY460">
        <v>0</v>
      </c>
      <c r="AZ460">
        <v>0</v>
      </c>
      <c r="BA460" t="s">
        <v>224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Y460*Source!I165</f>
        <v>1</v>
      </c>
      <c r="CY460">
        <f t="shared" si="66"/>
        <v>101.7</v>
      </c>
      <c r="CZ460">
        <f t="shared" si="67"/>
        <v>101.7</v>
      </c>
      <c r="DA460">
        <f t="shared" si="68"/>
        <v>1</v>
      </c>
      <c r="DB460">
        <v>0</v>
      </c>
    </row>
    <row r="461" spans="1:106" x14ac:dyDescent="0.2">
      <c r="A461">
        <f>ROW(Source!A166)</f>
        <v>166</v>
      </c>
      <c r="B461">
        <v>16499878</v>
      </c>
      <c r="C461">
        <v>16500490</v>
      </c>
      <c r="D461">
        <v>15436556</v>
      </c>
      <c r="E461">
        <v>1</v>
      </c>
      <c r="F461">
        <v>1</v>
      </c>
      <c r="G461">
        <v>1</v>
      </c>
      <c r="H461">
        <v>1</v>
      </c>
      <c r="I461" t="s">
        <v>726</v>
      </c>
      <c r="J461" t="s">
        <v>224</v>
      </c>
      <c r="K461" t="s">
        <v>727</v>
      </c>
      <c r="L461">
        <v>1191</v>
      </c>
      <c r="N461">
        <v>1013</v>
      </c>
      <c r="O461" t="s">
        <v>628</v>
      </c>
      <c r="P461" t="s">
        <v>628</v>
      </c>
      <c r="Q461">
        <v>1</v>
      </c>
      <c r="W461">
        <v>0</v>
      </c>
      <c r="X461">
        <v>1069510174</v>
      </c>
      <c r="Y461">
        <v>10.3385</v>
      </c>
      <c r="AA461">
        <v>0</v>
      </c>
      <c r="AB461">
        <v>0</v>
      </c>
      <c r="AC461">
        <v>0</v>
      </c>
      <c r="AD461">
        <v>58.49</v>
      </c>
      <c r="AE461">
        <v>0</v>
      </c>
      <c r="AF461">
        <v>0</v>
      </c>
      <c r="AG461">
        <v>0</v>
      </c>
      <c r="AH461">
        <v>9.6199999999999992</v>
      </c>
      <c r="AI461">
        <v>1</v>
      </c>
      <c r="AJ461">
        <v>1</v>
      </c>
      <c r="AK461">
        <v>1</v>
      </c>
      <c r="AL461">
        <v>6.08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224</v>
      </c>
      <c r="AT461">
        <v>8.99</v>
      </c>
      <c r="AU461" t="s">
        <v>240</v>
      </c>
      <c r="AV461">
        <v>1</v>
      </c>
      <c r="AW461">
        <v>2</v>
      </c>
      <c r="AX461">
        <v>16500491</v>
      </c>
      <c r="AY461">
        <v>1</v>
      </c>
      <c r="AZ461">
        <v>0</v>
      </c>
      <c r="BA461">
        <v>502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Y461*Source!I166</f>
        <v>1.0338499999999999</v>
      </c>
      <c r="CY461">
        <f>AD461</f>
        <v>58.49</v>
      </c>
      <c r="CZ461">
        <f>AH461</f>
        <v>9.6199999999999992</v>
      </c>
      <c r="DA461">
        <f>AL461</f>
        <v>6.08</v>
      </c>
      <c r="DB461">
        <v>0</v>
      </c>
    </row>
    <row r="462" spans="1:106" x14ac:dyDescent="0.2">
      <c r="A462">
        <f>ROW(Source!A166)</f>
        <v>166</v>
      </c>
      <c r="B462">
        <v>16499878</v>
      </c>
      <c r="C462">
        <v>16500490</v>
      </c>
      <c r="D462">
        <v>15430395</v>
      </c>
      <c r="E462">
        <v>1</v>
      </c>
      <c r="F462">
        <v>1</v>
      </c>
      <c r="G462">
        <v>1</v>
      </c>
      <c r="H462">
        <v>1</v>
      </c>
      <c r="I462" t="s">
        <v>629</v>
      </c>
      <c r="J462" t="s">
        <v>224</v>
      </c>
      <c r="K462" t="s">
        <v>630</v>
      </c>
      <c r="L462">
        <v>1191</v>
      </c>
      <c r="N462">
        <v>1013</v>
      </c>
      <c r="O462" t="s">
        <v>628</v>
      </c>
      <c r="P462" t="s">
        <v>628</v>
      </c>
      <c r="Q462">
        <v>1</v>
      </c>
      <c r="W462">
        <v>0</v>
      </c>
      <c r="X462">
        <v>-1417349443</v>
      </c>
      <c r="Y462">
        <v>0.21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6.08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224</v>
      </c>
      <c r="AT462">
        <v>0.21</v>
      </c>
      <c r="AU462" t="s">
        <v>224</v>
      </c>
      <c r="AV462">
        <v>2</v>
      </c>
      <c r="AW462">
        <v>2</v>
      </c>
      <c r="AX462">
        <v>16500492</v>
      </c>
      <c r="AY462">
        <v>1</v>
      </c>
      <c r="AZ462">
        <v>2048</v>
      </c>
      <c r="BA462">
        <v>503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Y462*Source!I166</f>
        <v>2.1000000000000001E-2</v>
      </c>
      <c r="CY462">
        <f>AD462</f>
        <v>0</v>
      </c>
      <c r="CZ462">
        <f>AH462</f>
        <v>0</v>
      </c>
      <c r="DA462">
        <f>AL462</f>
        <v>1</v>
      </c>
      <c r="DB462">
        <v>0</v>
      </c>
    </row>
    <row r="463" spans="1:106" x14ac:dyDescent="0.2">
      <c r="A463">
        <f>ROW(Source!A166)</f>
        <v>166</v>
      </c>
      <c r="B463">
        <v>16499878</v>
      </c>
      <c r="C463">
        <v>16500490</v>
      </c>
      <c r="D463">
        <v>15247974</v>
      </c>
      <c r="E463">
        <v>1</v>
      </c>
      <c r="F463">
        <v>1</v>
      </c>
      <c r="G463">
        <v>1</v>
      </c>
      <c r="H463">
        <v>2</v>
      </c>
      <c r="I463" t="s">
        <v>640</v>
      </c>
      <c r="J463" t="s">
        <v>641</v>
      </c>
      <c r="K463" t="s">
        <v>642</v>
      </c>
      <c r="L463">
        <v>1368</v>
      </c>
      <c r="N463">
        <v>1011</v>
      </c>
      <c r="O463" t="s">
        <v>634</v>
      </c>
      <c r="P463" t="s">
        <v>634</v>
      </c>
      <c r="Q463">
        <v>1</v>
      </c>
      <c r="W463">
        <v>0</v>
      </c>
      <c r="X463">
        <v>1188625873</v>
      </c>
      <c r="Y463">
        <v>8.7500000000000008E-2</v>
      </c>
      <c r="AA463">
        <v>0</v>
      </c>
      <c r="AB463">
        <v>190.06</v>
      </c>
      <c r="AC463">
        <v>13.5</v>
      </c>
      <c r="AD463">
        <v>0</v>
      </c>
      <c r="AE463">
        <v>0</v>
      </c>
      <c r="AF463">
        <v>31.26</v>
      </c>
      <c r="AG463">
        <v>13.5</v>
      </c>
      <c r="AH463">
        <v>0</v>
      </c>
      <c r="AI463">
        <v>1</v>
      </c>
      <c r="AJ463">
        <v>6.08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224</v>
      </c>
      <c r="AT463">
        <v>7.0000000000000007E-2</v>
      </c>
      <c r="AU463" t="s">
        <v>239</v>
      </c>
      <c r="AV463">
        <v>0</v>
      </c>
      <c r="AW463">
        <v>2</v>
      </c>
      <c r="AX463">
        <v>16500493</v>
      </c>
      <c r="AY463">
        <v>1</v>
      </c>
      <c r="AZ463">
        <v>0</v>
      </c>
      <c r="BA463">
        <v>504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Y463*Source!I166</f>
        <v>8.7500000000000008E-3</v>
      </c>
      <c r="CY463">
        <f>AB463</f>
        <v>190.06</v>
      </c>
      <c r="CZ463">
        <f>AF463</f>
        <v>31.26</v>
      </c>
      <c r="DA463">
        <f>AJ463</f>
        <v>6.08</v>
      </c>
      <c r="DB463">
        <v>0</v>
      </c>
    </row>
    <row r="464" spans="1:106" x14ac:dyDescent="0.2">
      <c r="A464">
        <f>ROW(Source!A166)</f>
        <v>166</v>
      </c>
      <c r="B464">
        <v>16499878</v>
      </c>
      <c r="C464">
        <v>16500490</v>
      </c>
      <c r="D464">
        <v>15249073</v>
      </c>
      <c r="E464">
        <v>1</v>
      </c>
      <c r="F464">
        <v>1</v>
      </c>
      <c r="G464">
        <v>1</v>
      </c>
      <c r="H464">
        <v>2</v>
      </c>
      <c r="I464" t="s">
        <v>631</v>
      </c>
      <c r="J464" t="s">
        <v>632</v>
      </c>
      <c r="K464" t="s">
        <v>633</v>
      </c>
      <c r="L464">
        <v>1368</v>
      </c>
      <c r="N464">
        <v>1011</v>
      </c>
      <c r="O464" t="s">
        <v>634</v>
      </c>
      <c r="P464" t="s">
        <v>634</v>
      </c>
      <c r="Q464">
        <v>1</v>
      </c>
      <c r="W464">
        <v>0</v>
      </c>
      <c r="X464">
        <v>1372534845</v>
      </c>
      <c r="Y464">
        <v>0.17500000000000002</v>
      </c>
      <c r="AA464">
        <v>0</v>
      </c>
      <c r="AB464">
        <v>399.52</v>
      </c>
      <c r="AC464">
        <v>11.6</v>
      </c>
      <c r="AD464">
        <v>0</v>
      </c>
      <c r="AE464">
        <v>0</v>
      </c>
      <c r="AF464">
        <v>65.709999999999994</v>
      </c>
      <c r="AG464">
        <v>11.6</v>
      </c>
      <c r="AH464">
        <v>0</v>
      </c>
      <c r="AI464">
        <v>1</v>
      </c>
      <c r="AJ464">
        <v>6.08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224</v>
      </c>
      <c r="AT464">
        <v>0.14000000000000001</v>
      </c>
      <c r="AU464" t="s">
        <v>239</v>
      </c>
      <c r="AV464">
        <v>0</v>
      </c>
      <c r="AW464">
        <v>2</v>
      </c>
      <c r="AX464">
        <v>16500494</v>
      </c>
      <c r="AY464">
        <v>1</v>
      </c>
      <c r="AZ464">
        <v>0</v>
      </c>
      <c r="BA464">
        <v>505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Y464*Source!I166</f>
        <v>1.7500000000000002E-2</v>
      </c>
      <c r="CY464">
        <f>AB464</f>
        <v>399.52</v>
      </c>
      <c r="CZ464">
        <f>AF464</f>
        <v>65.709999999999994</v>
      </c>
      <c r="DA464">
        <f>AJ464</f>
        <v>6.08</v>
      </c>
      <c r="DB464">
        <v>0</v>
      </c>
    </row>
    <row r="465" spans="1:106" x14ac:dyDescent="0.2">
      <c r="A465">
        <f>ROW(Source!A166)</f>
        <v>166</v>
      </c>
      <c r="B465">
        <v>16499878</v>
      </c>
      <c r="C465">
        <v>16500490</v>
      </c>
      <c r="D465">
        <v>15167955</v>
      </c>
      <c r="E465">
        <v>1</v>
      </c>
      <c r="F465">
        <v>1</v>
      </c>
      <c r="G465">
        <v>1</v>
      </c>
      <c r="H465">
        <v>3</v>
      </c>
      <c r="I465" t="s">
        <v>55</v>
      </c>
      <c r="J465" t="s">
        <v>56</v>
      </c>
      <c r="K465" t="s">
        <v>57</v>
      </c>
      <c r="L465">
        <v>1348</v>
      </c>
      <c r="N465">
        <v>1009</v>
      </c>
      <c r="O465" t="s">
        <v>288</v>
      </c>
      <c r="P465" t="s">
        <v>288</v>
      </c>
      <c r="Q465">
        <v>1000</v>
      </c>
      <c r="W465">
        <v>0</v>
      </c>
      <c r="X465">
        <v>-1699345571</v>
      </c>
      <c r="Y465">
        <v>1.4E-3</v>
      </c>
      <c r="AA465">
        <v>182582.39999999999</v>
      </c>
      <c r="AB465">
        <v>0</v>
      </c>
      <c r="AC465">
        <v>0</v>
      </c>
      <c r="AD465">
        <v>0</v>
      </c>
      <c r="AE465">
        <v>30030</v>
      </c>
      <c r="AF465">
        <v>0</v>
      </c>
      <c r="AG465">
        <v>0</v>
      </c>
      <c r="AH465">
        <v>0</v>
      </c>
      <c r="AI465">
        <v>6.08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224</v>
      </c>
      <c r="AT465">
        <v>1.4E-3</v>
      </c>
      <c r="AU465" t="s">
        <v>224</v>
      </c>
      <c r="AV465">
        <v>0</v>
      </c>
      <c r="AW465">
        <v>2</v>
      </c>
      <c r="AX465">
        <v>16500495</v>
      </c>
      <c r="AY465">
        <v>1</v>
      </c>
      <c r="AZ465">
        <v>0</v>
      </c>
      <c r="BA465">
        <v>506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Y465*Source!I166</f>
        <v>1.4000000000000001E-4</v>
      </c>
      <c r="CY465">
        <f t="shared" ref="CY465:CY470" si="69">AA465</f>
        <v>182582.39999999999</v>
      </c>
      <c r="CZ465">
        <f t="shared" ref="CZ465:CZ470" si="70">AE465</f>
        <v>30030</v>
      </c>
      <c r="DA465">
        <f t="shared" ref="DA465:DA470" si="71">AI465</f>
        <v>6.08</v>
      </c>
      <c r="DB465">
        <v>0</v>
      </c>
    </row>
    <row r="466" spans="1:106" x14ac:dyDescent="0.2">
      <c r="A466">
        <f>ROW(Source!A166)</f>
        <v>166</v>
      </c>
      <c r="B466">
        <v>16499878</v>
      </c>
      <c r="C466">
        <v>16500490</v>
      </c>
      <c r="D466">
        <v>15167963</v>
      </c>
      <c r="E466">
        <v>1</v>
      </c>
      <c r="F466">
        <v>1</v>
      </c>
      <c r="G466">
        <v>1</v>
      </c>
      <c r="H466">
        <v>3</v>
      </c>
      <c r="I466" t="s">
        <v>37</v>
      </c>
      <c r="J466" t="s">
        <v>38</v>
      </c>
      <c r="K466" t="s">
        <v>39</v>
      </c>
      <c r="L466">
        <v>1346</v>
      </c>
      <c r="N466">
        <v>1009</v>
      </c>
      <c r="O466" t="s">
        <v>303</v>
      </c>
      <c r="P466" t="s">
        <v>303</v>
      </c>
      <c r="Q466">
        <v>1</v>
      </c>
      <c r="W466">
        <v>0</v>
      </c>
      <c r="X466">
        <v>-490687590</v>
      </c>
      <c r="Y466">
        <v>0.02</v>
      </c>
      <c r="AA466">
        <v>226.72</v>
      </c>
      <c r="AB466">
        <v>0</v>
      </c>
      <c r="AC466">
        <v>0</v>
      </c>
      <c r="AD466">
        <v>0</v>
      </c>
      <c r="AE466">
        <v>37.29</v>
      </c>
      <c r="AF466">
        <v>0</v>
      </c>
      <c r="AG466">
        <v>0</v>
      </c>
      <c r="AH466">
        <v>0</v>
      </c>
      <c r="AI466">
        <v>6.08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224</v>
      </c>
      <c r="AT466">
        <v>0.02</v>
      </c>
      <c r="AU466" t="s">
        <v>224</v>
      </c>
      <c r="AV466">
        <v>0</v>
      </c>
      <c r="AW466">
        <v>2</v>
      </c>
      <c r="AX466">
        <v>16500496</v>
      </c>
      <c r="AY466">
        <v>1</v>
      </c>
      <c r="AZ466">
        <v>0</v>
      </c>
      <c r="BA466">
        <v>507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Y466*Source!I166</f>
        <v>2E-3</v>
      </c>
      <c r="CY466">
        <f t="shared" si="69"/>
        <v>226.72</v>
      </c>
      <c r="CZ466">
        <f t="shared" si="70"/>
        <v>37.29</v>
      </c>
      <c r="DA466">
        <f t="shared" si="71"/>
        <v>6.08</v>
      </c>
      <c r="DB466">
        <v>0</v>
      </c>
    </row>
    <row r="467" spans="1:106" x14ac:dyDescent="0.2">
      <c r="A467">
        <f>ROW(Source!A166)</f>
        <v>166</v>
      </c>
      <c r="B467">
        <v>16499878</v>
      </c>
      <c r="C467">
        <v>16500490</v>
      </c>
      <c r="D467">
        <v>15172117</v>
      </c>
      <c r="E467">
        <v>1</v>
      </c>
      <c r="F467">
        <v>1</v>
      </c>
      <c r="G467">
        <v>1</v>
      </c>
      <c r="H467">
        <v>3</v>
      </c>
      <c r="I467" t="s">
        <v>58</v>
      </c>
      <c r="J467" t="s">
        <v>59</v>
      </c>
      <c r="K467" t="s">
        <v>60</v>
      </c>
      <c r="L467">
        <v>1348</v>
      </c>
      <c r="N467">
        <v>1009</v>
      </c>
      <c r="O467" t="s">
        <v>288</v>
      </c>
      <c r="P467" t="s">
        <v>288</v>
      </c>
      <c r="Q467">
        <v>1000</v>
      </c>
      <c r="W467">
        <v>0</v>
      </c>
      <c r="X467">
        <v>1529337430</v>
      </c>
      <c r="Y467">
        <v>2E-3</v>
      </c>
      <c r="AA467">
        <v>11162.88</v>
      </c>
      <c r="AB467">
        <v>0</v>
      </c>
      <c r="AC467">
        <v>0</v>
      </c>
      <c r="AD467">
        <v>0</v>
      </c>
      <c r="AE467">
        <v>1836</v>
      </c>
      <c r="AF467">
        <v>0</v>
      </c>
      <c r="AG467">
        <v>0</v>
      </c>
      <c r="AH467">
        <v>0</v>
      </c>
      <c r="AI467">
        <v>6.08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224</v>
      </c>
      <c r="AT467">
        <v>2E-3</v>
      </c>
      <c r="AU467" t="s">
        <v>224</v>
      </c>
      <c r="AV467">
        <v>0</v>
      </c>
      <c r="AW467">
        <v>2</v>
      </c>
      <c r="AX467">
        <v>16500499</v>
      </c>
      <c r="AY467">
        <v>1</v>
      </c>
      <c r="AZ467">
        <v>0</v>
      </c>
      <c r="BA467">
        <v>510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Y467*Source!I166</f>
        <v>2.0000000000000001E-4</v>
      </c>
      <c r="CY467">
        <f t="shared" si="69"/>
        <v>11162.88</v>
      </c>
      <c r="CZ467">
        <f t="shared" si="70"/>
        <v>1836</v>
      </c>
      <c r="DA467">
        <f t="shared" si="71"/>
        <v>6.08</v>
      </c>
      <c r="DB467">
        <v>0</v>
      </c>
    </row>
    <row r="468" spans="1:106" x14ac:dyDescent="0.2">
      <c r="A468">
        <f>ROW(Source!A166)</f>
        <v>166</v>
      </c>
      <c r="B468">
        <v>16499878</v>
      </c>
      <c r="C468">
        <v>16500490</v>
      </c>
      <c r="D468">
        <v>15203740</v>
      </c>
      <c r="E468">
        <v>1</v>
      </c>
      <c r="F468">
        <v>1</v>
      </c>
      <c r="G468">
        <v>1</v>
      </c>
      <c r="H468">
        <v>3</v>
      </c>
      <c r="I468" t="s">
        <v>796</v>
      </c>
      <c r="J468" t="s">
        <v>797</v>
      </c>
      <c r="K468" t="s">
        <v>798</v>
      </c>
      <c r="L468">
        <v>1348</v>
      </c>
      <c r="N468">
        <v>1009</v>
      </c>
      <c r="O468" t="s">
        <v>288</v>
      </c>
      <c r="P468" t="s">
        <v>288</v>
      </c>
      <c r="Q468">
        <v>1000</v>
      </c>
      <c r="W468">
        <v>0</v>
      </c>
      <c r="X468">
        <v>570223526</v>
      </c>
      <c r="Y468">
        <v>4.0000000000000002E-4</v>
      </c>
      <c r="AA468">
        <v>91923.520000000004</v>
      </c>
      <c r="AB468">
        <v>0</v>
      </c>
      <c r="AC468">
        <v>0</v>
      </c>
      <c r="AD468">
        <v>0</v>
      </c>
      <c r="AE468">
        <v>15119</v>
      </c>
      <c r="AF468">
        <v>0</v>
      </c>
      <c r="AG468">
        <v>0</v>
      </c>
      <c r="AH468">
        <v>0</v>
      </c>
      <c r="AI468">
        <v>6.08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224</v>
      </c>
      <c r="AT468">
        <v>4.0000000000000002E-4</v>
      </c>
      <c r="AU468" t="s">
        <v>224</v>
      </c>
      <c r="AV468">
        <v>0</v>
      </c>
      <c r="AW468">
        <v>2</v>
      </c>
      <c r="AX468">
        <v>16500500</v>
      </c>
      <c r="AY468">
        <v>1</v>
      </c>
      <c r="AZ468">
        <v>0</v>
      </c>
      <c r="BA468">
        <v>511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Y468*Source!I166</f>
        <v>4.0000000000000003E-5</v>
      </c>
      <c r="CY468">
        <f t="shared" si="69"/>
        <v>91923.520000000004</v>
      </c>
      <c r="CZ468">
        <f t="shared" si="70"/>
        <v>15119</v>
      </c>
      <c r="DA468">
        <f t="shared" si="71"/>
        <v>6.08</v>
      </c>
      <c r="DB468">
        <v>0</v>
      </c>
    </row>
    <row r="469" spans="1:106" x14ac:dyDescent="0.2">
      <c r="A469">
        <f>ROW(Source!A166)</f>
        <v>166</v>
      </c>
      <c r="B469">
        <v>16499878</v>
      </c>
      <c r="C469">
        <v>16500490</v>
      </c>
      <c r="D469">
        <v>15204468</v>
      </c>
      <c r="E469">
        <v>1</v>
      </c>
      <c r="F469">
        <v>1</v>
      </c>
      <c r="G469">
        <v>1</v>
      </c>
      <c r="H469">
        <v>3</v>
      </c>
      <c r="I469" t="s">
        <v>46</v>
      </c>
      <c r="J469" t="s">
        <v>47</v>
      </c>
      <c r="K469" t="s">
        <v>48</v>
      </c>
      <c r="L469">
        <v>1348</v>
      </c>
      <c r="N469">
        <v>1009</v>
      </c>
      <c r="O469" t="s">
        <v>288</v>
      </c>
      <c r="P469" t="s">
        <v>288</v>
      </c>
      <c r="Q469">
        <v>1000</v>
      </c>
      <c r="W469">
        <v>0</v>
      </c>
      <c r="X469">
        <v>-909021926</v>
      </c>
      <c r="Y469">
        <v>2.0000000000000001E-4</v>
      </c>
      <c r="AA469">
        <v>103056</v>
      </c>
      <c r="AB469">
        <v>0</v>
      </c>
      <c r="AC469">
        <v>0</v>
      </c>
      <c r="AD469">
        <v>0</v>
      </c>
      <c r="AE469">
        <v>16950</v>
      </c>
      <c r="AF469">
        <v>0</v>
      </c>
      <c r="AG469">
        <v>0</v>
      </c>
      <c r="AH469">
        <v>0</v>
      </c>
      <c r="AI469">
        <v>6.08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224</v>
      </c>
      <c r="AT469">
        <v>2.0000000000000001E-4</v>
      </c>
      <c r="AU469" t="s">
        <v>224</v>
      </c>
      <c r="AV469">
        <v>0</v>
      </c>
      <c r="AW469">
        <v>2</v>
      </c>
      <c r="AX469">
        <v>16500502</v>
      </c>
      <c r="AY469">
        <v>1</v>
      </c>
      <c r="AZ469">
        <v>0</v>
      </c>
      <c r="BA469">
        <v>513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Y469*Source!I166</f>
        <v>2.0000000000000002E-5</v>
      </c>
      <c r="CY469">
        <f t="shared" si="69"/>
        <v>103056</v>
      </c>
      <c r="CZ469">
        <f t="shared" si="70"/>
        <v>16950</v>
      </c>
      <c r="DA469">
        <f t="shared" si="71"/>
        <v>6.08</v>
      </c>
      <c r="DB469">
        <v>0</v>
      </c>
    </row>
    <row r="470" spans="1:106" x14ac:dyDescent="0.2">
      <c r="A470">
        <f>ROW(Source!A166)</f>
        <v>166</v>
      </c>
      <c r="B470">
        <v>16499878</v>
      </c>
      <c r="C470">
        <v>16500490</v>
      </c>
      <c r="D470">
        <v>15211781</v>
      </c>
      <c r="E470">
        <v>1</v>
      </c>
      <c r="F470">
        <v>1</v>
      </c>
      <c r="G470">
        <v>1</v>
      </c>
      <c r="H470">
        <v>3</v>
      </c>
      <c r="I470" t="s">
        <v>533</v>
      </c>
      <c r="J470" t="s">
        <v>536</v>
      </c>
      <c r="K470" t="s">
        <v>534</v>
      </c>
      <c r="L470">
        <v>1035</v>
      </c>
      <c r="N470">
        <v>1013</v>
      </c>
      <c r="O470" t="s">
        <v>535</v>
      </c>
      <c r="P470" t="s">
        <v>535</v>
      </c>
      <c r="Q470">
        <v>1</v>
      </c>
      <c r="W470">
        <v>0</v>
      </c>
      <c r="X470">
        <v>596368426</v>
      </c>
      <c r="Y470">
        <v>10</v>
      </c>
      <c r="AA470">
        <v>618.34</v>
      </c>
      <c r="AB470">
        <v>0</v>
      </c>
      <c r="AC470">
        <v>0</v>
      </c>
      <c r="AD470">
        <v>0</v>
      </c>
      <c r="AE470">
        <v>101.7</v>
      </c>
      <c r="AF470">
        <v>0</v>
      </c>
      <c r="AG470">
        <v>0</v>
      </c>
      <c r="AH470">
        <v>0</v>
      </c>
      <c r="AI470">
        <v>6.08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224</v>
      </c>
      <c r="AT470">
        <v>10</v>
      </c>
      <c r="AU470" t="s">
        <v>224</v>
      </c>
      <c r="AV470">
        <v>0</v>
      </c>
      <c r="AW470">
        <v>1</v>
      </c>
      <c r="AX470">
        <v>-1</v>
      </c>
      <c r="AY470">
        <v>0</v>
      </c>
      <c r="AZ470">
        <v>0</v>
      </c>
      <c r="BA470" t="s">
        <v>224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Y470*Source!I166</f>
        <v>1</v>
      </c>
      <c r="CY470">
        <f t="shared" si="69"/>
        <v>618.34</v>
      </c>
      <c r="CZ470">
        <f t="shared" si="70"/>
        <v>101.7</v>
      </c>
      <c r="DA470">
        <f t="shared" si="71"/>
        <v>6.08</v>
      </c>
      <c r="DB470">
        <v>0</v>
      </c>
    </row>
    <row r="471" spans="1:106" x14ac:dyDescent="0.2">
      <c r="A471">
        <f>ROW(Source!A169)</f>
        <v>169</v>
      </c>
      <c r="B471">
        <v>16499835</v>
      </c>
      <c r="C471">
        <v>16500508</v>
      </c>
      <c r="D471">
        <v>15436556</v>
      </c>
      <c r="E471">
        <v>1</v>
      </c>
      <c r="F471">
        <v>1</v>
      </c>
      <c r="G471">
        <v>1</v>
      </c>
      <c r="H471">
        <v>1</v>
      </c>
      <c r="I471" t="s">
        <v>726</v>
      </c>
      <c r="J471" t="s">
        <v>224</v>
      </c>
      <c r="K471" t="s">
        <v>727</v>
      </c>
      <c r="L471">
        <v>1191</v>
      </c>
      <c r="N471">
        <v>1013</v>
      </c>
      <c r="O471" t="s">
        <v>628</v>
      </c>
      <c r="P471" t="s">
        <v>628</v>
      </c>
      <c r="Q471">
        <v>1</v>
      </c>
      <c r="W471">
        <v>0</v>
      </c>
      <c r="X471">
        <v>1069510174</v>
      </c>
      <c r="Y471">
        <v>8.0499999999999989</v>
      </c>
      <c r="AA471">
        <v>0</v>
      </c>
      <c r="AB471">
        <v>0</v>
      </c>
      <c r="AC471">
        <v>0</v>
      </c>
      <c r="AD471">
        <v>9.6199999999999992</v>
      </c>
      <c r="AE471">
        <v>0</v>
      </c>
      <c r="AF471">
        <v>0</v>
      </c>
      <c r="AG471">
        <v>0</v>
      </c>
      <c r="AH471">
        <v>9.6199999999999992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224</v>
      </c>
      <c r="AT471">
        <v>7</v>
      </c>
      <c r="AU471" t="s">
        <v>240</v>
      </c>
      <c r="AV471">
        <v>1</v>
      </c>
      <c r="AW471">
        <v>2</v>
      </c>
      <c r="AX471">
        <v>16500509</v>
      </c>
      <c r="AY471">
        <v>1</v>
      </c>
      <c r="AZ471">
        <v>0</v>
      </c>
      <c r="BA471">
        <v>515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Y471*Source!I169</f>
        <v>0.80499999999999994</v>
      </c>
      <c r="CY471">
        <f>AD471</f>
        <v>9.6199999999999992</v>
      </c>
      <c r="CZ471">
        <f>AH471</f>
        <v>9.6199999999999992</v>
      </c>
      <c r="DA471">
        <f>AL471</f>
        <v>1</v>
      </c>
      <c r="DB471">
        <v>0</v>
      </c>
    </row>
    <row r="472" spans="1:106" x14ac:dyDescent="0.2">
      <c r="A472">
        <f>ROW(Source!A169)</f>
        <v>169</v>
      </c>
      <c r="B472">
        <v>16499835</v>
      </c>
      <c r="C472">
        <v>16500508</v>
      </c>
      <c r="D472">
        <v>15167963</v>
      </c>
      <c r="E472">
        <v>1</v>
      </c>
      <c r="F472">
        <v>1</v>
      </c>
      <c r="G472">
        <v>1</v>
      </c>
      <c r="H472">
        <v>3</v>
      </c>
      <c r="I472" t="s">
        <v>37</v>
      </c>
      <c r="J472" t="s">
        <v>38</v>
      </c>
      <c r="K472" t="s">
        <v>39</v>
      </c>
      <c r="L472">
        <v>1346</v>
      </c>
      <c r="N472">
        <v>1009</v>
      </c>
      <c r="O472" t="s">
        <v>303</v>
      </c>
      <c r="P472" t="s">
        <v>303</v>
      </c>
      <c r="Q472">
        <v>1</v>
      </c>
      <c r="W472">
        <v>0</v>
      </c>
      <c r="X472">
        <v>-490687590</v>
      </c>
      <c r="Y472">
        <v>0.13</v>
      </c>
      <c r="AA472">
        <v>37.29</v>
      </c>
      <c r="AB472">
        <v>0</v>
      </c>
      <c r="AC472">
        <v>0</v>
      </c>
      <c r="AD472">
        <v>0</v>
      </c>
      <c r="AE472">
        <v>37.29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224</v>
      </c>
      <c r="AT472">
        <v>0.13</v>
      </c>
      <c r="AU472" t="s">
        <v>224</v>
      </c>
      <c r="AV472">
        <v>0</v>
      </c>
      <c r="AW472">
        <v>2</v>
      </c>
      <c r="AX472">
        <v>16500510</v>
      </c>
      <c r="AY472">
        <v>1</v>
      </c>
      <c r="AZ472">
        <v>0</v>
      </c>
      <c r="BA472">
        <v>516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Y472*Source!I169</f>
        <v>1.3000000000000001E-2</v>
      </c>
      <c r="CY472">
        <f>AA472</f>
        <v>37.29</v>
      </c>
      <c r="CZ472">
        <f>AE472</f>
        <v>37.29</v>
      </c>
      <c r="DA472">
        <f>AI472</f>
        <v>1</v>
      </c>
      <c r="DB472">
        <v>0</v>
      </c>
    </row>
    <row r="473" spans="1:106" x14ac:dyDescent="0.2">
      <c r="A473">
        <f>ROW(Source!A169)</f>
        <v>169</v>
      </c>
      <c r="B473">
        <v>16499835</v>
      </c>
      <c r="C473">
        <v>16500508</v>
      </c>
      <c r="D473">
        <v>15203740</v>
      </c>
      <c r="E473">
        <v>1</v>
      </c>
      <c r="F473">
        <v>1</v>
      </c>
      <c r="G473">
        <v>1</v>
      </c>
      <c r="H473">
        <v>3</v>
      </c>
      <c r="I473" t="s">
        <v>796</v>
      </c>
      <c r="J473" t="s">
        <v>797</v>
      </c>
      <c r="K473" t="s">
        <v>798</v>
      </c>
      <c r="L473">
        <v>1348</v>
      </c>
      <c r="N473">
        <v>1009</v>
      </c>
      <c r="O473" t="s">
        <v>288</v>
      </c>
      <c r="P473" t="s">
        <v>288</v>
      </c>
      <c r="Q473">
        <v>1000</v>
      </c>
      <c r="W473">
        <v>0</v>
      </c>
      <c r="X473">
        <v>570223526</v>
      </c>
      <c r="Y473">
        <v>2.5999999999999998E-4</v>
      </c>
      <c r="AA473">
        <v>15119</v>
      </c>
      <c r="AB473">
        <v>0</v>
      </c>
      <c r="AC473">
        <v>0</v>
      </c>
      <c r="AD473">
        <v>0</v>
      </c>
      <c r="AE473">
        <v>15119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224</v>
      </c>
      <c r="AT473">
        <v>2.5999999999999998E-4</v>
      </c>
      <c r="AU473" t="s">
        <v>224</v>
      </c>
      <c r="AV473">
        <v>0</v>
      </c>
      <c r="AW473">
        <v>2</v>
      </c>
      <c r="AX473">
        <v>16500513</v>
      </c>
      <c r="AY473">
        <v>1</v>
      </c>
      <c r="AZ473">
        <v>0</v>
      </c>
      <c r="BA473">
        <v>519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Y473*Source!I169</f>
        <v>2.5999999999999998E-5</v>
      </c>
      <c r="CY473">
        <f>AA473</f>
        <v>15119</v>
      </c>
      <c r="CZ473">
        <f>AE473</f>
        <v>15119</v>
      </c>
      <c r="DA473">
        <f>AI473</f>
        <v>1</v>
      </c>
      <c r="DB473">
        <v>0</v>
      </c>
    </row>
    <row r="474" spans="1:106" x14ac:dyDescent="0.2">
      <c r="A474">
        <f>ROW(Source!A169)</f>
        <v>169</v>
      </c>
      <c r="B474">
        <v>16499835</v>
      </c>
      <c r="C474">
        <v>16500508</v>
      </c>
      <c r="D474">
        <v>15204468</v>
      </c>
      <c r="E474">
        <v>1</v>
      </c>
      <c r="F474">
        <v>1</v>
      </c>
      <c r="G474">
        <v>1</v>
      </c>
      <c r="H474">
        <v>3</v>
      </c>
      <c r="I474" t="s">
        <v>46</v>
      </c>
      <c r="J474" t="s">
        <v>47</v>
      </c>
      <c r="K474" t="s">
        <v>48</v>
      </c>
      <c r="L474">
        <v>1348</v>
      </c>
      <c r="N474">
        <v>1009</v>
      </c>
      <c r="O474" t="s">
        <v>288</v>
      </c>
      <c r="P474" t="s">
        <v>288</v>
      </c>
      <c r="Q474">
        <v>1000</v>
      </c>
      <c r="W474">
        <v>0</v>
      </c>
      <c r="X474">
        <v>-909021926</v>
      </c>
      <c r="Y474">
        <v>1.2999999999999999E-4</v>
      </c>
      <c r="AA474">
        <v>16950</v>
      </c>
      <c r="AB474">
        <v>0</v>
      </c>
      <c r="AC474">
        <v>0</v>
      </c>
      <c r="AD474">
        <v>0</v>
      </c>
      <c r="AE474">
        <v>16950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224</v>
      </c>
      <c r="AT474">
        <v>1.2999999999999999E-4</v>
      </c>
      <c r="AU474" t="s">
        <v>224</v>
      </c>
      <c r="AV474">
        <v>0</v>
      </c>
      <c r="AW474">
        <v>2</v>
      </c>
      <c r="AX474">
        <v>16500514</v>
      </c>
      <c r="AY474">
        <v>1</v>
      </c>
      <c r="AZ474">
        <v>0</v>
      </c>
      <c r="BA474">
        <v>520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Y474*Source!I169</f>
        <v>1.2999999999999999E-5</v>
      </c>
      <c r="CY474">
        <f>AA474</f>
        <v>16950</v>
      </c>
      <c r="CZ474">
        <f>AE474</f>
        <v>16950</v>
      </c>
      <c r="DA474">
        <f>AI474</f>
        <v>1</v>
      </c>
      <c r="DB474">
        <v>0</v>
      </c>
    </row>
    <row r="475" spans="1:106" x14ac:dyDescent="0.2">
      <c r="A475">
        <f>ROW(Source!A169)</f>
        <v>169</v>
      </c>
      <c r="B475">
        <v>16499835</v>
      </c>
      <c r="C475">
        <v>16500508</v>
      </c>
      <c r="D475">
        <v>15211318</v>
      </c>
      <c r="E475">
        <v>1</v>
      </c>
      <c r="F475">
        <v>1</v>
      </c>
      <c r="G475">
        <v>1</v>
      </c>
      <c r="H475">
        <v>3</v>
      </c>
      <c r="I475" t="s">
        <v>543</v>
      </c>
      <c r="J475" t="s">
        <v>545</v>
      </c>
      <c r="K475" t="s">
        <v>544</v>
      </c>
      <c r="L475">
        <v>1035</v>
      </c>
      <c r="N475">
        <v>1013</v>
      </c>
      <c r="O475" t="s">
        <v>535</v>
      </c>
      <c r="P475" t="s">
        <v>535</v>
      </c>
      <c r="Q475">
        <v>1</v>
      </c>
      <c r="W475">
        <v>0</v>
      </c>
      <c r="X475">
        <v>236537662</v>
      </c>
      <c r="Y475">
        <v>10</v>
      </c>
      <c r="AA475">
        <v>310.25</v>
      </c>
      <c r="AB475">
        <v>0</v>
      </c>
      <c r="AC475">
        <v>0</v>
      </c>
      <c r="AD475">
        <v>0</v>
      </c>
      <c r="AE475">
        <v>310.25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0</v>
      </c>
      <c r="AP475">
        <v>0</v>
      </c>
      <c r="AQ475">
        <v>0</v>
      </c>
      <c r="AR475">
        <v>0</v>
      </c>
      <c r="AS475" t="s">
        <v>224</v>
      </c>
      <c r="AT475">
        <v>10</v>
      </c>
      <c r="AU475" t="s">
        <v>224</v>
      </c>
      <c r="AV475">
        <v>0</v>
      </c>
      <c r="AW475">
        <v>1</v>
      </c>
      <c r="AX475">
        <v>-1</v>
      </c>
      <c r="AY475">
        <v>0</v>
      </c>
      <c r="AZ475">
        <v>0</v>
      </c>
      <c r="BA475" t="s">
        <v>224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Y475*Source!I169</f>
        <v>1</v>
      </c>
      <c r="CY475">
        <f>AA475</f>
        <v>310.25</v>
      </c>
      <c r="CZ475">
        <f>AE475</f>
        <v>310.25</v>
      </c>
      <c r="DA475">
        <f>AI475</f>
        <v>1</v>
      </c>
      <c r="DB475">
        <v>0</v>
      </c>
    </row>
    <row r="476" spans="1:106" x14ac:dyDescent="0.2">
      <c r="A476">
        <f>ROW(Source!A170)</f>
        <v>170</v>
      </c>
      <c r="B476">
        <v>16499878</v>
      </c>
      <c r="C476">
        <v>16500508</v>
      </c>
      <c r="D476">
        <v>15436556</v>
      </c>
      <c r="E476">
        <v>1</v>
      </c>
      <c r="F476">
        <v>1</v>
      </c>
      <c r="G476">
        <v>1</v>
      </c>
      <c r="H476">
        <v>1</v>
      </c>
      <c r="I476" t="s">
        <v>726</v>
      </c>
      <c r="J476" t="s">
        <v>224</v>
      </c>
      <c r="K476" t="s">
        <v>727</v>
      </c>
      <c r="L476">
        <v>1191</v>
      </c>
      <c r="N476">
        <v>1013</v>
      </c>
      <c r="O476" t="s">
        <v>628</v>
      </c>
      <c r="P476" t="s">
        <v>628</v>
      </c>
      <c r="Q476">
        <v>1</v>
      </c>
      <c r="W476">
        <v>0</v>
      </c>
      <c r="X476">
        <v>1069510174</v>
      </c>
      <c r="Y476">
        <v>8.0499999999999989</v>
      </c>
      <c r="AA476">
        <v>0</v>
      </c>
      <c r="AB476">
        <v>0</v>
      </c>
      <c r="AC476">
        <v>0</v>
      </c>
      <c r="AD476">
        <v>58.49</v>
      </c>
      <c r="AE476">
        <v>0</v>
      </c>
      <c r="AF476">
        <v>0</v>
      </c>
      <c r="AG476">
        <v>0</v>
      </c>
      <c r="AH476">
        <v>9.6199999999999992</v>
      </c>
      <c r="AI476">
        <v>1</v>
      </c>
      <c r="AJ476">
        <v>1</v>
      </c>
      <c r="AK476">
        <v>1</v>
      </c>
      <c r="AL476">
        <v>6.08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224</v>
      </c>
      <c r="AT476">
        <v>7</v>
      </c>
      <c r="AU476" t="s">
        <v>240</v>
      </c>
      <c r="AV476">
        <v>1</v>
      </c>
      <c r="AW476">
        <v>2</v>
      </c>
      <c r="AX476">
        <v>16500509</v>
      </c>
      <c r="AY476">
        <v>1</v>
      </c>
      <c r="AZ476">
        <v>0</v>
      </c>
      <c r="BA476">
        <v>522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Y476*Source!I170</f>
        <v>0.80499999999999994</v>
      </c>
      <c r="CY476">
        <f>AD476</f>
        <v>58.49</v>
      </c>
      <c r="CZ476">
        <f>AH476</f>
        <v>9.6199999999999992</v>
      </c>
      <c r="DA476">
        <f>AL476</f>
        <v>6.08</v>
      </c>
      <c r="DB476">
        <v>0</v>
      </c>
    </row>
    <row r="477" spans="1:106" x14ac:dyDescent="0.2">
      <c r="A477">
        <f>ROW(Source!A170)</f>
        <v>170</v>
      </c>
      <c r="B477">
        <v>16499878</v>
      </c>
      <c r="C477">
        <v>16500508</v>
      </c>
      <c r="D477">
        <v>15167963</v>
      </c>
      <c r="E477">
        <v>1</v>
      </c>
      <c r="F477">
        <v>1</v>
      </c>
      <c r="G477">
        <v>1</v>
      </c>
      <c r="H477">
        <v>3</v>
      </c>
      <c r="I477" t="s">
        <v>37</v>
      </c>
      <c r="J477" t="s">
        <v>38</v>
      </c>
      <c r="K477" t="s">
        <v>39</v>
      </c>
      <c r="L477">
        <v>1346</v>
      </c>
      <c r="N477">
        <v>1009</v>
      </c>
      <c r="O477" t="s">
        <v>303</v>
      </c>
      <c r="P477" t="s">
        <v>303</v>
      </c>
      <c r="Q477">
        <v>1</v>
      </c>
      <c r="W477">
        <v>0</v>
      </c>
      <c r="X477">
        <v>-490687590</v>
      </c>
      <c r="Y477">
        <v>0.13</v>
      </c>
      <c r="AA477">
        <v>226.72</v>
      </c>
      <c r="AB477">
        <v>0</v>
      </c>
      <c r="AC477">
        <v>0</v>
      </c>
      <c r="AD477">
        <v>0</v>
      </c>
      <c r="AE477">
        <v>37.29</v>
      </c>
      <c r="AF477">
        <v>0</v>
      </c>
      <c r="AG477">
        <v>0</v>
      </c>
      <c r="AH477">
        <v>0</v>
      </c>
      <c r="AI477">
        <v>6.08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224</v>
      </c>
      <c r="AT477">
        <v>0.13</v>
      </c>
      <c r="AU477" t="s">
        <v>224</v>
      </c>
      <c r="AV477">
        <v>0</v>
      </c>
      <c r="AW477">
        <v>2</v>
      </c>
      <c r="AX477">
        <v>16500510</v>
      </c>
      <c r="AY477">
        <v>1</v>
      </c>
      <c r="AZ477">
        <v>0</v>
      </c>
      <c r="BA477">
        <v>523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Y477*Source!I170</f>
        <v>1.3000000000000001E-2</v>
      </c>
      <c r="CY477">
        <f>AA477</f>
        <v>226.72</v>
      </c>
      <c r="CZ477">
        <f>AE477</f>
        <v>37.29</v>
      </c>
      <c r="DA477">
        <f>AI477</f>
        <v>6.08</v>
      </c>
      <c r="DB477">
        <v>0</v>
      </c>
    </row>
    <row r="478" spans="1:106" x14ac:dyDescent="0.2">
      <c r="A478">
        <f>ROW(Source!A170)</f>
        <v>170</v>
      </c>
      <c r="B478">
        <v>16499878</v>
      </c>
      <c r="C478">
        <v>16500508</v>
      </c>
      <c r="D478">
        <v>15203740</v>
      </c>
      <c r="E478">
        <v>1</v>
      </c>
      <c r="F478">
        <v>1</v>
      </c>
      <c r="G478">
        <v>1</v>
      </c>
      <c r="H478">
        <v>3</v>
      </c>
      <c r="I478" t="s">
        <v>796</v>
      </c>
      <c r="J478" t="s">
        <v>797</v>
      </c>
      <c r="K478" t="s">
        <v>798</v>
      </c>
      <c r="L478">
        <v>1348</v>
      </c>
      <c r="N478">
        <v>1009</v>
      </c>
      <c r="O478" t="s">
        <v>288</v>
      </c>
      <c r="P478" t="s">
        <v>288</v>
      </c>
      <c r="Q478">
        <v>1000</v>
      </c>
      <c r="W478">
        <v>0</v>
      </c>
      <c r="X478">
        <v>570223526</v>
      </c>
      <c r="Y478">
        <v>2.5999999999999998E-4</v>
      </c>
      <c r="AA478">
        <v>91923.520000000004</v>
      </c>
      <c r="AB478">
        <v>0</v>
      </c>
      <c r="AC478">
        <v>0</v>
      </c>
      <c r="AD478">
        <v>0</v>
      </c>
      <c r="AE478">
        <v>15119</v>
      </c>
      <c r="AF478">
        <v>0</v>
      </c>
      <c r="AG478">
        <v>0</v>
      </c>
      <c r="AH478">
        <v>0</v>
      </c>
      <c r="AI478">
        <v>6.08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224</v>
      </c>
      <c r="AT478">
        <v>2.5999999999999998E-4</v>
      </c>
      <c r="AU478" t="s">
        <v>224</v>
      </c>
      <c r="AV478">
        <v>0</v>
      </c>
      <c r="AW478">
        <v>2</v>
      </c>
      <c r="AX478">
        <v>16500513</v>
      </c>
      <c r="AY478">
        <v>1</v>
      </c>
      <c r="AZ478">
        <v>0</v>
      </c>
      <c r="BA478">
        <v>526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Y478*Source!I170</f>
        <v>2.5999999999999998E-5</v>
      </c>
      <c r="CY478">
        <f>AA478</f>
        <v>91923.520000000004</v>
      </c>
      <c r="CZ478">
        <f>AE478</f>
        <v>15119</v>
      </c>
      <c r="DA478">
        <f>AI478</f>
        <v>6.08</v>
      </c>
      <c r="DB478">
        <v>0</v>
      </c>
    </row>
    <row r="479" spans="1:106" x14ac:dyDescent="0.2">
      <c r="A479">
        <f>ROW(Source!A170)</f>
        <v>170</v>
      </c>
      <c r="B479">
        <v>16499878</v>
      </c>
      <c r="C479">
        <v>16500508</v>
      </c>
      <c r="D479">
        <v>15204468</v>
      </c>
      <c r="E479">
        <v>1</v>
      </c>
      <c r="F479">
        <v>1</v>
      </c>
      <c r="G479">
        <v>1</v>
      </c>
      <c r="H479">
        <v>3</v>
      </c>
      <c r="I479" t="s">
        <v>46</v>
      </c>
      <c r="J479" t="s">
        <v>47</v>
      </c>
      <c r="K479" t="s">
        <v>48</v>
      </c>
      <c r="L479">
        <v>1348</v>
      </c>
      <c r="N479">
        <v>1009</v>
      </c>
      <c r="O479" t="s">
        <v>288</v>
      </c>
      <c r="P479" t="s">
        <v>288</v>
      </c>
      <c r="Q479">
        <v>1000</v>
      </c>
      <c r="W479">
        <v>0</v>
      </c>
      <c r="X479">
        <v>-909021926</v>
      </c>
      <c r="Y479">
        <v>1.2999999999999999E-4</v>
      </c>
      <c r="AA479">
        <v>103056</v>
      </c>
      <c r="AB479">
        <v>0</v>
      </c>
      <c r="AC479">
        <v>0</v>
      </c>
      <c r="AD479">
        <v>0</v>
      </c>
      <c r="AE479">
        <v>16950</v>
      </c>
      <c r="AF479">
        <v>0</v>
      </c>
      <c r="AG479">
        <v>0</v>
      </c>
      <c r="AH479">
        <v>0</v>
      </c>
      <c r="AI479">
        <v>6.08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224</v>
      </c>
      <c r="AT479">
        <v>1.2999999999999999E-4</v>
      </c>
      <c r="AU479" t="s">
        <v>224</v>
      </c>
      <c r="AV479">
        <v>0</v>
      </c>
      <c r="AW479">
        <v>2</v>
      </c>
      <c r="AX479">
        <v>16500514</v>
      </c>
      <c r="AY479">
        <v>1</v>
      </c>
      <c r="AZ479">
        <v>0</v>
      </c>
      <c r="BA479">
        <v>527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Y479*Source!I170</f>
        <v>1.2999999999999999E-5</v>
      </c>
      <c r="CY479">
        <f>AA479</f>
        <v>103056</v>
      </c>
      <c r="CZ479">
        <f>AE479</f>
        <v>16950</v>
      </c>
      <c r="DA479">
        <f>AI479</f>
        <v>6.08</v>
      </c>
      <c r="DB479">
        <v>0</v>
      </c>
    </row>
    <row r="480" spans="1:106" x14ac:dyDescent="0.2">
      <c r="A480">
        <f>ROW(Source!A170)</f>
        <v>170</v>
      </c>
      <c r="B480">
        <v>16499878</v>
      </c>
      <c r="C480">
        <v>16500508</v>
      </c>
      <c r="D480">
        <v>15211318</v>
      </c>
      <c r="E480">
        <v>1</v>
      </c>
      <c r="F480">
        <v>1</v>
      </c>
      <c r="G480">
        <v>1</v>
      </c>
      <c r="H480">
        <v>3</v>
      </c>
      <c r="I480" t="s">
        <v>543</v>
      </c>
      <c r="J480" t="s">
        <v>545</v>
      </c>
      <c r="K480" t="s">
        <v>544</v>
      </c>
      <c r="L480">
        <v>1035</v>
      </c>
      <c r="N480">
        <v>1013</v>
      </c>
      <c r="O480" t="s">
        <v>535</v>
      </c>
      <c r="P480" t="s">
        <v>535</v>
      </c>
      <c r="Q480">
        <v>1</v>
      </c>
      <c r="W480">
        <v>0</v>
      </c>
      <c r="X480">
        <v>236537662</v>
      </c>
      <c r="Y480">
        <v>10</v>
      </c>
      <c r="AA480">
        <v>1886.32</v>
      </c>
      <c r="AB480">
        <v>0</v>
      </c>
      <c r="AC480">
        <v>0</v>
      </c>
      <c r="AD480">
        <v>0</v>
      </c>
      <c r="AE480">
        <v>310.25</v>
      </c>
      <c r="AF480">
        <v>0</v>
      </c>
      <c r="AG480">
        <v>0</v>
      </c>
      <c r="AH480">
        <v>0</v>
      </c>
      <c r="AI480">
        <v>6.08</v>
      </c>
      <c r="AJ480">
        <v>1</v>
      </c>
      <c r="AK480">
        <v>1</v>
      </c>
      <c r="AL480">
        <v>1</v>
      </c>
      <c r="AN480">
        <v>0</v>
      </c>
      <c r="AO480">
        <v>0</v>
      </c>
      <c r="AP480">
        <v>0</v>
      </c>
      <c r="AQ480">
        <v>0</v>
      </c>
      <c r="AR480">
        <v>0</v>
      </c>
      <c r="AS480" t="s">
        <v>224</v>
      </c>
      <c r="AT480">
        <v>10</v>
      </c>
      <c r="AU480" t="s">
        <v>224</v>
      </c>
      <c r="AV480">
        <v>0</v>
      </c>
      <c r="AW480">
        <v>1</v>
      </c>
      <c r="AX480">
        <v>-1</v>
      </c>
      <c r="AY480">
        <v>0</v>
      </c>
      <c r="AZ480">
        <v>0</v>
      </c>
      <c r="BA480" t="s">
        <v>224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Y480*Source!I170</f>
        <v>1</v>
      </c>
      <c r="CY480">
        <f>AA480</f>
        <v>1886.32</v>
      </c>
      <c r="CZ480">
        <f>AE480</f>
        <v>310.25</v>
      </c>
      <c r="DA480">
        <f>AI480</f>
        <v>6.08</v>
      </c>
      <c r="DB480"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8"/>
  <sheetViews>
    <sheetView workbookViewId="0"/>
  </sheetViews>
  <sheetFormatPr defaultRowHeight="12.75" x14ac:dyDescent="0.2"/>
  <sheetData>
    <row r="1" spans="1:44" x14ac:dyDescent="0.2">
      <c r="A1">
        <f>ROW(Source!A28)</f>
        <v>28</v>
      </c>
      <c r="B1">
        <v>16499967</v>
      </c>
      <c r="C1">
        <v>16499958</v>
      </c>
      <c r="D1">
        <v>15435099</v>
      </c>
      <c r="E1">
        <v>1</v>
      </c>
      <c r="F1">
        <v>1</v>
      </c>
      <c r="G1">
        <v>1</v>
      </c>
      <c r="H1">
        <v>1</v>
      </c>
      <c r="I1" t="s">
        <v>626</v>
      </c>
      <c r="J1" t="s">
        <v>224</v>
      </c>
      <c r="K1" t="s">
        <v>627</v>
      </c>
      <c r="L1">
        <v>1191</v>
      </c>
      <c r="N1">
        <v>1013</v>
      </c>
      <c r="O1" t="s">
        <v>628</v>
      </c>
      <c r="P1" t="s">
        <v>628</v>
      </c>
      <c r="Q1">
        <v>1</v>
      </c>
      <c r="X1">
        <v>43.5</v>
      </c>
      <c r="Y1">
        <v>0</v>
      </c>
      <c r="Z1">
        <v>0</v>
      </c>
      <c r="AA1">
        <v>0</v>
      </c>
      <c r="AB1">
        <v>8.64</v>
      </c>
      <c r="AC1">
        <v>0</v>
      </c>
      <c r="AD1">
        <v>1</v>
      </c>
      <c r="AE1">
        <v>1</v>
      </c>
      <c r="AF1" t="s">
        <v>240</v>
      </c>
      <c r="AG1">
        <v>50.024999999999999</v>
      </c>
      <c r="AH1">
        <v>2</v>
      </c>
      <c r="AI1">
        <v>16499967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16499968</v>
      </c>
      <c r="C2">
        <v>16499958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629</v>
      </c>
      <c r="J2" t="s">
        <v>224</v>
      </c>
      <c r="K2" t="s">
        <v>630</v>
      </c>
      <c r="L2">
        <v>1191</v>
      </c>
      <c r="N2">
        <v>1013</v>
      </c>
      <c r="O2" t="s">
        <v>628</v>
      </c>
      <c r="P2" t="s">
        <v>628</v>
      </c>
      <c r="Q2">
        <v>1</v>
      </c>
      <c r="X2">
        <v>7.0000000000000007E-2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239</v>
      </c>
      <c r="AG2">
        <v>8.7500000000000008E-2</v>
      </c>
      <c r="AH2">
        <v>2</v>
      </c>
      <c r="AI2">
        <v>16499968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16499969</v>
      </c>
      <c r="C3">
        <v>16499958</v>
      </c>
      <c r="D3">
        <v>15249073</v>
      </c>
      <c r="E3">
        <v>1</v>
      </c>
      <c r="F3">
        <v>1</v>
      </c>
      <c r="G3">
        <v>1</v>
      </c>
      <c r="H3">
        <v>2</v>
      </c>
      <c r="I3" t="s">
        <v>631</v>
      </c>
      <c r="J3" t="s">
        <v>632</v>
      </c>
      <c r="K3" t="s">
        <v>633</v>
      </c>
      <c r="L3">
        <v>1368</v>
      </c>
      <c r="N3">
        <v>1011</v>
      </c>
      <c r="O3" t="s">
        <v>634</v>
      </c>
      <c r="P3" t="s">
        <v>634</v>
      </c>
      <c r="Q3">
        <v>1</v>
      </c>
      <c r="X3">
        <v>7.0000000000000007E-2</v>
      </c>
      <c r="Y3">
        <v>0</v>
      </c>
      <c r="Z3">
        <v>65.709999999999994</v>
      </c>
      <c r="AA3">
        <v>11.6</v>
      </c>
      <c r="AB3">
        <v>0</v>
      </c>
      <c r="AC3">
        <v>0</v>
      </c>
      <c r="AD3">
        <v>1</v>
      </c>
      <c r="AE3">
        <v>0</v>
      </c>
      <c r="AF3" t="s">
        <v>239</v>
      </c>
      <c r="AG3">
        <v>8.7500000000000008E-2</v>
      </c>
      <c r="AH3">
        <v>2</v>
      </c>
      <c r="AI3">
        <v>16499969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16499970</v>
      </c>
      <c r="C4">
        <v>16499958</v>
      </c>
      <c r="D4">
        <v>15162276</v>
      </c>
      <c r="E4">
        <v>17</v>
      </c>
      <c r="F4">
        <v>1</v>
      </c>
      <c r="G4">
        <v>1</v>
      </c>
      <c r="H4">
        <v>3</v>
      </c>
      <c r="I4" t="s">
        <v>61</v>
      </c>
      <c r="J4" t="s">
        <v>224</v>
      </c>
      <c r="K4" t="s">
        <v>62</v>
      </c>
      <c r="L4">
        <v>1339</v>
      </c>
      <c r="N4">
        <v>1007</v>
      </c>
      <c r="O4" t="s">
        <v>691</v>
      </c>
      <c r="P4" t="s">
        <v>691</v>
      </c>
      <c r="Q4">
        <v>1</v>
      </c>
      <c r="X4">
        <v>8.9999999999999993E-3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224</v>
      </c>
      <c r="AG4">
        <v>8.9999999999999993E-3</v>
      </c>
      <c r="AH4">
        <v>3</v>
      </c>
      <c r="AI4">
        <v>-1</v>
      </c>
      <c r="AJ4" t="s">
        <v>224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16499971</v>
      </c>
      <c r="C5">
        <v>16499958</v>
      </c>
      <c r="D5">
        <v>15162277</v>
      </c>
      <c r="E5">
        <v>17</v>
      </c>
      <c r="F5">
        <v>1</v>
      </c>
      <c r="G5">
        <v>1</v>
      </c>
      <c r="H5">
        <v>3</v>
      </c>
      <c r="I5" t="s">
        <v>61</v>
      </c>
      <c r="J5" t="s">
        <v>224</v>
      </c>
      <c r="K5" t="s">
        <v>63</v>
      </c>
      <c r="L5">
        <v>1348</v>
      </c>
      <c r="N5">
        <v>1009</v>
      </c>
      <c r="O5" t="s">
        <v>288</v>
      </c>
      <c r="P5" t="s">
        <v>288</v>
      </c>
      <c r="Q5">
        <v>1000</v>
      </c>
      <c r="X5">
        <v>3.5000000000000003E-2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 t="s">
        <v>224</v>
      </c>
      <c r="AG5">
        <v>3.5000000000000003E-2</v>
      </c>
      <c r="AH5">
        <v>3</v>
      </c>
      <c r="AI5">
        <v>-1</v>
      </c>
      <c r="AJ5" t="s">
        <v>224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16499972</v>
      </c>
      <c r="C6">
        <v>16499958</v>
      </c>
      <c r="D6">
        <v>15197248</v>
      </c>
      <c r="E6">
        <v>1</v>
      </c>
      <c r="F6">
        <v>1</v>
      </c>
      <c r="G6">
        <v>1</v>
      </c>
      <c r="H6">
        <v>3</v>
      </c>
      <c r="I6" t="s">
        <v>635</v>
      </c>
      <c r="J6" t="s">
        <v>636</v>
      </c>
      <c r="K6" t="s">
        <v>637</v>
      </c>
      <c r="L6">
        <v>1327</v>
      </c>
      <c r="N6">
        <v>1005</v>
      </c>
      <c r="O6" t="s">
        <v>277</v>
      </c>
      <c r="P6" t="s">
        <v>277</v>
      </c>
      <c r="Q6">
        <v>1</v>
      </c>
      <c r="X6">
        <v>3.4</v>
      </c>
      <c r="Y6">
        <v>35.22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224</v>
      </c>
      <c r="AG6">
        <v>3.4</v>
      </c>
      <c r="AH6">
        <v>2</v>
      </c>
      <c r="AI6">
        <v>16499972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16499967</v>
      </c>
      <c r="C7">
        <v>16499958</v>
      </c>
      <c r="D7">
        <v>15435099</v>
      </c>
      <c r="E7">
        <v>1</v>
      </c>
      <c r="F7">
        <v>1</v>
      </c>
      <c r="G7">
        <v>1</v>
      </c>
      <c r="H7">
        <v>1</v>
      </c>
      <c r="I7" t="s">
        <v>626</v>
      </c>
      <c r="J7" t="s">
        <v>224</v>
      </c>
      <c r="K7" t="s">
        <v>627</v>
      </c>
      <c r="L7">
        <v>1191</v>
      </c>
      <c r="N7">
        <v>1013</v>
      </c>
      <c r="O7" t="s">
        <v>628</v>
      </c>
      <c r="P7" t="s">
        <v>628</v>
      </c>
      <c r="Q7">
        <v>1</v>
      </c>
      <c r="X7">
        <v>43.5</v>
      </c>
      <c r="Y7">
        <v>0</v>
      </c>
      <c r="Z7">
        <v>0</v>
      </c>
      <c r="AA7">
        <v>0</v>
      </c>
      <c r="AB7">
        <v>8.64</v>
      </c>
      <c r="AC7">
        <v>0</v>
      </c>
      <c r="AD7">
        <v>1</v>
      </c>
      <c r="AE7">
        <v>1</v>
      </c>
      <c r="AF7" t="s">
        <v>240</v>
      </c>
      <c r="AG7">
        <v>50.024999999999999</v>
      </c>
      <c r="AH7">
        <v>2</v>
      </c>
      <c r="AI7">
        <v>16499967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16499968</v>
      </c>
      <c r="C8">
        <v>16499958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629</v>
      </c>
      <c r="J8" t="s">
        <v>224</v>
      </c>
      <c r="K8" t="s">
        <v>630</v>
      </c>
      <c r="L8">
        <v>1191</v>
      </c>
      <c r="N8">
        <v>1013</v>
      </c>
      <c r="O8" t="s">
        <v>628</v>
      </c>
      <c r="P8" t="s">
        <v>628</v>
      </c>
      <c r="Q8">
        <v>1</v>
      </c>
      <c r="X8">
        <v>7.0000000000000007E-2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239</v>
      </c>
      <c r="AG8">
        <v>8.7500000000000008E-2</v>
      </c>
      <c r="AH8">
        <v>2</v>
      </c>
      <c r="AI8">
        <v>16499968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16499969</v>
      </c>
      <c r="C9">
        <v>16499958</v>
      </c>
      <c r="D9">
        <v>15249073</v>
      </c>
      <c r="E9">
        <v>1</v>
      </c>
      <c r="F9">
        <v>1</v>
      </c>
      <c r="G9">
        <v>1</v>
      </c>
      <c r="H9">
        <v>2</v>
      </c>
      <c r="I9" t="s">
        <v>631</v>
      </c>
      <c r="J9" t="s">
        <v>632</v>
      </c>
      <c r="K9" t="s">
        <v>633</v>
      </c>
      <c r="L9">
        <v>1368</v>
      </c>
      <c r="N9">
        <v>1011</v>
      </c>
      <c r="O9" t="s">
        <v>634</v>
      </c>
      <c r="P9" t="s">
        <v>634</v>
      </c>
      <c r="Q9">
        <v>1</v>
      </c>
      <c r="X9">
        <v>7.0000000000000007E-2</v>
      </c>
      <c r="Y9">
        <v>0</v>
      </c>
      <c r="Z9">
        <v>65.709999999999994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239</v>
      </c>
      <c r="AG9">
        <v>8.7500000000000008E-2</v>
      </c>
      <c r="AH9">
        <v>2</v>
      </c>
      <c r="AI9">
        <v>16499969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16499970</v>
      </c>
      <c r="C10">
        <v>16499958</v>
      </c>
      <c r="D10">
        <v>15162276</v>
      </c>
      <c r="E10">
        <v>17</v>
      </c>
      <c r="F10">
        <v>1</v>
      </c>
      <c r="G10">
        <v>1</v>
      </c>
      <c r="H10">
        <v>3</v>
      </c>
      <c r="I10" t="s">
        <v>61</v>
      </c>
      <c r="J10" t="s">
        <v>224</v>
      </c>
      <c r="K10" t="s">
        <v>62</v>
      </c>
      <c r="L10">
        <v>1339</v>
      </c>
      <c r="N10">
        <v>1007</v>
      </c>
      <c r="O10" t="s">
        <v>691</v>
      </c>
      <c r="P10" t="s">
        <v>691</v>
      </c>
      <c r="Q10">
        <v>1</v>
      </c>
      <c r="X10">
        <v>8.9999999999999993E-3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224</v>
      </c>
      <c r="AG10">
        <v>8.9999999999999993E-3</v>
      </c>
      <c r="AH10">
        <v>3</v>
      </c>
      <c r="AI10">
        <v>-1</v>
      </c>
      <c r="AJ10" t="s">
        <v>224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16499971</v>
      </c>
      <c r="C11">
        <v>16499958</v>
      </c>
      <c r="D11">
        <v>15162277</v>
      </c>
      <c r="E11">
        <v>17</v>
      </c>
      <c r="F11">
        <v>1</v>
      </c>
      <c r="G11">
        <v>1</v>
      </c>
      <c r="H11">
        <v>3</v>
      </c>
      <c r="I11" t="s">
        <v>61</v>
      </c>
      <c r="J11" t="s">
        <v>224</v>
      </c>
      <c r="K11" t="s">
        <v>63</v>
      </c>
      <c r="L11">
        <v>1348</v>
      </c>
      <c r="N11">
        <v>1009</v>
      </c>
      <c r="O11" t="s">
        <v>288</v>
      </c>
      <c r="P11" t="s">
        <v>288</v>
      </c>
      <c r="Q11">
        <v>1000</v>
      </c>
      <c r="X11">
        <v>3.5000000000000003E-2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224</v>
      </c>
      <c r="AG11">
        <v>3.5000000000000003E-2</v>
      </c>
      <c r="AH11">
        <v>3</v>
      </c>
      <c r="AI11">
        <v>-1</v>
      </c>
      <c r="AJ11" t="s">
        <v>224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16499972</v>
      </c>
      <c r="C12">
        <v>16499958</v>
      </c>
      <c r="D12">
        <v>15197248</v>
      </c>
      <c r="E12">
        <v>1</v>
      </c>
      <c r="F12">
        <v>1</v>
      </c>
      <c r="G12">
        <v>1</v>
      </c>
      <c r="H12">
        <v>3</v>
      </c>
      <c r="I12" t="s">
        <v>635</v>
      </c>
      <c r="J12" t="s">
        <v>636</v>
      </c>
      <c r="K12" t="s">
        <v>637</v>
      </c>
      <c r="L12">
        <v>1327</v>
      </c>
      <c r="N12">
        <v>1005</v>
      </c>
      <c r="O12" t="s">
        <v>277</v>
      </c>
      <c r="P12" t="s">
        <v>277</v>
      </c>
      <c r="Q12">
        <v>1</v>
      </c>
      <c r="X12">
        <v>3.4</v>
      </c>
      <c r="Y12">
        <v>35.22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224</v>
      </c>
      <c r="AG12">
        <v>3.4</v>
      </c>
      <c r="AH12">
        <v>2</v>
      </c>
      <c r="AI12">
        <v>16499972</v>
      </c>
      <c r="AJ12">
        <v>8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16499976</v>
      </c>
      <c r="C13">
        <v>16499975</v>
      </c>
      <c r="D13">
        <v>15430517</v>
      </c>
      <c r="E13">
        <v>1</v>
      </c>
      <c r="F13">
        <v>1</v>
      </c>
      <c r="G13">
        <v>1</v>
      </c>
      <c r="H13">
        <v>1</v>
      </c>
      <c r="I13" t="s">
        <v>638</v>
      </c>
      <c r="J13" t="s">
        <v>224</v>
      </c>
      <c r="K13" t="s">
        <v>639</v>
      </c>
      <c r="L13">
        <v>1191</v>
      </c>
      <c r="N13">
        <v>1013</v>
      </c>
      <c r="O13" t="s">
        <v>628</v>
      </c>
      <c r="P13" t="s">
        <v>628</v>
      </c>
      <c r="Q13">
        <v>1</v>
      </c>
      <c r="X13">
        <v>11.39</v>
      </c>
      <c r="Y13">
        <v>0</v>
      </c>
      <c r="Z13">
        <v>0</v>
      </c>
      <c r="AA13">
        <v>0</v>
      </c>
      <c r="AB13">
        <v>7.8</v>
      </c>
      <c r="AC13">
        <v>0</v>
      </c>
      <c r="AD13">
        <v>1</v>
      </c>
      <c r="AE13">
        <v>1</v>
      </c>
      <c r="AF13" t="s">
        <v>224</v>
      </c>
      <c r="AG13">
        <v>11.39</v>
      </c>
      <c r="AH13">
        <v>2</v>
      </c>
      <c r="AI13">
        <v>16499976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16499977</v>
      </c>
      <c r="C14">
        <v>16499975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629</v>
      </c>
      <c r="J14" t="s">
        <v>224</v>
      </c>
      <c r="K14" t="s">
        <v>630</v>
      </c>
      <c r="L14">
        <v>1191</v>
      </c>
      <c r="N14">
        <v>1013</v>
      </c>
      <c r="O14" t="s">
        <v>628</v>
      </c>
      <c r="P14" t="s">
        <v>628</v>
      </c>
      <c r="Q14">
        <v>1</v>
      </c>
      <c r="X14">
        <v>0.13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224</v>
      </c>
      <c r="AG14">
        <v>0.13</v>
      </c>
      <c r="AH14">
        <v>2</v>
      </c>
      <c r="AI14">
        <v>16499977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16499978</v>
      </c>
      <c r="C15">
        <v>16499975</v>
      </c>
      <c r="D15">
        <v>15247974</v>
      </c>
      <c r="E15">
        <v>1</v>
      </c>
      <c r="F15">
        <v>1</v>
      </c>
      <c r="G15">
        <v>1</v>
      </c>
      <c r="H15">
        <v>2</v>
      </c>
      <c r="I15" t="s">
        <v>640</v>
      </c>
      <c r="J15" t="s">
        <v>641</v>
      </c>
      <c r="K15" t="s">
        <v>642</v>
      </c>
      <c r="L15">
        <v>1368</v>
      </c>
      <c r="N15">
        <v>1011</v>
      </c>
      <c r="O15" t="s">
        <v>634</v>
      </c>
      <c r="P15" t="s">
        <v>634</v>
      </c>
      <c r="Q15">
        <v>1</v>
      </c>
      <c r="X15">
        <v>0.13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224</v>
      </c>
      <c r="AG15">
        <v>0.13</v>
      </c>
      <c r="AH15">
        <v>2</v>
      </c>
      <c r="AI15">
        <v>16499978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16499979</v>
      </c>
      <c r="C16">
        <v>16499975</v>
      </c>
      <c r="D16">
        <v>15164566</v>
      </c>
      <c r="E16">
        <v>17</v>
      </c>
      <c r="F16">
        <v>1</v>
      </c>
      <c r="G16">
        <v>1</v>
      </c>
      <c r="H16">
        <v>3</v>
      </c>
      <c r="I16" t="s">
        <v>64</v>
      </c>
      <c r="J16" t="s">
        <v>224</v>
      </c>
      <c r="K16" t="s">
        <v>65</v>
      </c>
      <c r="L16">
        <v>1348</v>
      </c>
      <c r="N16">
        <v>1009</v>
      </c>
      <c r="O16" t="s">
        <v>288</v>
      </c>
      <c r="P16" t="s">
        <v>288</v>
      </c>
      <c r="Q16">
        <v>1000</v>
      </c>
      <c r="X16">
        <v>0.47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224</v>
      </c>
      <c r="AG16">
        <v>0.47</v>
      </c>
      <c r="AH16">
        <v>3</v>
      </c>
      <c r="AI16">
        <v>-1</v>
      </c>
      <c r="AJ16" t="s">
        <v>224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16499976</v>
      </c>
      <c r="C17">
        <v>16499975</v>
      </c>
      <c r="D17">
        <v>15430517</v>
      </c>
      <c r="E17">
        <v>1</v>
      </c>
      <c r="F17">
        <v>1</v>
      </c>
      <c r="G17">
        <v>1</v>
      </c>
      <c r="H17">
        <v>1</v>
      </c>
      <c r="I17" t="s">
        <v>638</v>
      </c>
      <c r="J17" t="s">
        <v>224</v>
      </c>
      <c r="K17" t="s">
        <v>639</v>
      </c>
      <c r="L17">
        <v>1191</v>
      </c>
      <c r="N17">
        <v>1013</v>
      </c>
      <c r="O17" t="s">
        <v>628</v>
      </c>
      <c r="P17" t="s">
        <v>628</v>
      </c>
      <c r="Q17">
        <v>1</v>
      </c>
      <c r="X17">
        <v>11.39</v>
      </c>
      <c r="Y17">
        <v>0</v>
      </c>
      <c r="Z17">
        <v>0</v>
      </c>
      <c r="AA17">
        <v>0</v>
      </c>
      <c r="AB17">
        <v>7.8</v>
      </c>
      <c r="AC17">
        <v>0</v>
      </c>
      <c r="AD17">
        <v>1</v>
      </c>
      <c r="AE17">
        <v>1</v>
      </c>
      <c r="AF17" t="s">
        <v>224</v>
      </c>
      <c r="AG17">
        <v>11.39</v>
      </c>
      <c r="AH17">
        <v>2</v>
      </c>
      <c r="AI17">
        <v>16499976</v>
      </c>
      <c r="AJ17">
        <v>12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16499977</v>
      </c>
      <c r="C18">
        <v>16499975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629</v>
      </c>
      <c r="J18" t="s">
        <v>224</v>
      </c>
      <c r="K18" t="s">
        <v>630</v>
      </c>
      <c r="L18">
        <v>1191</v>
      </c>
      <c r="N18">
        <v>1013</v>
      </c>
      <c r="O18" t="s">
        <v>628</v>
      </c>
      <c r="P18" t="s">
        <v>628</v>
      </c>
      <c r="Q18">
        <v>1</v>
      </c>
      <c r="X18">
        <v>0.13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</v>
      </c>
      <c r="AF18" t="s">
        <v>224</v>
      </c>
      <c r="AG18">
        <v>0.13</v>
      </c>
      <c r="AH18">
        <v>2</v>
      </c>
      <c r="AI18">
        <v>16499977</v>
      </c>
      <c r="AJ18">
        <v>13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16499978</v>
      </c>
      <c r="C19">
        <v>16499975</v>
      </c>
      <c r="D19">
        <v>15247974</v>
      </c>
      <c r="E19">
        <v>1</v>
      </c>
      <c r="F19">
        <v>1</v>
      </c>
      <c r="G19">
        <v>1</v>
      </c>
      <c r="H19">
        <v>2</v>
      </c>
      <c r="I19" t="s">
        <v>640</v>
      </c>
      <c r="J19" t="s">
        <v>641</v>
      </c>
      <c r="K19" t="s">
        <v>642</v>
      </c>
      <c r="L19">
        <v>1368</v>
      </c>
      <c r="N19">
        <v>1011</v>
      </c>
      <c r="O19" t="s">
        <v>634</v>
      </c>
      <c r="P19" t="s">
        <v>634</v>
      </c>
      <c r="Q19">
        <v>1</v>
      </c>
      <c r="X19">
        <v>0.13</v>
      </c>
      <c r="Y19">
        <v>0</v>
      </c>
      <c r="Z19">
        <v>31.26</v>
      </c>
      <c r="AA19">
        <v>13.5</v>
      </c>
      <c r="AB19">
        <v>0</v>
      </c>
      <c r="AC19">
        <v>0</v>
      </c>
      <c r="AD19">
        <v>1</v>
      </c>
      <c r="AE19">
        <v>0</v>
      </c>
      <c r="AF19" t="s">
        <v>224</v>
      </c>
      <c r="AG19">
        <v>0.13</v>
      </c>
      <c r="AH19">
        <v>2</v>
      </c>
      <c r="AI19">
        <v>16499978</v>
      </c>
      <c r="AJ19">
        <v>14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16499979</v>
      </c>
      <c r="C20">
        <v>16499975</v>
      </c>
      <c r="D20">
        <v>15164566</v>
      </c>
      <c r="E20">
        <v>17</v>
      </c>
      <c r="F20">
        <v>1</v>
      </c>
      <c r="G20">
        <v>1</v>
      </c>
      <c r="H20">
        <v>3</v>
      </c>
      <c r="I20" t="s">
        <v>64</v>
      </c>
      <c r="J20" t="s">
        <v>224</v>
      </c>
      <c r="K20" t="s">
        <v>65</v>
      </c>
      <c r="L20">
        <v>1348</v>
      </c>
      <c r="N20">
        <v>1009</v>
      </c>
      <c r="O20" t="s">
        <v>288</v>
      </c>
      <c r="P20" t="s">
        <v>288</v>
      </c>
      <c r="Q20">
        <v>1000</v>
      </c>
      <c r="X20">
        <v>0.47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224</v>
      </c>
      <c r="AG20">
        <v>0.47</v>
      </c>
      <c r="AH20">
        <v>3</v>
      </c>
      <c r="AI20">
        <v>-1</v>
      </c>
      <c r="AJ20" t="s">
        <v>224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16499982</v>
      </c>
      <c r="C21">
        <v>16499981</v>
      </c>
      <c r="D21">
        <v>15430517</v>
      </c>
      <c r="E21">
        <v>1</v>
      </c>
      <c r="F21">
        <v>1</v>
      </c>
      <c r="G21">
        <v>1</v>
      </c>
      <c r="H21">
        <v>1</v>
      </c>
      <c r="I21" t="s">
        <v>638</v>
      </c>
      <c r="J21" t="s">
        <v>224</v>
      </c>
      <c r="K21" t="s">
        <v>639</v>
      </c>
      <c r="L21">
        <v>1191</v>
      </c>
      <c r="N21">
        <v>1013</v>
      </c>
      <c r="O21" t="s">
        <v>628</v>
      </c>
      <c r="P21" t="s">
        <v>628</v>
      </c>
      <c r="Q21">
        <v>1</v>
      </c>
      <c r="X21">
        <v>3.77</v>
      </c>
      <c r="Y21">
        <v>0</v>
      </c>
      <c r="Z21">
        <v>0</v>
      </c>
      <c r="AA21">
        <v>0</v>
      </c>
      <c r="AB21">
        <v>7.8</v>
      </c>
      <c r="AC21">
        <v>0</v>
      </c>
      <c r="AD21">
        <v>1</v>
      </c>
      <c r="AE21">
        <v>1</v>
      </c>
      <c r="AF21" t="s">
        <v>224</v>
      </c>
      <c r="AG21">
        <v>3.77</v>
      </c>
      <c r="AH21">
        <v>2</v>
      </c>
      <c r="AI21">
        <v>16499982</v>
      </c>
      <c r="AJ21">
        <v>15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ROW(Source!A32)</f>
        <v>32</v>
      </c>
      <c r="B22">
        <v>16499983</v>
      </c>
      <c r="C22">
        <v>16499981</v>
      </c>
      <c r="D22">
        <v>15164566</v>
      </c>
      <c r="E22">
        <v>17</v>
      </c>
      <c r="F22">
        <v>1</v>
      </c>
      <c r="G22">
        <v>1</v>
      </c>
      <c r="H22">
        <v>3</v>
      </c>
      <c r="I22" t="s">
        <v>64</v>
      </c>
      <c r="J22" t="s">
        <v>224</v>
      </c>
      <c r="K22" t="s">
        <v>65</v>
      </c>
      <c r="L22">
        <v>1348</v>
      </c>
      <c r="N22">
        <v>1009</v>
      </c>
      <c r="O22" t="s">
        <v>288</v>
      </c>
      <c r="P22" t="s">
        <v>288</v>
      </c>
      <c r="Q22">
        <v>1000</v>
      </c>
      <c r="X22">
        <v>0.11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224</v>
      </c>
      <c r="AG22">
        <v>0.11</v>
      </c>
      <c r="AH22">
        <v>3</v>
      </c>
      <c r="AI22">
        <v>-1</v>
      </c>
      <c r="AJ22" t="s">
        <v>224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16499982</v>
      </c>
      <c r="C23">
        <v>16499981</v>
      </c>
      <c r="D23">
        <v>15430517</v>
      </c>
      <c r="E23">
        <v>1</v>
      </c>
      <c r="F23">
        <v>1</v>
      </c>
      <c r="G23">
        <v>1</v>
      </c>
      <c r="H23">
        <v>1</v>
      </c>
      <c r="I23" t="s">
        <v>638</v>
      </c>
      <c r="J23" t="s">
        <v>224</v>
      </c>
      <c r="K23" t="s">
        <v>639</v>
      </c>
      <c r="L23">
        <v>1191</v>
      </c>
      <c r="N23">
        <v>1013</v>
      </c>
      <c r="O23" t="s">
        <v>628</v>
      </c>
      <c r="P23" t="s">
        <v>628</v>
      </c>
      <c r="Q23">
        <v>1</v>
      </c>
      <c r="X23">
        <v>3.77</v>
      </c>
      <c r="Y23">
        <v>0</v>
      </c>
      <c r="Z23">
        <v>0</v>
      </c>
      <c r="AA23">
        <v>0</v>
      </c>
      <c r="AB23">
        <v>7.8</v>
      </c>
      <c r="AC23">
        <v>0</v>
      </c>
      <c r="AD23">
        <v>1</v>
      </c>
      <c r="AE23">
        <v>1</v>
      </c>
      <c r="AF23" t="s">
        <v>224</v>
      </c>
      <c r="AG23">
        <v>3.77</v>
      </c>
      <c r="AH23">
        <v>2</v>
      </c>
      <c r="AI23">
        <v>16499982</v>
      </c>
      <c r="AJ23">
        <v>16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16499983</v>
      </c>
      <c r="C24">
        <v>16499981</v>
      </c>
      <c r="D24">
        <v>15164566</v>
      </c>
      <c r="E24">
        <v>17</v>
      </c>
      <c r="F24">
        <v>1</v>
      </c>
      <c r="G24">
        <v>1</v>
      </c>
      <c r="H24">
        <v>3</v>
      </c>
      <c r="I24" t="s">
        <v>64</v>
      </c>
      <c r="J24" t="s">
        <v>224</v>
      </c>
      <c r="K24" t="s">
        <v>65</v>
      </c>
      <c r="L24">
        <v>1348</v>
      </c>
      <c r="N24">
        <v>1009</v>
      </c>
      <c r="O24" t="s">
        <v>288</v>
      </c>
      <c r="P24" t="s">
        <v>288</v>
      </c>
      <c r="Q24">
        <v>1000</v>
      </c>
      <c r="X24">
        <v>0.11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224</v>
      </c>
      <c r="AG24">
        <v>0.11</v>
      </c>
      <c r="AH24">
        <v>3</v>
      </c>
      <c r="AI24">
        <v>-1</v>
      </c>
      <c r="AJ24" t="s">
        <v>224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16499986</v>
      </c>
      <c r="C25">
        <v>16499985</v>
      </c>
      <c r="D25">
        <v>15430517</v>
      </c>
      <c r="E25">
        <v>1</v>
      </c>
      <c r="F25">
        <v>1</v>
      </c>
      <c r="G25">
        <v>1</v>
      </c>
      <c r="H25">
        <v>1</v>
      </c>
      <c r="I25" t="s">
        <v>638</v>
      </c>
      <c r="J25" t="s">
        <v>224</v>
      </c>
      <c r="K25" t="s">
        <v>639</v>
      </c>
      <c r="L25">
        <v>1191</v>
      </c>
      <c r="N25">
        <v>1013</v>
      </c>
      <c r="O25" t="s">
        <v>628</v>
      </c>
      <c r="P25" t="s">
        <v>628</v>
      </c>
      <c r="Q25">
        <v>1</v>
      </c>
      <c r="X25">
        <v>55.52</v>
      </c>
      <c r="Y25">
        <v>0</v>
      </c>
      <c r="Z25">
        <v>0</v>
      </c>
      <c r="AA25">
        <v>0</v>
      </c>
      <c r="AB25">
        <v>7.8</v>
      </c>
      <c r="AC25">
        <v>0</v>
      </c>
      <c r="AD25">
        <v>1</v>
      </c>
      <c r="AE25">
        <v>1</v>
      </c>
      <c r="AF25" t="s">
        <v>224</v>
      </c>
      <c r="AG25">
        <v>55.52</v>
      </c>
      <c r="AH25">
        <v>2</v>
      </c>
      <c r="AI25">
        <v>16499986</v>
      </c>
      <c r="AJ25">
        <v>17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16499987</v>
      </c>
      <c r="C26">
        <v>16499985</v>
      </c>
      <c r="D26">
        <v>15247873</v>
      </c>
      <c r="E26">
        <v>1</v>
      </c>
      <c r="F26">
        <v>1</v>
      </c>
      <c r="G26">
        <v>1</v>
      </c>
      <c r="H26">
        <v>2</v>
      </c>
      <c r="I26" t="s">
        <v>643</v>
      </c>
      <c r="J26" t="s">
        <v>644</v>
      </c>
      <c r="K26" t="s">
        <v>645</v>
      </c>
      <c r="L26">
        <v>1368</v>
      </c>
      <c r="N26">
        <v>1011</v>
      </c>
      <c r="O26" t="s">
        <v>634</v>
      </c>
      <c r="P26" t="s">
        <v>634</v>
      </c>
      <c r="Q26">
        <v>1</v>
      </c>
      <c r="X26">
        <v>12.7</v>
      </c>
      <c r="Y26">
        <v>0</v>
      </c>
      <c r="Z26">
        <v>6.66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224</v>
      </c>
      <c r="AG26">
        <v>12.7</v>
      </c>
      <c r="AH26">
        <v>2</v>
      </c>
      <c r="AI26">
        <v>16499987</v>
      </c>
      <c r="AJ26">
        <v>18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16499986</v>
      </c>
      <c r="C27">
        <v>16499985</v>
      </c>
      <c r="D27">
        <v>15430517</v>
      </c>
      <c r="E27">
        <v>1</v>
      </c>
      <c r="F27">
        <v>1</v>
      </c>
      <c r="G27">
        <v>1</v>
      </c>
      <c r="H27">
        <v>1</v>
      </c>
      <c r="I27" t="s">
        <v>638</v>
      </c>
      <c r="J27" t="s">
        <v>224</v>
      </c>
      <c r="K27" t="s">
        <v>639</v>
      </c>
      <c r="L27">
        <v>1191</v>
      </c>
      <c r="N27">
        <v>1013</v>
      </c>
      <c r="O27" t="s">
        <v>628</v>
      </c>
      <c r="P27" t="s">
        <v>628</v>
      </c>
      <c r="Q27">
        <v>1</v>
      </c>
      <c r="X27">
        <v>55.52</v>
      </c>
      <c r="Y27">
        <v>0</v>
      </c>
      <c r="Z27">
        <v>0</v>
      </c>
      <c r="AA27">
        <v>0</v>
      </c>
      <c r="AB27">
        <v>7.8</v>
      </c>
      <c r="AC27">
        <v>0</v>
      </c>
      <c r="AD27">
        <v>1</v>
      </c>
      <c r="AE27">
        <v>1</v>
      </c>
      <c r="AF27" t="s">
        <v>224</v>
      </c>
      <c r="AG27">
        <v>55.52</v>
      </c>
      <c r="AH27">
        <v>2</v>
      </c>
      <c r="AI27">
        <v>16499986</v>
      </c>
      <c r="AJ27">
        <v>19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16499987</v>
      </c>
      <c r="C28">
        <v>16499985</v>
      </c>
      <c r="D28">
        <v>15247873</v>
      </c>
      <c r="E28">
        <v>1</v>
      </c>
      <c r="F28">
        <v>1</v>
      </c>
      <c r="G28">
        <v>1</v>
      </c>
      <c r="H28">
        <v>2</v>
      </c>
      <c r="I28" t="s">
        <v>643</v>
      </c>
      <c r="J28" t="s">
        <v>644</v>
      </c>
      <c r="K28" t="s">
        <v>645</v>
      </c>
      <c r="L28">
        <v>1368</v>
      </c>
      <c r="N28">
        <v>1011</v>
      </c>
      <c r="O28" t="s">
        <v>634</v>
      </c>
      <c r="P28" t="s">
        <v>634</v>
      </c>
      <c r="Q28">
        <v>1</v>
      </c>
      <c r="X28">
        <v>12.7</v>
      </c>
      <c r="Y28">
        <v>0</v>
      </c>
      <c r="Z28">
        <v>6.66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224</v>
      </c>
      <c r="AG28">
        <v>12.7</v>
      </c>
      <c r="AH28">
        <v>2</v>
      </c>
      <c r="AI28">
        <v>16499987</v>
      </c>
      <c r="AJ28">
        <v>20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ROW(Source!A36)</f>
        <v>36</v>
      </c>
      <c r="B29">
        <v>16499989</v>
      </c>
      <c r="C29">
        <v>16499988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638</v>
      </c>
      <c r="J29" t="s">
        <v>224</v>
      </c>
      <c r="K29" t="s">
        <v>639</v>
      </c>
      <c r="L29">
        <v>1191</v>
      </c>
      <c r="N29">
        <v>1013</v>
      </c>
      <c r="O29" t="s">
        <v>628</v>
      </c>
      <c r="P29" t="s">
        <v>628</v>
      </c>
      <c r="Q29">
        <v>1</v>
      </c>
      <c r="X29">
        <v>9.1</v>
      </c>
      <c r="Y29">
        <v>0</v>
      </c>
      <c r="Z29">
        <v>0</v>
      </c>
      <c r="AA29">
        <v>0</v>
      </c>
      <c r="AB29">
        <v>7.8</v>
      </c>
      <c r="AC29">
        <v>0</v>
      </c>
      <c r="AD29">
        <v>1</v>
      </c>
      <c r="AE29">
        <v>1</v>
      </c>
      <c r="AF29" t="s">
        <v>224</v>
      </c>
      <c r="AG29">
        <v>9.1</v>
      </c>
      <c r="AH29">
        <v>2</v>
      </c>
      <c r="AI29">
        <v>16499989</v>
      </c>
      <c r="AJ29">
        <v>21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ROW(Source!A36)</f>
        <v>36</v>
      </c>
      <c r="B30">
        <v>16499990</v>
      </c>
      <c r="C30">
        <v>16499988</v>
      </c>
      <c r="D30">
        <v>15247878</v>
      </c>
      <c r="E30">
        <v>1</v>
      </c>
      <c r="F30">
        <v>1</v>
      </c>
      <c r="G30">
        <v>1</v>
      </c>
      <c r="H30">
        <v>2</v>
      </c>
      <c r="I30" t="s">
        <v>646</v>
      </c>
      <c r="J30" t="s">
        <v>647</v>
      </c>
      <c r="K30" t="s">
        <v>648</v>
      </c>
      <c r="L30">
        <v>1368</v>
      </c>
      <c r="N30">
        <v>1011</v>
      </c>
      <c r="O30" t="s">
        <v>634</v>
      </c>
      <c r="P30" t="s">
        <v>634</v>
      </c>
      <c r="Q30">
        <v>1</v>
      </c>
      <c r="X30">
        <v>0.12</v>
      </c>
      <c r="Y30">
        <v>0</v>
      </c>
      <c r="Z30">
        <v>1.7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224</v>
      </c>
      <c r="AG30">
        <v>0.12</v>
      </c>
      <c r="AH30">
        <v>2</v>
      </c>
      <c r="AI30">
        <v>16499990</v>
      </c>
      <c r="AJ30">
        <v>22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ROW(Source!A36)</f>
        <v>36</v>
      </c>
      <c r="B31">
        <v>16499991</v>
      </c>
      <c r="C31">
        <v>16499988</v>
      </c>
      <c r="D31">
        <v>15164566</v>
      </c>
      <c r="E31">
        <v>17</v>
      </c>
      <c r="F31">
        <v>1</v>
      </c>
      <c r="G31">
        <v>1</v>
      </c>
      <c r="H31">
        <v>3</v>
      </c>
      <c r="I31" t="s">
        <v>64</v>
      </c>
      <c r="J31" t="s">
        <v>224</v>
      </c>
      <c r="K31" t="s">
        <v>65</v>
      </c>
      <c r="L31">
        <v>1348</v>
      </c>
      <c r="N31">
        <v>1009</v>
      </c>
      <c r="O31" t="s">
        <v>288</v>
      </c>
      <c r="P31" t="s">
        <v>288</v>
      </c>
      <c r="Q31">
        <v>1000</v>
      </c>
      <c r="X31">
        <v>0.12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224</v>
      </c>
      <c r="AG31">
        <v>0.12</v>
      </c>
      <c r="AH31">
        <v>3</v>
      </c>
      <c r="AI31">
        <v>-1</v>
      </c>
      <c r="AJ31" t="s">
        <v>224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16499989</v>
      </c>
      <c r="C32">
        <v>16499988</v>
      </c>
      <c r="D32">
        <v>15430517</v>
      </c>
      <c r="E32">
        <v>1</v>
      </c>
      <c r="F32">
        <v>1</v>
      </c>
      <c r="G32">
        <v>1</v>
      </c>
      <c r="H32">
        <v>1</v>
      </c>
      <c r="I32" t="s">
        <v>638</v>
      </c>
      <c r="J32" t="s">
        <v>224</v>
      </c>
      <c r="K32" t="s">
        <v>639</v>
      </c>
      <c r="L32">
        <v>1191</v>
      </c>
      <c r="N32">
        <v>1013</v>
      </c>
      <c r="O32" t="s">
        <v>628</v>
      </c>
      <c r="P32" t="s">
        <v>628</v>
      </c>
      <c r="Q32">
        <v>1</v>
      </c>
      <c r="X32">
        <v>9.1</v>
      </c>
      <c r="Y32">
        <v>0</v>
      </c>
      <c r="Z32">
        <v>0</v>
      </c>
      <c r="AA32">
        <v>0</v>
      </c>
      <c r="AB32">
        <v>7.8</v>
      </c>
      <c r="AC32">
        <v>0</v>
      </c>
      <c r="AD32">
        <v>1</v>
      </c>
      <c r="AE32">
        <v>1</v>
      </c>
      <c r="AF32" t="s">
        <v>224</v>
      </c>
      <c r="AG32">
        <v>9.1</v>
      </c>
      <c r="AH32">
        <v>2</v>
      </c>
      <c r="AI32">
        <v>16499989</v>
      </c>
      <c r="AJ32">
        <v>23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16499990</v>
      </c>
      <c r="C33">
        <v>16499988</v>
      </c>
      <c r="D33">
        <v>15247878</v>
      </c>
      <c r="E33">
        <v>1</v>
      </c>
      <c r="F33">
        <v>1</v>
      </c>
      <c r="G33">
        <v>1</v>
      </c>
      <c r="H33">
        <v>2</v>
      </c>
      <c r="I33" t="s">
        <v>646</v>
      </c>
      <c r="J33" t="s">
        <v>647</v>
      </c>
      <c r="K33" t="s">
        <v>648</v>
      </c>
      <c r="L33">
        <v>1368</v>
      </c>
      <c r="N33">
        <v>1011</v>
      </c>
      <c r="O33" t="s">
        <v>634</v>
      </c>
      <c r="P33" t="s">
        <v>634</v>
      </c>
      <c r="Q33">
        <v>1</v>
      </c>
      <c r="X33">
        <v>0.12</v>
      </c>
      <c r="Y33">
        <v>0</v>
      </c>
      <c r="Z33">
        <v>1.7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224</v>
      </c>
      <c r="AG33">
        <v>0.12</v>
      </c>
      <c r="AH33">
        <v>2</v>
      </c>
      <c r="AI33">
        <v>16499990</v>
      </c>
      <c r="AJ33">
        <v>24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16499991</v>
      </c>
      <c r="C34">
        <v>16499988</v>
      </c>
      <c r="D34">
        <v>15164566</v>
      </c>
      <c r="E34">
        <v>17</v>
      </c>
      <c r="F34">
        <v>1</v>
      </c>
      <c r="G34">
        <v>1</v>
      </c>
      <c r="H34">
        <v>3</v>
      </c>
      <c r="I34" t="s">
        <v>64</v>
      </c>
      <c r="J34" t="s">
        <v>224</v>
      </c>
      <c r="K34" t="s">
        <v>65</v>
      </c>
      <c r="L34">
        <v>1348</v>
      </c>
      <c r="N34">
        <v>1009</v>
      </c>
      <c r="O34" t="s">
        <v>288</v>
      </c>
      <c r="P34" t="s">
        <v>288</v>
      </c>
      <c r="Q34">
        <v>1000</v>
      </c>
      <c r="X34">
        <v>0.12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224</v>
      </c>
      <c r="AG34">
        <v>0.12</v>
      </c>
      <c r="AH34">
        <v>3</v>
      </c>
      <c r="AI34">
        <v>-1</v>
      </c>
      <c r="AJ34" t="s">
        <v>224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ROW(Source!A38)</f>
        <v>38</v>
      </c>
      <c r="B35">
        <v>16499994</v>
      </c>
      <c r="C35">
        <v>16499993</v>
      </c>
      <c r="D35">
        <v>15433667</v>
      </c>
      <c r="E35">
        <v>1</v>
      </c>
      <c r="F35">
        <v>1</v>
      </c>
      <c r="G35">
        <v>1</v>
      </c>
      <c r="H35">
        <v>1</v>
      </c>
      <c r="I35" t="s">
        <v>649</v>
      </c>
      <c r="J35" t="s">
        <v>224</v>
      </c>
      <c r="K35" t="s">
        <v>650</v>
      </c>
      <c r="L35">
        <v>1191</v>
      </c>
      <c r="N35">
        <v>1013</v>
      </c>
      <c r="O35" t="s">
        <v>628</v>
      </c>
      <c r="P35" t="s">
        <v>628</v>
      </c>
      <c r="Q35">
        <v>1</v>
      </c>
      <c r="X35">
        <v>103.91</v>
      </c>
      <c r="Y35">
        <v>0</v>
      </c>
      <c r="Z35">
        <v>0</v>
      </c>
      <c r="AA35">
        <v>0</v>
      </c>
      <c r="AB35">
        <v>8.09</v>
      </c>
      <c r="AC35">
        <v>0</v>
      </c>
      <c r="AD35">
        <v>1</v>
      </c>
      <c r="AE35">
        <v>1</v>
      </c>
      <c r="AF35" t="s">
        <v>224</v>
      </c>
      <c r="AG35">
        <v>103.91</v>
      </c>
      <c r="AH35">
        <v>2</v>
      </c>
      <c r="AI35">
        <v>16499994</v>
      </c>
      <c r="AJ35">
        <v>25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ROW(Source!A38)</f>
        <v>38</v>
      </c>
      <c r="B36">
        <v>16499995</v>
      </c>
      <c r="C36">
        <v>16499993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629</v>
      </c>
      <c r="J36" t="s">
        <v>224</v>
      </c>
      <c r="K36" t="s">
        <v>630</v>
      </c>
      <c r="L36">
        <v>1191</v>
      </c>
      <c r="N36">
        <v>1013</v>
      </c>
      <c r="O36" t="s">
        <v>628</v>
      </c>
      <c r="P36" t="s">
        <v>628</v>
      </c>
      <c r="Q36">
        <v>1</v>
      </c>
      <c r="X36">
        <v>7.74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224</v>
      </c>
      <c r="AG36">
        <v>7.74</v>
      </c>
      <c r="AH36">
        <v>2</v>
      </c>
      <c r="AI36">
        <v>16499995</v>
      </c>
      <c r="AJ36">
        <v>26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ROW(Source!A38)</f>
        <v>38</v>
      </c>
      <c r="B37">
        <v>16499996</v>
      </c>
      <c r="C37">
        <v>16499993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640</v>
      </c>
      <c r="J37" t="s">
        <v>641</v>
      </c>
      <c r="K37" t="s">
        <v>642</v>
      </c>
      <c r="L37">
        <v>1368</v>
      </c>
      <c r="N37">
        <v>1011</v>
      </c>
      <c r="O37" t="s">
        <v>634</v>
      </c>
      <c r="P37" t="s">
        <v>634</v>
      </c>
      <c r="Q37">
        <v>1</v>
      </c>
      <c r="X37">
        <v>7.74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224</v>
      </c>
      <c r="AG37">
        <v>7.74</v>
      </c>
      <c r="AH37">
        <v>2</v>
      </c>
      <c r="AI37">
        <v>16499996</v>
      </c>
      <c r="AJ37">
        <v>27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16499994</v>
      </c>
      <c r="C38">
        <v>16499993</v>
      </c>
      <c r="D38">
        <v>15433667</v>
      </c>
      <c r="E38">
        <v>1</v>
      </c>
      <c r="F38">
        <v>1</v>
      </c>
      <c r="G38">
        <v>1</v>
      </c>
      <c r="H38">
        <v>1</v>
      </c>
      <c r="I38" t="s">
        <v>649</v>
      </c>
      <c r="J38" t="s">
        <v>224</v>
      </c>
      <c r="K38" t="s">
        <v>650</v>
      </c>
      <c r="L38">
        <v>1191</v>
      </c>
      <c r="N38">
        <v>1013</v>
      </c>
      <c r="O38" t="s">
        <v>628</v>
      </c>
      <c r="P38" t="s">
        <v>628</v>
      </c>
      <c r="Q38">
        <v>1</v>
      </c>
      <c r="X38">
        <v>103.91</v>
      </c>
      <c r="Y38">
        <v>0</v>
      </c>
      <c r="Z38">
        <v>0</v>
      </c>
      <c r="AA38">
        <v>0</v>
      </c>
      <c r="AB38">
        <v>8.09</v>
      </c>
      <c r="AC38">
        <v>0</v>
      </c>
      <c r="AD38">
        <v>1</v>
      </c>
      <c r="AE38">
        <v>1</v>
      </c>
      <c r="AF38" t="s">
        <v>224</v>
      </c>
      <c r="AG38">
        <v>103.91</v>
      </c>
      <c r="AH38">
        <v>2</v>
      </c>
      <c r="AI38">
        <v>16499994</v>
      </c>
      <c r="AJ38">
        <v>28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16499995</v>
      </c>
      <c r="C39">
        <v>16499993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629</v>
      </c>
      <c r="J39" t="s">
        <v>224</v>
      </c>
      <c r="K39" t="s">
        <v>630</v>
      </c>
      <c r="L39">
        <v>1191</v>
      </c>
      <c r="N39">
        <v>1013</v>
      </c>
      <c r="O39" t="s">
        <v>628</v>
      </c>
      <c r="P39" t="s">
        <v>628</v>
      </c>
      <c r="Q39">
        <v>1</v>
      </c>
      <c r="X39">
        <v>7.74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2</v>
      </c>
      <c r="AF39" t="s">
        <v>224</v>
      </c>
      <c r="AG39">
        <v>7.74</v>
      </c>
      <c r="AH39">
        <v>2</v>
      </c>
      <c r="AI39">
        <v>16499995</v>
      </c>
      <c r="AJ39">
        <v>29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16499996</v>
      </c>
      <c r="C40">
        <v>16499993</v>
      </c>
      <c r="D40">
        <v>15247974</v>
      </c>
      <c r="E40">
        <v>1</v>
      </c>
      <c r="F40">
        <v>1</v>
      </c>
      <c r="G40">
        <v>1</v>
      </c>
      <c r="H40">
        <v>2</v>
      </c>
      <c r="I40" t="s">
        <v>640</v>
      </c>
      <c r="J40" t="s">
        <v>641</v>
      </c>
      <c r="K40" t="s">
        <v>642</v>
      </c>
      <c r="L40">
        <v>1368</v>
      </c>
      <c r="N40">
        <v>1011</v>
      </c>
      <c r="O40" t="s">
        <v>634</v>
      </c>
      <c r="P40" t="s">
        <v>634</v>
      </c>
      <c r="Q40">
        <v>1</v>
      </c>
      <c r="X40">
        <v>7.74</v>
      </c>
      <c r="Y40">
        <v>0</v>
      </c>
      <c r="Z40">
        <v>31.26</v>
      </c>
      <c r="AA40">
        <v>13.5</v>
      </c>
      <c r="AB40">
        <v>0</v>
      </c>
      <c r="AC40">
        <v>0</v>
      </c>
      <c r="AD40">
        <v>1</v>
      </c>
      <c r="AE40">
        <v>0</v>
      </c>
      <c r="AF40" t="s">
        <v>224</v>
      </c>
      <c r="AG40">
        <v>7.74</v>
      </c>
      <c r="AH40">
        <v>2</v>
      </c>
      <c r="AI40">
        <v>16499996</v>
      </c>
      <c r="AJ40">
        <v>30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ROW(Source!A40)</f>
        <v>40</v>
      </c>
      <c r="B41">
        <v>16499998</v>
      </c>
      <c r="C41">
        <v>16499997</v>
      </c>
      <c r="D41">
        <v>15446300</v>
      </c>
      <c r="E41">
        <v>1</v>
      </c>
      <c r="F41">
        <v>1</v>
      </c>
      <c r="G41">
        <v>1</v>
      </c>
      <c r="H41">
        <v>1</v>
      </c>
      <c r="I41" t="s">
        <v>651</v>
      </c>
      <c r="J41" t="s">
        <v>224</v>
      </c>
      <c r="K41" t="s">
        <v>652</v>
      </c>
      <c r="L41">
        <v>1191</v>
      </c>
      <c r="N41">
        <v>1013</v>
      </c>
      <c r="O41" t="s">
        <v>628</v>
      </c>
      <c r="P41" t="s">
        <v>628</v>
      </c>
      <c r="Q41">
        <v>1</v>
      </c>
      <c r="X41">
        <v>2.4</v>
      </c>
      <c r="Y41">
        <v>0</v>
      </c>
      <c r="Z41">
        <v>0</v>
      </c>
      <c r="AA41">
        <v>0</v>
      </c>
      <c r="AB41">
        <v>9.92</v>
      </c>
      <c r="AC41">
        <v>0</v>
      </c>
      <c r="AD41">
        <v>1</v>
      </c>
      <c r="AE41">
        <v>1</v>
      </c>
      <c r="AF41" t="s">
        <v>281</v>
      </c>
      <c r="AG41">
        <v>1.68</v>
      </c>
      <c r="AH41">
        <v>2</v>
      </c>
      <c r="AI41">
        <v>16499998</v>
      </c>
      <c r="AJ41">
        <v>31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16499999</v>
      </c>
      <c r="C42">
        <v>16499997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629</v>
      </c>
      <c r="J42" t="s">
        <v>224</v>
      </c>
      <c r="K42" t="s">
        <v>630</v>
      </c>
      <c r="L42">
        <v>1191</v>
      </c>
      <c r="N42">
        <v>1013</v>
      </c>
      <c r="O42" t="s">
        <v>628</v>
      </c>
      <c r="P42" t="s">
        <v>628</v>
      </c>
      <c r="Q42">
        <v>1</v>
      </c>
      <c r="X42">
        <v>0.17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281</v>
      </c>
      <c r="AG42">
        <v>0.11899999999999999</v>
      </c>
      <c r="AH42">
        <v>2</v>
      </c>
      <c r="AI42">
        <v>16499999</v>
      </c>
      <c r="AJ42">
        <v>32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16500000</v>
      </c>
      <c r="C43">
        <v>16499997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631</v>
      </c>
      <c r="J43" t="s">
        <v>632</v>
      </c>
      <c r="K43" t="s">
        <v>633</v>
      </c>
      <c r="L43">
        <v>1368</v>
      </c>
      <c r="N43">
        <v>1011</v>
      </c>
      <c r="O43" t="s">
        <v>634</v>
      </c>
      <c r="P43" t="s">
        <v>634</v>
      </c>
      <c r="Q43">
        <v>1</v>
      </c>
      <c r="X43">
        <v>0.17</v>
      </c>
      <c r="Y43">
        <v>0</v>
      </c>
      <c r="Z43">
        <v>65.709999999999994</v>
      </c>
      <c r="AA43">
        <v>11.6</v>
      </c>
      <c r="AB43">
        <v>0</v>
      </c>
      <c r="AC43">
        <v>0</v>
      </c>
      <c r="AD43">
        <v>1</v>
      </c>
      <c r="AE43">
        <v>0</v>
      </c>
      <c r="AF43" t="s">
        <v>281</v>
      </c>
      <c r="AG43">
        <v>0.11899999999999999</v>
      </c>
      <c r="AH43">
        <v>2</v>
      </c>
      <c r="AI43">
        <v>16500000</v>
      </c>
      <c r="AJ43">
        <v>33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16500001</v>
      </c>
      <c r="C44">
        <v>16499997</v>
      </c>
      <c r="D44">
        <v>15249377</v>
      </c>
      <c r="E44">
        <v>1</v>
      </c>
      <c r="F44">
        <v>1</v>
      </c>
      <c r="G44">
        <v>1</v>
      </c>
      <c r="H44">
        <v>2</v>
      </c>
      <c r="I44" t="s">
        <v>653</v>
      </c>
      <c r="J44" t="s">
        <v>654</v>
      </c>
      <c r="K44" t="s">
        <v>655</v>
      </c>
      <c r="L44">
        <v>1368</v>
      </c>
      <c r="N44">
        <v>1011</v>
      </c>
      <c r="O44" t="s">
        <v>634</v>
      </c>
      <c r="P44" t="s">
        <v>634</v>
      </c>
      <c r="Q44">
        <v>1</v>
      </c>
      <c r="X44">
        <v>0.4</v>
      </c>
      <c r="Y44">
        <v>0</v>
      </c>
      <c r="Z44">
        <v>8.1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281</v>
      </c>
      <c r="AG44">
        <v>0.27999999999999997</v>
      </c>
      <c r="AH44">
        <v>2</v>
      </c>
      <c r="AI44">
        <v>16500001</v>
      </c>
      <c r="AJ44">
        <v>34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16500002</v>
      </c>
      <c r="C45">
        <v>16499997</v>
      </c>
      <c r="D45">
        <v>15162381</v>
      </c>
      <c r="E45">
        <v>17</v>
      </c>
      <c r="F45">
        <v>1</v>
      </c>
      <c r="G45">
        <v>1</v>
      </c>
      <c r="H45">
        <v>3</v>
      </c>
      <c r="I45" t="s">
        <v>66</v>
      </c>
      <c r="J45" t="s">
        <v>224</v>
      </c>
      <c r="K45" t="s">
        <v>67</v>
      </c>
      <c r="L45">
        <v>1035</v>
      </c>
      <c r="N45">
        <v>1013</v>
      </c>
      <c r="O45" t="s">
        <v>535</v>
      </c>
      <c r="P45" t="s">
        <v>535</v>
      </c>
      <c r="Q45">
        <v>1</v>
      </c>
      <c r="X45">
        <v>0</v>
      </c>
      <c r="Y45">
        <v>0</v>
      </c>
      <c r="Z45">
        <v>0</v>
      </c>
      <c r="AA45">
        <v>0</v>
      </c>
      <c r="AB45">
        <v>0</v>
      </c>
      <c r="AC45">
        <v>1</v>
      </c>
      <c r="AD45">
        <v>0</v>
      </c>
      <c r="AE45">
        <v>0</v>
      </c>
      <c r="AF45" t="s">
        <v>280</v>
      </c>
      <c r="AG45">
        <v>0</v>
      </c>
      <c r="AH45">
        <v>3</v>
      </c>
      <c r="AI45">
        <v>-1</v>
      </c>
      <c r="AJ45" t="s">
        <v>224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16500003</v>
      </c>
      <c r="C46">
        <v>16499997</v>
      </c>
      <c r="D46">
        <v>15168750</v>
      </c>
      <c r="E46">
        <v>1</v>
      </c>
      <c r="F46">
        <v>1</v>
      </c>
      <c r="G46">
        <v>1</v>
      </c>
      <c r="H46">
        <v>3</v>
      </c>
      <c r="I46" t="s">
        <v>656</v>
      </c>
      <c r="J46" t="s">
        <v>657</v>
      </c>
      <c r="K46" t="s">
        <v>658</v>
      </c>
      <c r="L46">
        <v>1348</v>
      </c>
      <c r="N46">
        <v>1009</v>
      </c>
      <c r="O46" t="s">
        <v>288</v>
      </c>
      <c r="P46" t="s">
        <v>288</v>
      </c>
      <c r="Q46">
        <v>1000</v>
      </c>
      <c r="X46">
        <v>1E-4</v>
      </c>
      <c r="Y46">
        <v>10315.01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280</v>
      </c>
      <c r="AG46">
        <v>0</v>
      </c>
      <c r="AH46">
        <v>2</v>
      </c>
      <c r="AI46">
        <v>16500003</v>
      </c>
      <c r="AJ46">
        <v>35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16500004</v>
      </c>
      <c r="C47">
        <v>16499997</v>
      </c>
      <c r="D47">
        <v>15162386</v>
      </c>
      <c r="E47">
        <v>17</v>
      </c>
      <c r="F47">
        <v>1</v>
      </c>
      <c r="G47">
        <v>1</v>
      </c>
      <c r="H47">
        <v>3</v>
      </c>
      <c r="I47" t="s">
        <v>68</v>
      </c>
      <c r="J47" t="s">
        <v>224</v>
      </c>
      <c r="K47" t="s">
        <v>69</v>
      </c>
      <c r="L47">
        <v>1327</v>
      </c>
      <c r="N47">
        <v>1005</v>
      </c>
      <c r="O47" t="s">
        <v>277</v>
      </c>
      <c r="P47" t="s">
        <v>277</v>
      </c>
      <c r="Q47">
        <v>1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280</v>
      </c>
      <c r="AG47">
        <v>0</v>
      </c>
      <c r="AH47">
        <v>3</v>
      </c>
      <c r="AI47">
        <v>-1</v>
      </c>
      <c r="AJ47" t="s">
        <v>224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ROW(Source!A40)</f>
        <v>40</v>
      </c>
      <c r="B48">
        <v>16500005</v>
      </c>
      <c r="C48">
        <v>16499997</v>
      </c>
      <c r="D48">
        <v>15192019</v>
      </c>
      <c r="E48">
        <v>1</v>
      </c>
      <c r="F48">
        <v>1</v>
      </c>
      <c r="G48">
        <v>1</v>
      </c>
      <c r="H48">
        <v>3</v>
      </c>
      <c r="I48" t="s">
        <v>659</v>
      </c>
      <c r="J48" t="s">
        <v>660</v>
      </c>
      <c r="K48" t="s">
        <v>661</v>
      </c>
      <c r="L48">
        <v>1348</v>
      </c>
      <c r="N48">
        <v>1009</v>
      </c>
      <c r="O48" t="s">
        <v>288</v>
      </c>
      <c r="P48" t="s">
        <v>288</v>
      </c>
      <c r="Q48">
        <v>1000</v>
      </c>
      <c r="X48">
        <v>3.0000000000000001E-3</v>
      </c>
      <c r="Y48">
        <v>5804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280</v>
      </c>
      <c r="AG48">
        <v>0</v>
      </c>
      <c r="AH48">
        <v>2</v>
      </c>
      <c r="AI48">
        <v>16500005</v>
      </c>
      <c r="AJ48">
        <v>36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ROW(Source!A40)</f>
        <v>40</v>
      </c>
      <c r="B49">
        <v>16500006</v>
      </c>
      <c r="C49">
        <v>16499997</v>
      </c>
      <c r="D49">
        <v>15204330</v>
      </c>
      <c r="E49">
        <v>1</v>
      </c>
      <c r="F49">
        <v>1</v>
      </c>
      <c r="G49">
        <v>1</v>
      </c>
      <c r="H49">
        <v>3</v>
      </c>
      <c r="I49" t="s">
        <v>662</v>
      </c>
      <c r="J49" t="s">
        <v>663</v>
      </c>
      <c r="K49" t="s">
        <v>664</v>
      </c>
      <c r="L49">
        <v>1354</v>
      </c>
      <c r="N49">
        <v>1010</v>
      </c>
      <c r="O49" t="s">
        <v>413</v>
      </c>
      <c r="P49" t="s">
        <v>413</v>
      </c>
      <c r="Q49">
        <v>1</v>
      </c>
      <c r="X49">
        <v>0.1</v>
      </c>
      <c r="Y49">
        <v>72.8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280</v>
      </c>
      <c r="AG49">
        <v>0</v>
      </c>
      <c r="AH49">
        <v>2</v>
      </c>
      <c r="AI49">
        <v>16500006</v>
      </c>
      <c r="AJ49">
        <v>37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ROW(Source!A41)</f>
        <v>41</v>
      </c>
      <c r="B50">
        <v>16499998</v>
      </c>
      <c r="C50">
        <v>16499997</v>
      </c>
      <c r="D50">
        <v>15446300</v>
      </c>
      <c r="E50">
        <v>1</v>
      </c>
      <c r="F50">
        <v>1</v>
      </c>
      <c r="G50">
        <v>1</v>
      </c>
      <c r="H50">
        <v>1</v>
      </c>
      <c r="I50" t="s">
        <v>651</v>
      </c>
      <c r="J50" t="s">
        <v>224</v>
      </c>
      <c r="K50" t="s">
        <v>652</v>
      </c>
      <c r="L50">
        <v>1191</v>
      </c>
      <c r="N50">
        <v>1013</v>
      </c>
      <c r="O50" t="s">
        <v>628</v>
      </c>
      <c r="P50" t="s">
        <v>628</v>
      </c>
      <c r="Q50">
        <v>1</v>
      </c>
      <c r="X50">
        <v>2.4</v>
      </c>
      <c r="Y50">
        <v>0</v>
      </c>
      <c r="Z50">
        <v>0</v>
      </c>
      <c r="AA50">
        <v>0</v>
      </c>
      <c r="AB50">
        <v>9.92</v>
      </c>
      <c r="AC50">
        <v>0</v>
      </c>
      <c r="AD50">
        <v>1</v>
      </c>
      <c r="AE50">
        <v>1</v>
      </c>
      <c r="AF50" t="s">
        <v>281</v>
      </c>
      <c r="AG50">
        <v>1.68</v>
      </c>
      <c r="AH50">
        <v>2</v>
      </c>
      <c r="AI50">
        <v>16499998</v>
      </c>
      <c r="AJ50">
        <v>38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ROW(Source!A41)</f>
        <v>41</v>
      </c>
      <c r="B51">
        <v>16499999</v>
      </c>
      <c r="C51">
        <v>16499997</v>
      </c>
      <c r="D51">
        <v>15430395</v>
      </c>
      <c r="E51">
        <v>1</v>
      </c>
      <c r="F51">
        <v>1</v>
      </c>
      <c r="G51">
        <v>1</v>
      </c>
      <c r="H51">
        <v>1</v>
      </c>
      <c r="I51" t="s">
        <v>629</v>
      </c>
      <c r="J51" t="s">
        <v>224</v>
      </c>
      <c r="K51" t="s">
        <v>630</v>
      </c>
      <c r="L51">
        <v>1191</v>
      </c>
      <c r="N51">
        <v>1013</v>
      </c>
      <c r="O51" t="s">
        <v>628</v>
      </c>
      <c r="P51" t="s">
        <v>628</v>
      </c>
      <c r="Q51">
        <v>1</v>
      </c>
      <c r="X51">
        <v>0.17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281</v>
      </c>
      <c r="AG51">
        <v>0.11899999999999999</v>
      </c>
      <c r="AH51">
        <v>2</v>
      </c>
      <c r="AI51">
        <v>16499999</v>
      </c>
      <c r="AJ51">
        <v>39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ROW(Source!A41)</f>
        <v>41</v>
      </c>
      <c r="B52">
        <v>16500000</v>
      </c>
      <c r="C52">
        <v>16499997</v>
      </c>
      <c r="D52">
        <v>15249073</v>
      </c>
      <c r="E52">
        <v>1</v>
      </c>
      <c r="F52">
        <v>1</v>
      </c>
      <c r="G52">
        <v>1</v>
      </c>
      <c r="H52">
        <v>2</v>
      </c>
      <c r="I52" t="s">
        <v>631</v>
      </c>
      <c r="J52" t="s">
        <v>632</v>
      </c>
      <c r="K52" t="s">
        <v>633</v>
      </c>
      <c r="L52">
        <v>1368</v>
      </c>
      <c r="N52">
        <v>1011</v>
      </c>
      <c r="O52" t="s">
        <v>634</v>
      </c>
      <c r="P52" t="s">
        <v>634</v>
      </c>
      <c r="Q52">
        <v>1</v>
      </c>
      <c r="X52">
        <v>0.17</v>
      </c>
      <c r="Y52">
        <v>0</v>
      </c>
      <c r="Z52">
        <v>65.709999999999994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281</v>
      </c>
      <c r="AG52">
        <v>0.11899999999999999</v>
      </c>
      <c r="AH52">
        <v>2</v>
      </c>
      <c r="AI52">
        <v>16500000</v>
      </c>
      <c r="AJ52">
        <v>40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ROW(Source!A41)</f>
        <v>41</v>
      </c>
      <c r="B53">
        <v>16500001</v>
      </c>
      <c r="C53">
        <v>16499997</v>
      </c>
      <c r="D53">
        <v>15249377</v>
      </c>
      <c r="E53">
        <v>1</v>
      </c>
      <c r="F53">
        <v>1</v>
      </c>
      <c r="G53">
        <v>1</v>
      </c>
      <c r="H53">
        <v>2</v>
      </c>
      <c r="I53" t="s">
        <v>653</v>
      </c>
      <c r="J53" t="s">
        <v>654</v>
      </c>
      <c r="K53" t="s">
        <v>655</v>
      </c>
      <c r="L53">
        <v>1368</v>
      </c>
      <c r="N53">
        <v>1011</v>
      </c>
      <c r="O53" t="s">
        <v>634</v>
      </c>
      <c r="P53" t="s">
        <v>634</v>
      </c>
      <c r="Q53">
        <v>1</v>
      </c>
      <c r="X53">
        <v>0.4</v>
      </c>
      <c r="Y53">
        <v>0</v>
      </c>
      <c r="Z53">
        <v>8.1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281</v>
      </c>
      <c r="AG53">
        <v>0.27999999999999997</v>
      </c>
      <c r="AH53">
        <v>2</v>
      </c>
      <c r="AI53">
        <v>16500001</v>
      </c>
      <c r="AJ53">
        <v>41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ROW(Source!A41)</f>
        <v>41</v>
      </c>
      <c r="B54">
        <v>16500002</v>
      </c>
      <c r="C54">
        <v>16499997</v>
      </c>
      <c r="D54">
        <v>15162381</v>
      </c>
      <c r="E54">
        <v>17</v>
      </c>
      <c r="F54">
        <v>1</v>
      </c>
      <c r="G54">
        <v>1</v>
      </c>
      <c r="H54">
        <v>3</v>
      </c>
      <c r="I54" t="s">
        <v>66</v>
      </c>
      <c r="J54" t="s">
        <v>224</v>
      </c>
      <c r="K54" t="s">
        <v>67</v>
      </c>
      <c r="L54">
        <v>1035</v>
      </c>
      <c r="N54">
        <v>1013</v>
      </c>
      <c r="O54" t="s">
        <v>535</v>
      </c>
      <c r="P54" t="s">
        <v>535</v>
      </c>
      <c r="Q54">
        <v>1</v>
      </c>
      <c r="X54">
        <v>0</v>
      </c>
      <c r="Y54">
        <v>0</v>
      </c>
      <c r="Z54">
        <v>0</v>
      </c>
      <c r="AA54">
        <v>0</v>
      </c>
      <c r="AB54">
        <v>0</v>
      </c>
      <c r="AC54">
        <v>1</v>
      </c>
      <c r="AD54">
        <v>0</v>
      </c>
      <c r="AE54">
        <v>0</v>
      </c>
      <c r="AF54" t="s">
        <v>280</v>
      </c>
      <c r="AG54">
        <v>0</v>
      </c>
      <c r="AH54">
        <v>3</v>
      </c>
      <c r="AI54">
        <v>-1</v>
      </c>
      <c r="AJ54" t="s">
        <v>224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ROW(Source!A41)</f>
        <v>41</v>
      </c>
      <c r="B55">
        <v>16500003</v>
      </c>
      <c r="C55">
        <v>16499997</v>
      </c>
      <c r="D55">
        <v>15168750</v>
      </c>
      <c r="E55">
        <v>1</v>
      </c>
      <c r="F55">
        <v>1</v>
      </c>
      <c r="G55">
        <v>1</v>
      </c>
      <c r="H55">
        <v>3</v>
      </c>
      <c r="I55" t="s">
        <v>656</v>
      </c>
      <c r="J55" t="s">
        <v>657</v>
      </c>
      <c r="K55" t="s">
        <v>658</v>
      </c>
      <c r="L55">
        <v>1348</v>
      </c>
      <c r="N55">
        <v>1009</v>
      </c>
      <c r="O55" t="s">
        <v>288</v>
      </c>
      <c r="P55" t="s">
        <v>288</v>
      </c>
      <c r="Q55">
        <v>1000</v>
      </c>
      <c r="X55">
        <v>1E-4</v>
      </c>
      <c r="Y55">
        <v>10315.01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280</v>
      </c>
      <c r="AG55">
        <v>0</v>
      </c>
      <c r="AH55">
        <v>2</v>
      </c>
      <c r="AI55">
        <v>16500003</v>
      </c>
      <c r="AJ55">
        <v>42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ROW(Source!A41)</f>
        <v>41</v>
      </c>
      <c r="B56">
        <v>16500004</v>
      </c>
      <c r="C56">
        <v>16499997</v>
      </c>
      <c r="D56">
        <v>15162386</v>
      </c>
      <c r="E56">
        <v>17</v>
      </c>
      <c r="F56">
        <v>1</v>
      </c>
      <c r="G56">
        <v>1</v>
      </c>
      <c r="H56">
        <v>3</v>
      </c>
      <c r="I56" t="s">
        <v>68</v>
      </c>
      <c r="J56" t="s">
        <v>224</v>
      </c>
      <c r="K56" t="s">
        <v>69</v>
      </c>
      <c r="L56">
        <v>1327</v>
      </c>
      <c r="N56">
        <v>1005</v>
      </c>
      <c r="O56" t="s">
        <v>277</v>
      </c>
      <c r="P56" t="s">
        <v>277</v>
      </c>
      <c r="Q56">
        <v>1</v>
      </c>
      <c r="X56">
        <v>1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280</v>
      </c>
      <c r="AG56">
        <v>0</v>
      </c>
      <c r="AH56">
        <v>3</v>
      </c>
      <c r="AI56">
        <v>-1</v>
      </c>
      <c r="AJ56" t="s">
        <v>224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ROW(Source!A41)</f>
        <v>41</v>
      </c>
      <c r="B57">
        <v>16500005</v>
      </c>
      <c r="C57">
        <v>16499997</v>
      </c>
      <c r="D57">
        <v>15192019</v>
      </c>
      <c r="E57">
        <v>1</v>
      </c>
      <c r="F57">
        <v>1</v>
      </c>
      <c r="G57">
        <v>1</v>
      </c>
      <c r="H57">
        <v>3</v>
      </c>
      <c r="I57" t="s">
        <v>659</v>
      </c>
      <c r="J57" t="s">
        <v>660</v>
      </c>
      <c r="K57" t="s">
        <v>661</v>
      </c>
      <c r="L57">
        <v>1348</v>
      </c>
      <c r="N57">
        <v>1009</v>
      </c>
      <c r="O57" t="s">
        <v>288</v>
      </c>
      <c r="P57" t="s">
        <v>288</v>
      </c>
      <c r="Q57">
        <v>1000</v>
      </c>
      <c r="X57">
        <v>3.0000000000000001E-3</v>
      </c>
      <c r="Y57">
        <v>5804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280</v>
      </c>
      <c r="AG57">
        <v>0</v>
      </c>
      <c r="AH57">
        <v>2</v>
      </c>
      <c r="AI57">
        <v>16500005</v>
      </c>
      <c r="AJ57">
        <v>43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ROW(Source!A41)</f>
        <v>41</v>
      </c>
      <c r="B58">
        <v>16500006</v>
      </c>
      <c r="C58">
        <v>16499997</v>
      </c>
      <c r="D58">
        <v>15204330</v>
      </c>
      <c r="E58">
        <v>1</v>
      </c>
      <c r="F58">
        <v>1</v>
      </c>
      <c r="G58">
        <v>1</v>
      </c>
      <c r="H58">
        <v>3</v>
      </c>
      <c r="I58" t="s">
        <v>662</v>
      </c>
      <c r="J58" t="s">
        <v>663</v>
      </c>
      <c r="K58" t="s">
        <v>664</v>
      </c>
      <c r="L58">
        <v>1354</v>
      </c>
      <c r="N58">
        <v>1010</v>
      </c>
      <c r="O58" t="s">
        <v>413</v>
      </c>
      <c r="P58" t="s">
        <v>413</v>
      </c>
      <c r="Q58">
        <v>1</v>
      </c>
      <c r="X58">
        <v>0.1</v>
      </c>
      <c r="Y58">
        <v>72.8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280</v>
      </c>
      <c r="AG58">
        <v>0</v>
      </c>
      <c r="AH58">
        <v>2</v>
      </c>
      <c r="AI58">
        <v>16500006</v>
      </c>
      <c r="AJ58">
        <v>44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16500010</v>
      </c>
      <c r="C59">
        <v>16500009</v>
      </c>
      <c r="D59">
        <v>15441047</v>
      </c>
      <c r="E59">
        <v>1</v>
      </c>
      <c r="F59">
        <v>1</v>
      </c>
      <c r="G59">
        <v>1</v>
      </c>
      <c r="H59">
        <v>1</v>
      </c>
      <c r="I59" t="s">
        <v>665</v>
      </c>
      <c r="J59" t="s">
        <v>224</v>
      </c>
      <c r="K59" t="s">
        <v>666</v>
      </c>
      <c r="L59">
        <v>1191</v>
      </c>
      <c r="N59">
        <v>1013</v>
      </c>
      <c r="O59" t="s">
        <v>628</v>
      </c>
      <c r="P59" t="s">
        <v>628</v>
      </c>
      <c r="Q59">
        <v>1</v>
      </c>
      <c r="X59">
        <v>46.37</v>
      </c>
      <c r="Y59">
        <v>0</v>
      </c>
      <c r="Z59">
        <v>0</v>
      </c>
      <c r="AA59">
        <v>0</v>
      </c>
      <c r="AB59">
        <v>10.06</v>
      </c>
      <c r="AC59">
        <v>0</v>
      </c>
      <c r="AD59">
        <v>1</v>
      </c>
      <c r="AE59">
        <v>1</v>
      </c>
      <c r="AF59" t="s">
        <v>281</v>
      </c>
      <c r="AG59">
        <v>32.458999999999996</v>
      </c>
      <c r="AH59">
        <v>2</v>
      </c>
      <c r="AI59">
        <v>16500010</v>
      </c>
      <c r="AJ59">
        <v>45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16500011</v>
      </c>
      <c r="C60">
        <v>16500009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629</v>
      </c>
      <c r="J60" t="s">
        <v>224</v>
      </c>
      <c r="K60" t="s">
        <v>630</v>
      </c>
      <c r="L60">
        <v>1191</v>
      </c>
      <c r="N60">
        <v>1013</v>
      </c>
      <c r="O60" t="s">
        <v>628</v>
      </c>
      <c r="P60" t="s">
        <v>628</v>
      </c>
      <c r="Q60">
        <v>1</v>
      </c>
      <c r="X60">
        <v>8.8699999999999992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281</v>
      </c>
      <c r="AG60">
        <v>6.2089999999999987</v>
      </c>
      <c r="AH60">
        <v>2</v>
      </c>
      <c r="AI60">
        <v>16500011</v>
      </c>
      <c r="AJ60">
        <v>46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16500012</v>
      </c>
      <c r="C61">
        <v>16500009</v>
      </c>
      <c r="D61">
        <v>15247600</v>
      </c>
      <c r="E61">
        <v>1</v>
      </c>
      <c r="F61">
        <v>1</v>
      </c>
      <c r="G61">
        <v>1</v>
      </c>
      <c r="H61">
        <v>2</v>
      </c>
      <c r="I61" t="s">
        <v>667</v>
      </c>
      <c r="J61" t="s">
        <v>668</v>
      </c>
      <c r="K61" t="s">
        <v>669</v>
      </c>
      <c r="L61">
        <v>1368</v>
      </c>
      <c r="N61">
        <v>1011</v>
      </c>
      <c r="O61" t="s">
        <v>634</v>
      </c>
      <c r="P61" t="s">
        <v>634</v>
      </c>
      <c r="Q61">
        <v>1</v>
      </c>
      <c r="X61">
        <v>0.42</v>
      </c>
      <c r="Y61">
        <v>0</v>
      </c>
      <c r="Z61">
        <v>120.24</v>
      </c>
      <c r="AA61">
        <v>15.42</v>
      </c>
      <c r="AB61">
        <v>0</v>
      </c>
      <c r="AC61">
        <v>0</v>
      </c>
      <c r="AD61">
        <v>1</v>
      </c>
      <c r="AE61">
        <v>0</v>
      </c>
      <c r="AF61" t="s">
        <v>281</v>
      </c>
      <c r="AG61">
        <v>0.29399999999999998</v>
      </c>
      <c r="AH61">
        <v>2</v>
      </c>
      <c r="AI61">
        <v>16500012</v>
      </c>
      <c r="AJ61">
        <v>47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ROW(Source!A42)</f>
        <v>42</v>
      </c>
      <c r="B62">
        <v>16500013</v>
      </c>
      <c r="C62">
        <v>16500009</v>
      </c>
      <c r="D62">
        <v>15247680</v>
      </c>
      <c r="E62">
        <v>1</v>
      </c>
      <c r="F62">
        <v>1</v>
      </c>
      <c r="G62">
        <v>1</v>
      </c>
      <c r="H62">
        <v>2</v>
      </c>
      <c r="I62" t="s">
        <v>670</v>
      </c>
      <c r="J62" t="s">
        <v>671</v>
      </c>
      <c r="K62" t="s">
        <v>672</v>
      </c>
      <c r="L62">
        <v>1368</v>
      </c>
      <c r="N62">
        <v>1011</v>
      </c>
      <c r="O62" t="s">
        <v>634</v>
      </c>
      <c r="P62" t="s">
        <v>634</v>
      </c>
      <c r="Q62">
        <v>1</v>
      </c>
      <c r="X62">
        <v>0.12</v>
      </c>
      <c r="Y62">
        <v>0</v>
      </c>
      <c r="Z62">
        <v>111.99</v>
      </c>
      <c r="AA62">
        <v>13.5</v>
      </c>
      <c r="AB62">
        <v>0</v>
      </c>
      <c r="AC62">
        <v>0</v>
      </c>
      <c r="AD62">
        <v>1</v>
      </c>
      <c r="AE62">
        <v>0</v>
      </c>
      <c r="AF62" t="s">
        <v>281</v>
      </c>
      <c r="AG62">
        <v>8.3999999999999991E-2</v>
      </c>
      <c r="AH62">
        <v>2</v>
      </c>
      <c r="AI62">
        <v>16500013</v>
      </c>
      <c r="AJ62">
        <v>48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ROW(Source!A42)</f>
        <v>42</v>
      </c>
      <c r="B63">
        <v>16500014</v>
      </c>
      <c r="C63">
        <v>16500009</v>
      </c>
      <c r="D63">
        <v>15247698</v>
      </c>
      <c r="E63">
        <v>1</v>
      </c>
      <c r="F63">
        <v>1</v>
      </c>
      <c r="G63">
        <v>1</v>
      </c>
      <c r="H63">
        <v>2</v>
      </c>
      <c r="I63" t="s">
        <v>673</v>
      </c>
      <c r="J63" t="s">
        <v>674</v>
      </c>
      <c r="K63" t="s">
        <v>675</v>
      </c>
      <c r="L63">
        <v>1368</v>
      </c>
      <c r="N63">
        <v>1011</v>
      </c>
      <c r="O63" t="s">
        <v>634</v>
      </c>
      <c r="P63" t="s">
        <v>634</v>
      </c>
      <c r="Q63">
        <v>1</v>
      </c>
      <c r="X63">
        <v>4.07</v>
      </c>
      <c r="Y63">
        <v>0</v>
      </c>
      <c r="Z63">
        <v>533.27</v>
      </c>
      <c r="AA63">
        <v>27.9</v>
      </c>
      <c r="AB63">
        <v>0</v>
      </c>
      <c r="AC63">
        <v>0</v>
      </c>
      <c r="AD63">
        <v>1</v>
      </c>
      <c r="AE63">
        <v>0</v>
      </c>
      <c r="AF63" t="s">
        <v>281</v>
      </c>
      <c r="AG63">
        <v>2.8490000000000002</v>
      </c>
      <c r="AH63">
        <v>2</v>
      </c>
      <c r="AI63">
        <v>16500014</v>
      </c>
      <c r="AJ63">
        <v>49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ROW(Source!A42)</f>
        <v>42</v>
      </c>
      <c r="B64">
        <v>16500015</v>
      </c>
      <c r="C64">
        <v>16500009</v>
      </c>
      <c r="D64">
        <v>15247814</v>
      </c>
      <c r="E64">
        <v>1</v>
      </c>
      <c r="F64">
        <v>1</v>
      </c>
      <c r="G64">
        <v>1</v>
      </c>
      <c r="H64">
        <v>2</v>
      </c>
      <c r="I64" t="s">
        <v>676</v>
      </c>
      <c r="J64" t="s">
        <v>677</v>
      </c>
      <c r="K64" t="s">
        <v>678</v>
      </c>
      <c r="L64">
        <v>1368</v>
      </c>
      <c r="N64">
        <v>1011</v>
      </c>
      <c r="O64" t="s">
        <v>634</v>
      </c>
      <c r="P64" t="s">
        <v>634</v>
      </c>
      <c r="Q64">
        <v>1</v>
      </c>
      <c r="X64">
        <v>0.1</v>
      </c>
      <c r="Y64">
        <v>0</v>
      </c>
      <c r="Z64">
        <v>0.9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281</v>
      </c>
      <c r="AG64">
        <v>6.9999999999999993E-2</v>
      </c>
      <c r="AH64">
        <v>2</v>
      </c>
      <c r="AI64">
        <v>16500015</v>
      </c>
      <c r="AJ64">
        <v>50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ROW(Source!A42)</f>
        <v>42</v>
      </c>
      <c r="B65">
        <v>16500016</v>
      </c>
      <c r="C65">
        <v>16500009</v>
      </c>
      <c r="D65">
        <v>15247878</v>
      </c>
      <c r="E65">
        <v>1</v>
      </c>
      <c r="F65">
        <v>1</v>
      </c>
      <c r="G65">
        <v>1</v>
      </c>
      <c r="H65">
        <v>2</v>
      </c>
      <c r="I65" t="s">
        <v>646</v>
      </c>
      <c r="J65" t="s">
        <v>647</v>
      </c>
      <c r="K65" t="s">
        <v>648</v>
      </c>
      <c r="L65">
        <v>1368</v>
      </c>
      <c r="N65">
        <v>1011</v>
      </c>
      <c r="O65" t="s">
        <v>634</v>
      </c>
      <c r="P65" t="s">
        <v>634</v>
      </c>
      <c r="Q65">
        <v>1</v>
      </c>
      <c r="X65">
        <v>0.34</v>
      </c>
      <c r="Y65">
        <v>0</v>
      </c>
      <c r="Z65">
        <v>1.7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281</v>
      </c>
      <c r="AG65">
        <v>0.23799999999999999</v>
      </c>
      <c r="AH65">
        <v>2</v>
      </c>
      <c r="AI65">
        <v>16500016</v>
      </c>
      <c r="AJ65">
        <v>51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ROW(Source!A42)</f>
        <v>42</v>
      </c>
      <c r="B66">
        <v>16500017</v>
      </c>
      <c r="C66">
        <v>16500009</v>
      </c>
      <c r="D66">
        <v>15247880</v>
      </c>
      <c r="E66">
        <v>1</v>
      </c>
      <c r="F66">
        <v>1</v>
      </c>
      <c r="G66">
        <v>1</v>
      </c>
      <c r="H66">
        <v>2</v>
      </c>
      <c r="I66" t="s">
        <v>679</v>
      </c>
      <c r="J66" t="s">
        <v>680</v>
      </c>
      <c r="K66" t="s">
        <v>681</v>
      </c>
      <c r="L66">
        <v>1368</v>
      </c>
      <c r="N66">
        <v>1011</v>
      </c>
      <c r="O66" t="s">
        <v>634</v>
      </c>
      <c r="P66" t="s">
        <v>634</v>
      </c>
      <c r="Q66">
        <v>1</v>
      </c>
      <c r="X66">
        <v>0.09</v>
      </c>
      <c r="Y66">
        <v>0</v>
      </c>
      <c r="Z66">
        <v>6.9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281</v>
      </c>
      <c r="AG66">
        <v>6.3E-2</v>
      </c>
      <c r="AH66">
        <v>2</v>
      </c>
      <c r="AI66">
        <v>16500017</v>
      </c>
      <c r="AJ66">
        <v>52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ROW(Source!A42)</f>
        <v>42</v>
      </c>
      <c r="B67">
        <v>16500018</v>
      </c>
      <c r="C67">
        <v>16500009</v>
      </c>
      <c r="D67">
        <v>15249073</v>
      </c>
      <c r="E67">
        <v>1</v>
      </c>
      <c r="F67">
        <v>1</v>
      </c>
      <c r="G67">
        <v>1</v>
      </c>
      <c r="H67">
        <v>2</v>
      </c>
      <c r="I67" t="s">
        <v>631</v>
      </c>
      <c r="J67" t="s">
        <v>632</v>
      </c>
      <c r="K67" t="s">
        <v>633</v>
      </c>
      <c r="L67">
        <v>1368</v>
      </c>
      <c r="N67">
        <v>1011</v>
      </c>
      <c r="O67" t="s">
        <v>634</v>
      </c>
      <c r="P67" t="s">
        <v>634</v>
      </c>
      <c r="Q67">
        <v>1</v>
      </c>
      <c r="X67">
        <v>0.19</v>
      </c>
      <c r="Y67">
        <v>0</v>
      </c>
      <c r="Z67">
        <v>65.709999999999994</v>
      </c>
      <c r="AA67">
        <v>11.6</v>
      </c>
      <c r="AB67">
        <v>0</v>
      </c>
      <c r="AC67">
        <v>0</v>
      </c>
      <c r="AD67">
        <v>1</v>
      </c>
      <c r="AE67">
        <v>0</v>
      </c>
      <c r="AF67" t="s">
        <v>281</v>
      </c>
      <c r="AG67">
        <v>0.13299999999999998</v>
      </c>
      <c r="AH67">
        <v>2</v>
      </c>
      <c r="AI67">
        <v>16500018</v>
      </c>
      <c r="AJ67">
        <v>53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ROW(Source!A42)</f>
        <v>42</v>
      </c>
      <c r="B68">
        <v>16500019</v>
      </c>
      <c r="C68">
        <v>16500009</v>
      </c>
      <c r="D68">
        <v>15249308</v>
      </c>
      <c r="E68">
        <v>1</v>
      </c>
      <c r="F68">
        <v>1</v>
      </c>
      <c r="G68">
        <v>1</v>
      </c>
      <c r="H68">
        <v>2</v>
      </c>
      <c r="I68" t="s">
        <v>682</v>
      </c>
      <c r="J68" t="s">
        <v>683</v>
      </c>
      <c r="K68" t="s">
        <v>684</v>
      </c>
      <c r="L68">
        <v>1368</v>
      </c>
      <c r="N68">
        <v>1011</v>
      </c>
      <c r="O68" t="s">
        <v>634</v>
      </c>
      <c r="P68" t="s">
        <v>634</v>
      </c>
      <c r="Q68">
        <v>1</v>
      </c>
      <c r="X68">
        <v>2.2400000000000002</v>
      </c>
      <c r="Y68">
        <v>0</v>
      </c>
      <c r="Z68">
        <v>1.2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281</v>
      </c>
      <c r="AG68">
        <v>1.5680000000000001</v>
      </c>
      <c r="AH68">
        <v>2</v>
      </c>
      <c r="AI68">
        <v>16500019</v>
      </c>
      <c r="AJ68">
        <v>54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ROW(Source!A42)</f>
        <v>42</v>
      </c>
      <c r="B69">
        <v>16500020</v>
      </c>
      <c r="C69">
        <v>16500009</v>
      </c>
      <c r="D69">
        <v>15249355</v>
      </c>
      <c r="E69">
        <v>1</v>
      </c>
      <c r="F69">
        <v>1</v>
      </c>
      <c r="G69">
        <v>1</v>
      </c>
      <c r="H69">
        <v>2</v>
      </c>
      <c r="I69" t="s">
        <v>685</v>
      </c>
      <c r="J69" t="s">
        <v>686</v>
      </c>
      <c r="K69" t="s">
        <v>687</v>
      </c>
      <c r="L69">
        <v>1368</v>
      </c>
      <c r="N69">
        <v>1011</v>
      </c>
      <c r="O69" t="s">
        <v>634</v>
      </c>
      <c r="P69" t="s">
        <v>634</v>
      </c>
      <c r="Q69">
        <v>1</v>
      </c>
      <c r="X69">
        <v>15.01</v>
      </c>
      <c r="Y69">
        <v>0</v>
      </c>
      <c r="Z69">
        <v>12.31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281</v>
      </c>
      <c r="AG69">
        <v>10.507</v>
      </c>
      <c r="AH69">
        <v>2</v>
      </c>
      <c r="AI69">
        <v>16500020</v>
      </c>
      <c r="AJ69">
        <v>55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ROW(Source!A42)</f>
        <v>42</v>
      </c>
      <c r="B70">
        <v>16500021</v>
      </c>
      <c r="C70">
        <v>16500009</v>
      </c>
      <c r="D70">
        <v>15165653</v>
      </c>
      <c r="E70">
        <v>1</v>
      </c>
      <c r="F70">
        <v>1</v>
      </c>
      <c r="G70">
        <v>1</v>
      </c>
      <c r="H70">
        <v>3</v>
      </c>
      <c r="I70" t="s">
        <v>688</v>
      </c>
      <c r="J70" t="s">
        <v>689</v>
      </c>
      <c r="K70" t="s">
        <v>690</v>
      </c>
      <c r="L70">
        <v>1339</v>
      </c>
      <c r="N70">
        <v>1007</v>
      </c>
      <c r="O70" t="s">
        <v>691</v>
      </c>
      <c r="P70" t="s">
        <v>691</v>
      </c>
      <c r="Q70">
        <v>1</v>
      </c>
      <c r="X70">
        <v>1.95</v>
      </c>
      <c r="Y70">
        <v>6.22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280</v>
      </c>
      <c r="AG70">
        <v>0</v>
      </c>
      <c r="AH70">
        <v>2</v>
      </c>
      <c r="AI70">
        <v>16500021</v>
      </c>
      <c r="AJ70">
        <v>56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ROW(Source!A42)</f>
        <v>42</v>
      </c>
      <c r="B71">
        <v>16500022</v>
      </c>
      <c r="C71">
        <v>16500009</v>
      </c>
      <c r="D71">
        <v>15165660</v>
      </c>
      <c r="E71">
        <v>1</v>
      </c>
      <c r="F71">
        <v>1</v>
      </c>
      <c r="G71">
        <v>1</v>
      </c>
      <c r="H71">
        <v>3</v>
      </c>
      <c r="I71" t="s">
        <v>692</v>
      </c>
      <c r="J71" t="s">
        <v>693</v>
      </c>
      <c r="K71" t="s">
        <v>694</v>
      </c>
      <c r="L71">
        <v>1346</v>
      </c>
      <c r="N71">
        <v>1009</v>
      </c>
      <c r="O71" t="s">
        <v>303</v>
      </c>
      <c r="P71" t="s">
        <v>303</v>
      </c>
      <c r="Q71">
        <v>1</v>
      </c>
      <c r="X71">
        <v>0.59</v>
      </c>
      <c r="Y71">
        <v>6.09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280</v>
      </c>
      <c r="AG71">
        <v>0</v>
      </c>
      <c r="AH71">
        <v>2</v>
      </c>
      <c r="AI71">
        <v>16500022</v>
      </c>
      <c r="AJ71">
        <v>57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ROW(Source!A42)</f>
        <v>42</v>
      </c>
      <c r="B72">
        <v>16500023</v>
      </c>
      <c r="C72">
        <v>16500009</v>
      </c>
      <c r="D72">
        <v>15168753</v>
      </c>
      <c r="E72">
        <v>1</v>
      </c>
      <c r="F72">
        <v>1</v>
      </c>
      <c r="G72">
        <v>1</v>
      </c>
      <c r="H72">
        <v>3</v>
      </c>
      <c r="I72" t="s">
        <v>695</v>
      </c>
      <c r="J72" t="s">
        <v>696</v>
      </c>
      <c r="K72" t="s">
        <v>697</v>
      </c>
      <c r="L72">
        <v>1348</v>
      </c>
      <c r="N72">
        <v>1009</v>
      </c>
      <c r="O72" t="s">
        <v>288</v>
      </c>
      <c r="P72" t="s">
        <v>288</v>
      </c>
      <c r="Q72">
        <v>1000</v>
      </c>
      <c r="X72">
        <v>2.3E-2</v>
      </c>
      <c r="Y72">
        <v>10749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280</v>
      </c>
      <c r="AG72">
        <v>0</v>
      </c>
      <c r="AH72">
        <v>2</v>
      </c>
      <c r="AI72">
        <v>16500023</v>
      </c>
      <c r="AJ72">
        <v>58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ROW(Source!A42)</f>
        <v>42</v>
      </c>
      <c r="B73">
        <v>16500024</v>
      </c>
      <c r="C73">
        <v>16500009</v>
      </c>
      <c r="D73">
        <v>15169941</v>
      </c>
      <c r="E73">
        <v>1</v>
      </c>
      <c r="F73">
        <v>1</v>
      </c>
      <c r="G73">
        <v>1</v>
      </c>
      <c r="H73">
        <v>3</v>
      </c>
      <c r="I73" t="s">
        <v>70</v>
      </c>
      <c r="J73" t="s">
        <v>71</v>
      </c>
      <c r="K73" t="s">
        <v>72</v>
      </c>
      <c r="L73">
        <v>1348</v>
      </c>
      <c r="N73">
        <v>1009</v>
      </c>
      <c r="O73" t="s">
        <v>288</v>
      </c>
      <c r="P73" t="s">
        <v>288</v>
      </c>
      <c r="Q73">
        <v>1000</v>
      </c>
      <c r="X73">
        <v>0</v>
      </c>
      <c r="Y73">
        <v>9040.01</v>
      </c>
      <c r="Z73">
        <v>0</v>
      </c>
      <c r="AA73">
        <v>0</v>
      </c>
      <c r="AB73">
        <v>0</v>
      </c>
      <c r="AC73">
        <v>1</v>
      </c>
      <c r="AD73">
        <v>0</v>
      </c>
      <c r="AE73">
        <v>0</v>
      </c>
      <c r="AF73" t="s">
        <v>280</v>
      </c>
      <c r="AG73">
        <v>0</v>
      </c>
      <c r="AH73">
        <v>3</v>
      </c>
      <c r="AI73">
        <v>-1</v>
      </c>
      <c r="AJ73" t="s">
        <v>224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ROW(Source!A42)</f>
        <v>42</v>
      </c>
      <c r="B74">
        <v>16500025</v>
      </c>
      <c r="C74">
        <v>16500009</v>
      </c>
      <c r="D74">
        <v>15170039</v>
      </c>
      <c r="E74">
        <v>1</v>
      </c>
      <c r="F74">
        <v>1</v>
      </c>
      <c r="G74">
        <v>1</v>
      </c>
      <c r="H74">
        <v>3</v>
      </c>
      <c r="I74" t="s">
        <v>698</v>
      </c>
      <c r="J74" t="s">
        <v>699</v>
      </c>
      <c r="K74" t="s">
        <v>700</v>
      </c>
      <c r="L74">
        <v>1348</v>
      </c>
      <c r="N74">
        <v>1009</v>
      </c>
      <c r="O74" t="s">
        <v>288</v>
      </c>
      <c r="P74" t="s">
        <v>288</v>
      </c>
      <c r="Q74">
        <v>1000</v>
      </c>
      <c r="X74">
        <v>1.0000000000000001E-5</v>
      </c>
      <c r="Y74">
        <v>11978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280</v>
      </c>
      <c r="AG74">
        <v>0</v>
      </c>
      <c r="AH74">
        <v>2</v>
      </c>
      <c r="AI74">
        <v>16500025</v>
      </c>
      <c r="AJ74">
        <v>59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ROW(Source!A42)</f>
        <v>42</v>
      </c>
      <c r="B75">
        <v>16500026</v>
      </c>
      <c r="C75">
        <v>16500009</v>
      </c>
      <c r="D75">
        <v>15171021</v>
      </c>
      <c r="E75">
        <v>1</v>
      </c>
      <c r="F75">
        <v>1</v>
      </c>
      <c r="G75">
        <v>1</v>
      </c>
      <c r="H75">
        <v>3</v>
      </c>
      <c r="I75" t="s">
        <v>701</v>
      </c>
      <c r="J75" t="s">
        <v>702</v>
      </c>
      <c r="K75" t="s">
        <v>703</v>
      </c>
      <c r="L75">
        <v>1348</v>
      </c>
      <c r="N75">
        <v>1009</v>
      </c>
      <c r="O75" t="s">
        <v>288</v>
      </c>
      <c r="P75" t="s">
        <v>288</v>
      </c>
      <c r="Q75">
        <v>1000</v>
      </c>
      <c r="X75">
        <v>1E-4</v>
      </c>
      <c r="Y75">
        <v>37900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280</v>
      </c>
      <c r="AG75">
        <v>0</v>
      </c>
      <c r="AH75">
        <v>2</v>
      </c>
      <c r="AI75">
        <v>16500026</v>
      </c>
      <c r="AJ75">
        <v>60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ROW(Source!A42)</f>
        <v>42</v>
      </c>
      <c r="B76">
        <v>16500027</v>
      </c>
      <c r="C76">
        <v>16500009</v>
      </c>
      <c r="D76">
        <v>15188765</v>
      </c>
      <c r="E76">
        <v>1</v>
      </c>
      <c r="F76">
        <v>1</v>
      </c>
      <c r="G76">
        <v>1</v>
      </c>
      <c r="H76">
        <v>3</v>
      </c>
      <c r="I76" t="s">
        <v>704</v>
      </c>
      <c r="J76" t="s">
        <v>705</v>
      </c>
      <c r="K76" t="s">
        <v>706</v>
      </c>
      <c r="L76">
        <v>1348</v>
      </c>
      <c r="N76">
        <v>1009</v>
      </c>
      <c r="O76" t="s">
        <v>288</v>
      </c>
      <c r="P76" t="s">
        <v>288</v>
      </c>
      <c r="Q76">
        <v>1000</v>
      </c>
      <c r="X76">
        <v>2.5999999999999999E-2</v>
      </c>
      <c r="Y76">
        <v>7712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280</v>
      </c>
      <c r="AG76">
        <v>0</v>
      </c>
      <c r="AH76">
        <v>2</v>
      </c>
      <c r="AI76">
        <v>16500027</v>
      </c>
      <c r="AJ76">
        <v>61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ROW(Source!A42)</f>
        <v>42</v>
      </c>
      <c r="B77">
        <v>16500028</v>
      </c>
      <c r="C77">
        <v>16500009</v>
      </c>
      <c r="D77">
        <v>15161912</v>
      </c>
      <c r="E77">
        <v>17</v>
      </c>
      <c r="F77">
        <v>1</v>
      </c>
      <c r="G77">
        <v>1</v>
      </c>
      <c r="H77">
        <v>3</v>
      </c>
      <c r="I77" t="s">
        <v>73</v>
      </c>
      <c r="J77" t="s">
        <v>224</v>
      </c>
      <c r="K77" t="s">
        <v>74</v>
      </c>
      <c r="L77">
        <v>1348</v>
      </c>
      <c r="N77">
        <v>1009</v>
      </c>
      <c r="O77" t="s">
        <v>288</v>
      </c>
      <c r="P77" t="s">
        <v>288</v>
      </c>
      <c r="Q77">
        <v>1000</v>
      </c>
      <c r="X77">
        <v>1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280</v>
      </c>
      <c r="AG77">
        <v>0</v>
      </c>
      <c r="AH77">
        <v>3</v>
      </c>
      <c r="AI77">
        <v>-1</v>
      </c>
      <c r="AJ77" t="s">
        <v>224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ROW(Source!A42)</f>
        <v>42</v>
      </c>
      <c r="B78">
        <v>16500029</v>
      </c>
      <c r="C78">
        <v>16500009</v>
      </c>
      <c r="D78">
        <v>15190794</v>
      </c>
      <c r="E78">
        <v>1</v>
      </c>
      <c r="F78">
        <v>1</v>
      </c>
      <c r="G78">
        <v>1</v>
      </c>
      <c r="H78">
        <v>3</v>
      </c>
      <c r="I78" t="s">
        <v>707</v>
      </c>
      <c r="J78" t="s">
        <v>708</v>
      </c>
      <c r="K78" t="s">
        <v>709</v>
      </c>
      <c r="L78">
        <v>1302</v>
      </c>
      <c r="N78">
        <v>1003</v>
      </c>
      <c r="O78" t="s">
        <v>710</v>
      </c>
      <c r="P78" t="s">
        <v>710</v>
      </c>
      <c r="Q78">
        <v>10</v>
      </c>
      <c r="X78">
        <v>1.8700000000000001E-2</v>
      </c>
      <c r="Y78">
        <v>50.24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280</v>
      </c>
      <c r="AG78">
        <v>0</v>
      </c>
      <c r="AH78">
        <v>2</v>
      </c>
      <c r="AI78">
        <v>16500029</v>
      </c>
      <c r="AJ78">
        <v>62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ROW(Source!A42)</f>
        <v>42</v>
      </c>
      <c r="B79">
        <v>16500030</v>
      </c>
      <c r="C79">
        <v>16500009</v>
      </c>
      <c r="D79">
        <v>15191153</v>
      </c>
      <c r="E79">
        <v>1</v>
      </c>
      <c r="F79">
        <v>1</v>
      </c>
      <c r="G79">
        <v>1</v>
      </c>
      <c r="H79">
        <v>3</v>
      </c>
      <c r="I79" t="s">
        <v>711</v>
      </c>
      <c r="J79" t="s">
        <v>712</v>
      </c>
      <c r="K79" t="s">
        <v>713</v>
      </c>
      <c r="L79">
        <v>1348</v>
      </c>
      <c r="N79">
        <v>1009</v>
      </c>
      <c r="O79" t="s">
        <v>288</v>
      </c>
      <c r="P79" t="s">
        <v>288</v>
      </c>
      <c r="Q79">
        <v>1000</v>
      </c>
      <c r="X79">
        <v>3.0000000000000001E-5</v>
      </c>
      <c r="Y79">
        <v>4455.2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280</v>
      </c>
      <c r="AG79">
        <v>0</v>
      </c>
      <c r="AH79">
        <v>2</v>
      </c>
      <c r="AI79">
        <v>16500030</v>
      </c>
      <c r="AJ79">
        <v>63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ROW(Source!A42)</f>
        <v>42</v>
      </c>
      <c r="B80">
        <v>16500031</v>
      </c>
      <c r="C80">
        <v>16500009</v>
      </c>
      <c r="D80">
        <v>15191913</v>
      </c>
      <c r="E80">
        <v>1</v>
      </c>
      <c r="F80">
        <v>1</v>
      </c>
      <c r="G80">
        <v>1</v>
      </c>
      <c r="H80">
        <v>3</v>
      </c>
      <c r="I80" t="s">
        <v>714</v>
      </c>
      <c r="J80" t="s">
        <v>715</v>
      </c>
      <c r="K80" t="s">
        <v>716</v>
      </c>
      <c r="L80">
        <v>1348</v>
      </c>
      <c r="N80">
        <v>1009</v>
      </c>
      <c r="O80" t="s">
        <v>288</v>
      </c>
      <c r="P80" t="s">
        <v>288</v>
      </c>
      <c r="Q80">
        <v>1000</v>
      </c>
      <c r="X80">
        <v>1.9400000000000001E-3</v>
      </c>
      <c r="Y80">
        <v>4920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280</v>
      </c>
      <c r="AG80">
        <v>0</v>
      </c>
      <c r="AH80">
        <v>2</v>
      </c>
      <c r="AI80">
        <v>16500031</v>
      </c>
      <c r="AJ80">
        <v>64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ROW(Source!A42)</f>
        <v>42</v>
      </c>
      <c r="B81">
        <v>16500032</v>
      </c>
      <c r="C81">
        <v>16500009</v>
      </c>
      <c r="D81">
        <v>15195820</v>
      </c>
      <c r="E81">
        <v>1</v>
      </c>
      <c r="F81">
        <v>1</v>
      </c>
      <c r="G81">
        <v>1</v>
      </c>
      <c r="H81">
        <v>3</v>
      </c>
      <c r="I81" t="s">
        <v>717</v>
      </c>
      <c r="J81" t="s">
        <v>718</v>
      </c>
      <c r="K81" t="s">
        <v>719</v>
      </c>
      <c r="L81">
        <v>1339</v>
      </c>
      <c r="N81">
        <v>1007</v>
      </c>
      <c r="O81" t="s">
        <v>691</v>
      </c>
      <c r="P81" t="s">
        <v>691</v>
      </c>
      <c r="Q81">
        <v>1</v>
      </c>
      <c r="X81">
        <v>1.0300000000000001E-3</v>
      </c>
      <c r="Y81">
        <v>1700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280</v>
      </c>
      <c r="AG81">
        <v>0</v>
      </c>
      <c r="AH81">
        <v>2</v>
      </c>
      <c r="AI81">
        <v>16500032</v>
      </c>
      <c r="AJ81">
        <v>65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ROW(Source!A42)</f>
        <v>42</v>
      </c>
      <c r="B82">
        <v>16500033</v>
      </c>
      <c r="C82">
        <v>16500009</v>
      </c>
      <c r="D82">
        <v>15203461</v>
      </c>
      <c r="E82">
        <v>1</v>
      </c>
      <c r="F82">
        <v>1</v>
      </c>
      <c r="G82">
        <v>1</v>
      </c>
      <c r="H82">
        <v>3</v>
      </c>
      <c r="I82" t="s">
        <v>720</v>
      </c>
      <c r="J82" t="s">
        <v>721</v>
      </c>
      <c r="K82" t="s">
        <v>722</v>
      </c>
      <c r="L82">
        <v>1348</v>
      </c>
      <c r="N82">
        <v>1009</v>
      </c>
      <c r="O82" t="s">
        <v>288</v>
      </c>
      <c r="P82" t="s">
        <v>288</v>
      </c>
      <c r="Q82">
        <v>1000</v>
      </c>
      <c r="X82">
        <v>3.1E-4</v>
      </c>
      <c r="Y82">
        <v>15620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280</v>
      </c>
      <c r="AG82">
        <v>0</v>
      </c>
      <c r="AH82">
        <v>2</v>
      </c>
      <c r="AI82">
        <v>16500033</v>
      </c>
      <c r="AJ82">
        <v>66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ROW(Source!A42)</f>
        <v>42</v>
      </c>
      <c r="B83">
        <v>16500034</v>
      </c>
      <c r="C83">
        <v>16500009</v>
      </c>
      <c r="D83">
        <v>15204663</v>
      </c>
      <c r="E83">
        <v>1</v>
      </c>
      <c r="F83">
        <v>1</v>
      </c>
      <c r="G83">
        <v>1</v>
      </c>
      <c r="H83">
        <v>3</v>
      </c>
      <c r="I83" t="s">
        <v>723</v>
      </c>
      <c r="J83" t="s">
        <v>724</v>
      </c>
      <c r="K83" t="s">
        <v>725</v>
      </c>
      <c r="L83">
        <v>1348</v>
      </c>
      <c r="N83">
        <v>1009</v>
      </c>
      <c r="O83" t="s">
        <v>288</v>
      </c>
      <c r="P83" t="s">
        <v>288</v>
      </c>
      <c r="Q83">
        <v>1000</v>
      </c>
      <c r="X83">
        <v>5.9999999999999995E-4</v>
      </c>
      <c r="Y83">
        <v>9420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280</v>
      </c>
      <c r="AG83">
        <v>0</v>
      </c>
      <c r="AH83">
        <v>2</v>
      </c>
      <c r="AI83">
        <v>16500034</v>
      </c>
      <c r="AJ83">
        <v>67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ROW(Source!A43)</f>
        <v>43</v>
      </c>
      <c r="B84">
        <v>16500010</v>
      </c>
      <c r="C84">
        <v>16500009</v>
      </c>
      <c r="D84">
        <v>15441047</v>
      </c>
      <c r="E84">
        <v>1</v>
      </c>
      <c r="F84">
        <v>1</v>
      </c>
      <c r="G84">
        <v>1</v>
      </c>
      <c r="H84">
        <v>1</v>
      </c>
      <c r="I84" t="s">
        <v>665</v>
      </c>
      <c r="J84" t="s">
        <v>224</v>
      </c>
      <c r="K84" t="s">
        <v>666</v>
      </c>
      <c r="L84">
        <v>1191</v>
      </c>
      <c r="N84">
        <v>1013</v>
      </c>
      <c r="O84" t="s">
        <v>628</v>
      </c>
      <c r="P84" t="s">
        <v>628</v>
      </c>
      <c r="Q84">
        <v>1</v>
      </c>
      <c r="X84">
        <v>46.37</v>
      </c>
      <c r="Y84">
        <v>0</v>
      </c>
      <c r="Z84">
        <v>0</v>
      </c>
      <c r="AA84">
        <v>0</v>
      </c>
      <c r="AB84">
        <v>10.06</v>
      </c>
      <c r="AC84">
        <v>0</v>
      </c>
      <c r="AD84">
        <v>1</v>
      </c>
      <c r="AE84">
        <v>1</v>
      </c>
      <c r="AF84" t="s">
        <v>281</v>
      </c>
      <c r="AG84">
        <v>32.458999999999996</v>
      </c>
      <c r="AH84">
        <v>2</v>
      </c>
      <c r="AI84">
        <v>16500010</v>
      </c>
      <c r="AJ84">
        <v>68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ROW(Source!A43)</f>
        <v>43</v>
      </c>
      <c r="B85">
        <v>16500011</v>
      </c>
      <c r="C85">
        <v>16500009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629</v>
      </c>
      <c r="J85" t="s">
        <v>224</v>
      </c>
      <c r="K85" t="s">
        <v>630</v>
      </c>
      <c r="L85">
        <v>1191</v>
      </c>
      <c r="N85">
        <v>1013</v>
      </c>
      <c r="O85" t="s">
        <v>628</v>
      </c>
      <c r="P85" t="s">
        <v>628</v>
      </c>
      <c r="Q85">
        <v>1</v>
      </c>
      <c r="X85">
        <v>8.8699999999999992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281</v>
      </c>
      <c r="AG85">
        <v>6.2089999999999987</v>
      </c>
      <c r="AH85">
        <v>2</v>
      </c>
      <c r="AI85">
        <v>16500011</v>
      </c>
      <c r="AJ85">
        <v>69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ROW(Source!A43)</f>
        <v>43</v>
      </c>
      <c r="B86">
        <v>16500012</v>
      </c>
      <c r="C86">
        <v>16500009</v>
      </c>
      <c r="D86">
        <v>15247600</v>
      </c>
      <c r="E86">
        <v>1</v>
      </c>
      <c r="F86">
        <v>1</v>
      </c>
      <c r="G86">
        <v>1</v>
      </c>
      <c r="H86">
        <v>2</v>
      </c>
      <c r="I86" t="s">
        <v>667</v>
      </c>
      <c r="J86" t="s">
        <v>668</v>
      </c>
      <c r="K86" t="s">
        <v>669</v>
      </c>
      <c r="L86">
        <v>1368</v>
      </c>
      <c r="N86">
        <v>1011</v>
      </c>
      <c r="O86" t="s">
        <v>634</v>
      </c>
      <c r="P86" t="s">
        <v>634</v>
      </c>
      <c r="Q86">
        <v>1</v>
      </c>
      <c r="X86">
        <v>0.42</v>
      </c>
      <c r="Y86">
        <v>0</v>
      </c>
      <c r="Z86">
        <v>120.24</v>
      </c>
      <c r="AA86">
        <v>15.42</v>
      </c>
      <c r="AB86">
        <v>0</v>
      </c>
      <c r="AC86">
        <v>0</v>
      </c>
      <c r="AD86">
        <v>1</v>
      </c>
      <c r="AE86">
        <v>0</v>
      </c>
      <c r="AF86" t="s">
        <v>281</v>
      </c>
      <c r="AG86">
        <v>0.29399999999999998</v>
      </c>
      <c r="AH86">
        <v>2</v>
      </c>
      <c r="AI86">
        <v>16500012</v>
      </c>
      <c r="AJ86">
        <v>70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ROW(Source!A43)</f>
        <v>43</v>
      </c>
      <c r="B87">
        <v>16500013</v>
      </c>
      <c r="C87">
        <v>16500009</v>
      </c>
      <c r="D87">
        <v>15247680</v>
      </c>
      <c r="E87">
        <v>1</v>
      </c>
      <c r="F87">
        <v>1</v>
      </c>
      <c r="G87">
        <v>1</v>
      </c>
      <c r="H87">
        <v>2</v>
      </c>
      <c r="I87" t="s">
        <v>670</v>
      </c>
      <c r="J87" t="s">
        <v>671</v>
      </c>
      <c r="K87" t="s">
        <v>672</v>
      </c>
      <c r="L87">
        <v>1368</v>
      </c>
      <c r="N87">
        <v>1011</v>
      </c>
      <c r="O87" t="s">
        <v>634</v>
      </c>
      <c r="P87" t="s">
        <v>634</v>
      </c>
      <c r="Q87">
        <v>1</v>
      </c>
      <c r="X87">
        <v>0.12</v>
      </c>
      <c r="Y87">
        <v>0</v>
      </c>
      <c r="Z87">
        <v>111.99</v>
      </c>
      <c r="AA87">
        <v>13.5</v>
      </c>
      <c r="AB87">
        <v>0</v>
      </c>
      <c r="AC87">
        <v>0</v>
      </c>
      <c r="AD87">
        <v>1</v>
      </c>
      <c r="AE87">
        <v>0</v>
      </c>
      <c r="AF87" t="s">
        <v>281</v>
      </c>
      <c r="AG87">
        <v>8.3999999999999991E-2</v>
      </c>
      <c r="AH87">
        <v>2</v>
      </c>
      <c r="AI87">
        <v>16500013</v>
      </c>
      <c r="AJ87">
        <v>71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ROW(Source!A43)</f>
        <v>43</v>
      </c>
      <c r="B88">
        <v>16500014</v>
      </c>
      <c r="C88">
        <v>16500009</v>
      </c>
      <c r="D88">
        <v>15247698</v>
      </c>
      <c r="E88">
        <v>1</v>
      </c>
      <c r="F88">
        <v>1</v>
      </c>
      <c r="G88">
        <v>1</v>
      </c>
      <c r="H88">
        <v>2</v>
      </c>
      <c r="I88" t="s">
        <v>673</v>
      </c>
      <c r="J88" t="s">
        <v>674</v>
      </c>
      <c r="K88" t="s">
        <v>675</v>
      </c>
      <c r="L88">
        <v>1368</v>
      </c>
      <c r="N88">
        <v>1011</v>
      </c>
      <c r="O88" t="s">
        <v>634</v>
      </c>
      <c r="P88" t="s">
        <v>634</v>
      </c>
      <c r="Q88">
        <v>1</v>
      </c>
      <c r="X88">
        <v>4.07</v>
      </c>
      <c r="Y88">
        <v>0</v>
      </c>
      <c r="Z88">
        <v>533.27</v>
      </c>
      <c r="AA88">
        <v>27.9</v>
      </c>
      <c r="AB88">
        <v>0</v>
      </c>
      <c r="AC88">
        <v>0</v>
      </c>
      <c r="AD88">
        <v>1</v>
      </c>
      <c r="AE88">
        <v>0</v>
      </c>
      <c r="AF88" t="s">
        <v>281</v>
      </c>
      <c r="AG88">
        <v>2.8490000000000002</v>
      </c>
      <c r="AH88">
        <v>2</v>
      </c>
      <c r="AI88">
        <v>16500014</v>
      </c>
      <c r="AJ88">
        <v>72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ROW(Source!A43)</f>
        <v>43</v>
      </c>
      <c r="B89">
        <v>16500015</v>
      </c>
      <c r="C89">
        <v>16500009</v>
      </c>
      <c r="D89">
        <v>15247814</v>
      </c>
      <c r="E89">
        <v>1</v>
      </c>
      <c r="F89">
        <v>1</v>
      </c>
      <c r="G89">
        <v>1</v>
      </c>
      <c r="H89">
        <v>2</v>
      </c>
      <c r="I89" t="s">
        <v>676</v>
      </c>
      <c r="J89" t="s">
        <v>677</v>
      </c>
      <c r="K89" t="s">
        <v>678</v>
      </c>
      <c r="L89">
        <v>1368</v>
      </c>
      <c r="N89">
        <v>1011</v>
      </c>
      <c r="O89" t="s">
        <v>634</v>
      </c>
      <c r="P89" t="s">
        <v>634</v>
      </c>
      <c r="Q89">
        <v>1</v>
      </c>
      <c r="X89">
        <v>0.1</v>
      </c>
      <c r="Y89">
        <v>0</v>
      </c>
      <c r="Z89">
        <v>0.9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281</v>
      </c>
      <c r="AG89">
        <v>6.9999999999999993E-2</v>
      </c>
      <c r="AH89">
        <v>2</v>
      </c>
      <c r="AI89">
        <v>16500015</v>
      </c>
      <c r="AJ89">
        <v>73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ROW(Source!A43)</f>
        <v>43</v>
      </c>
      <c r="B90">
        <v>16500016</v>
      </c>
      <c r="C90">
        <v>16500009</v>
      </c>
      <c r="D90">
        <v>15247878</v>
      </c>
      <c r="E90">
        <v>1</v>
      </c>
      <c r="F90">
        <v>1</v>
      </c>
      <c r="G90">
        <v>1</v>
      </c>
      <c r="H90">
        <v>2</v>
      </c>
      <c r="I90" t="s">
        <v>646</v>
      </c>
      <c r="J90" t="s">
        <v>647</v>
      </c>
      <c r="K90" t="s">
        <v>648</v>
      </c>
      <c r="L90">
        <v>1368</v>
      </c>
      <c r="N90">
        <v>1011</v>
      </c>
      <c r="O90" t="s">
        <v>634</v>
      </c>
      <c r="P90" t="s">
        <v>634</v>
      </c>
      <c r="Q90">
        <v>1</v>
      </c>
      <c r="X90">
        <v>0.34</v>
      </c>
      <c r="Y90">
        <v>0</v>
      </c>
      <c r="Z90">
        <v>1.7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281</v>
      </c>
      <c r="AG90">
        <v>0.23799999999999999</v>
      </c>
      <c r="AH90">
        <v>2</v>
      </c>
      <c r="AI90">
        <v>16500016</v>
      </c>
      <c r="AJ90">
        <v>74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ROW(Source!A43)</f>
        <v>43</v>
      </c>
      <c r="B91">
        <v>16500017</v>
      </c>
      <c r="C91">
        <v>16500009</v>
      </c>
      <c r="D91">
        <v>15247880</v>
      </c>
      <c r="E91">
        <v>1</v>
      </c>
      <c r="F91">
        <v>1</v>
      </c>
      <c r="G91">
        <v>1</v>
      </c>
      <c r="H91">
        <v>2</v>
      </c>
      <c r="I91" t="s">
        <v>679</v>
      </c>
      <c r="J91" t="s">
        <v>680</v>
      </c>
      <c r="K91" t="s">
        <v>681</v>
      </c>
      <c r="L91">
        <v>1368</v>
      </c>
      <c r="N91">
        <v>1011</v>
      </c>
      <c r="O91" t="s">
        <v>634</v>
      </c>
      <c r="P91" t="s">
        <v>634</v>
      </c>
      <c r="Q91">
        <v>1</v>
      </c>
      <c r="X91">
        <v>0.09</v>
      </c>
      <c r="Y91">
        <v>0</v>
      </c>
      <c r="Z91">
        <v>6.9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281</v>
      </c>
      <c r="AG91">
        <v>6.3E-2</v>
      </c>
      <c r="AH91">
        <v>2</v>
      </c>
      <c r="AI91">
        <v>16500017</v>
      </c>
      <c r="AJ91">
        <v>75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ROW(Source!A43)</f>
        <v>43</v>
      </c>
      <c r="B92">
        <v>16500018</v>
      </c>
      <c r="C92">
        <v>16500009</v>
      </c>
      <c r="D92">
        <v>15249073</v>
      </c>
      <c r="E92">
        <v>1</v>
      </c>
      <c r="F92">
        <v>1</v>
      </c>
      <c r="G92">
        <v>1</v>
      </c>
      <c r="H92">
        <v>2</v>
      </c>
      <c r="I92" t="s">
        <v>631</v>
      </c>
      <c r="J92" t="s">
        <v>632</v>
      </c>
      <c r="K92" t="s">
        <v>633</v>
      </c>
      <c r="L92">
        <v>1368</v>
      </c>
      <c r="N92">
        <v>1011</v>
      </c>
      <c r="O92" t="s">
        <v>634</v>
      </c>
      <c r="P92" t="s">
        <v>634</v>
      </c>
      <c r="Q92">
        <v>1</v>
      </c>
      <c r="X92">
        <v>0.19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281</v>
      </c>
      <c r="AG92">
        <v>0.13299999999999998</v>
      </c>
      <c r="AH92">
        <v>2</v>
      </c>
      <c r="AI92">
        <v>16500018</v>
      </c>
      <c r="AJ92">
        <v>76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ROW(Source!A43)</f>
        <v>43</v>
      </c>
      <c r="B93">
        <v>16500019</v>
      </c>
      <c r="C93">
        <v>16500009</v>
      </c>
      <c r="D93">
        <v>15249308</v>
      </c>
      <c r="E93">
        <v>1</v>
      </c>
      <c r="F93">
        <v>1</v>
      </c>
      <c r="G93">
        <v>1</v>
      </c>
      <c r="H93">
        <v>2</v>
      </c>
      <c r="I93" t="s">
        <v>682</v>
      </c>
      <c r="J93" t="s">
        <v>683</v>
      </c>
      <c r="K93" t="s">
        <v>684</v>
      </c>
      <c r="L93">
        <v>1368</v>
      </c>
      <c r="N93">
        <v>1011</v>
      </c>
      <c r="O93" t="s">
        <v>634</v>
      </c>
      <c r="P93" t="s">
        <v>634</v>
      </c>
      <c r="Q93">
        <v>1</v>
      </c>
      <c r="X93">
        <v>2.2400000000000002</v>
      </c>
      <c r="Y93">
        <v>0</v>
      </c>
      <c r="Z93">
        <v>1.2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281</v>
      </c>
      <c r="AG93">
        <v>1.5680000000000001</v>
      </c>
      <c r="AH93">
        <v>2</v>
      </c>
      <c r="AI93">
        <v>16500019</v>
      </c>
      <c r="AJ93">
        <v>77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ROW(Source!A43)</f>
        <v>43</v>
      </c>
      <c r="B94">
        <v>16500020</v>
      </c>
      <c r="C94">
        <v>16500009</v>
      </c>
      <c r="D94">
        <v>15249355</v>
      </c>
      <c r="E94">
        <v>1</v>
      </c>
      <c r="F94">
        <v>1</v>
      </c>
      <c r="G94">
        <v>1</v>
      </c>
      <c r="H94">
        <v>2</v>
      </c>
      <c r="I94" t="s">
        <v>685</v>
      </c>
      <c r="J94" t="s">
        <v>686</v>
      </c>
      <c r="K94" t="s">
        <v>687</v>
      </c>
      <c r="L94">
        <v>1368</v>
      </c>
      <c r="N94">
        <v>1011</v>
      </c>
      <c r="O94" t="s">
        <v>634</v>
      </c>
      <c r="P94" t="s">
        <v>634</v>
      </c>
      <c r="Q94">
        <v>1</v>
      </c>
      <c r="X94">
        <v>15.01</v>
      </c>
      <c r="Y94">
        <v>0</v>
      </c>
      <c r="Z94">
        <v>12.31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281</v>
      </c>
      <c r="AG94">
        <v>10.507</v>
      </c>
      <c r="AH94">
        <v>2</v>
      </c>
      <c r="AI94">
        <v>16500020</v>
      </c>
      <c r="AJ94">
        <v>78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ROW(Source!A43)</f>
        <v>43</v>
      </c>
      <c r="B95">
        <v>16500021</v>
      </c>
      <c r="C95">
        <v>16500009</v>
      </c>
      <c r="D95">
        <v>15165653</v>
      </c>
      <c r="E95">
        <v>1</v>
      </c>
      <c r="F95">
        <v>1</v>
      </c>
      <c r="G95">
        <v>1</v>
      </c>
      <c r="H95">
        <v>3</v>
      </c>
      <c r="I95" t="s">
        <v>688</v>
      </c>
      <c r="J95" t="s">
        <v>689</v>
      </c>
      <c r="K95" t="s">
        <v>690</v>
      </c>
      <c r="L95">
        <v>1339</v>
      </c>
      <c r="N95">
        <v>1007</v>
      </c>
      <c r="O95" t="s">
        <v>691</v>
      </c>
      <c r="P95" t="s">
        <v>691</v>
      </c>
      <c r="Q95">
        <v>1</v>
      </c>
      <c r="X95">
        <v>1.95</v>
      </c>
      <c r="Y95">
        <v>6.22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280</v>
      </c>
      <c r="AG95">
        <v>0</v>
      </c>
      <c r="AH95">
        <v>2</v>
      </c>
      <c r="AI95">
        <v>16500021</v>
      </c>
      <c r="AJ95">
        <v>79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ROW(Source!A43)</f>
        <v>43</v>
      </c>
      <c r="B96">
        <v>16500022</v>
      </c>
      <c r="C96">
        <v>16500009</v>
      </c>
      <c r="D96">
        <v>15165660</v>
      </c>
      <c r="E96">
        <v>1</v>
      </c>
      <c r="F96">
        <v>1</v>
      </c>
      <c r="G96">
        <v>1</v>
      </c>
      <c r="H96">
        <v>3</v>
      </c>
      <c r="I96" t="s">
        <v>692</v>
      </c>
      <c r="J96" t="s">
        <v>693</v>
      </c>
      <c r="K96" t="s">
        <v>694</v>
      </c>
      <c r="L96">
        <v>1346</v>
      </c>
      <c r="N96">
        <v>1009</v>
      </c>
      <c r="O96" t="s">
        <v>303</v>
      </c>
      <c r="P96" t="s">
        <v>303</v>
      </c>
      <c r="Q96">
        <v>1</v>
      </c>
      <c r="X96">
        <v>0.59</v>
      </c>
      <c r="Y96">
        <v>6.09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280</v>
      </c>
      <c r="AG96">
        <v>0</v>
      </c>
      <c r="AH96">
        <v>2</v>
      </c>
      <c r="AI96">
        <v>16500022</v>
      </c>
      <c r="AJ96">
        <v>80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ROW(Source!A43)</f>
        <v>43</v>
      </c>
      <c r="B97">
        <v>16500023</v>
      </c>
      <c r="C97">
        <v>16500009</v>
      </c>
      <c r="D97">
        <v>15168753</v>
      </c>
      <c r="E97">
        <v>1</v>
      </c>
      <c r="F97">
        <v>1</v>
      </c>
      <c r="G97">
        <v>1</v>
      </c>
      <c r="H97">
        <v>3</v>
      </c>
      <c r="I97" t="s">
        <v>695</v>
      </c>
      <c r="J97" t="s">
        <v>696</v>
      </c>
      <c r="K97" t="s">
        <v>697</v>
      </c>
      <c r="L97">
        <v>1348</v>
      </c>
      <c r="N97">
        <v>1009</v>
      </c>
      <c r="O97" t="s">
        <v>288</v>
      </c>
      <c r="P97" t="s">
        <v>288</v>
      </c>
      <c r="Q97">
        <v>1000</v>
      </c>
      <c r="X97">
        <v>2.3E-2</v>
      </c>
      <c r="Y97">
        <v>10749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280</v>
      </c>
      <c r="AG97">
        <v>0</v>
      </c>
      <c r="AH97">
        <v>2</v>
      </c>
      <c r="AI97">
        <v>16500023</v>
      </c>
      <c r="AJ97">
        <v>81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ROW(Source!A43)</f>
        <v>43</v>
      </c>
      <c r="B98">
        <v>16500024</v>
      </c>
      <c r="C98">
        <v>16500009</v>
      </c>
      <c r="D98">
        <v>15169941</v>
      </c>
      <c r="E98">
        <v>1</v>
      </c>
      <c r="F98">
        <v>1</v>
      </c>
      <c r="G98">
        <v>1</v>
      </c>
      <c r="H98">
        <v>3</v>
      </c>
      <c r="I98" t="s">
        <v>70</v>
      </c>
      <c r="J98" t="s">
        <v>71</v>
      </c>
      <c r="K98" t="s">
        <v>72</v>
      </c>
      <c r="L98">
        <v>1348</v>
      </c>
      <c r="N98">
        <v>1009</v>
      </c>
      <c r="O98" t="s">
        <v>288</v>
      </c>
      <c r="P98" t="s">
        <v>288</v>
      </c>
      <c r="Q98">
        <v>1000</v>
      </c>
      <c r="X98">
        <v>0</v>
      </c>
      <c r="Y98">
        <v>9040.01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0</v>
      </c>
      <c r="AF98" t="s">
        <v>280</v>
      </c>
      <c r="AG98">
        <v>0</v>
      </c>
      <c r="AH98">
        <v>3</v>
      </c>
      <c r="AI98">
        <v>-1</v>
      </c>
      <c r="AJ98" t="s">
        <v>224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ROW(Source!A43)</f>
        <v>43</v>
      </c>
      <c r="B99">
        <v>16500025</v>
      </c>
      <c r="C99">
        <v>16500009</v>
      </c>
      <c r="D99">
        <v>15170039</v>
      </c>
      <c r="E99">
        <v>1</v>
      </c>
      <c r="F99">
        <v>1</v>
      </c>
      <c r="G99">
        <v>1</v>
      </c>
      <c r="H99">
        <v>3</v>
      </c>
      <c r="I99" t="s">
        <v>698</v>
      </c>
      <c r="J99" t="s">
        <v>699</v>
      </c>
      <c r="K99" t="s">
        <v>700</v>
      </c>
      <c r="L99">
        <v>1348</v>
      </c>
      <c r="N99">
        <v>1009</v>
      </c>
      <c r="O99" t="s">
        <v>288</v>
      </c>
      <c r="P99" t="s">
        <v>288</v>
      </c>
      <c r="Q99">
        <v>1000</v>
      </c>
      <c r="X99">
        <v>1.0000000000000001E-5</v>
      </c>
      <c r="Y99">
        <v>11978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280</v>
      </c>
      <c r="AG99">
        <v>0</v>
      </c>
      <c r="AH99">
        <v>2</v>
      </c>
      <c r="AI99">
        <v>16500025</v>
      </c>
      <c r="AJ99">
        <v>82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ROW(Source!A43)</f>
        <v>43</v>
      </c>
      <c r="B100">
        <v>16500026</v>
      </c>
      <c r="C100">
        <v>16500009</v>
      </c>
      <c r="D100">
        <v>15171021</v>
      </c>
      <c r="E100">
        <v>1</v>
      </c>
      <c r="F100">
        <v>1</v>
      </c>
      <c r="G100">
        <v>1</v>
      </c>
      <c r="H100">
        <v>3</v>
      </c>
      <c r="I100" t="s">
        <v>701</v>
      </c>
      <c r="J100" t="s">
        <v>702</v>
      </c>
      <c r="K100" t="s">
        <v>703</v>
      </c>
      <c r="L100">
        <v>1348</v>
      </c>
      <c r="N100">
        <v>1009</v>
      </c>
      <c r="O100" t="s">
        <v>288</v>
      </c>
      <c r="P100" t="s">
        <v>288</v>
      </c>
      <c r="Q100">
        <v>1000</v>
      </c>
      <c r="X100">
        <v>1E-4</v>
      </c>
      <c r="Y100">
        <v>37900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280</v>
      </c>
      <c r="AG100">
        <v>0</v>
      </c>
      <c r="AH100">
        <v>2</v>
      </c>
      <c r="AI100">
        <v>16500026</v>
      </c>
      <c r="AJ100">
        <v>83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ROW(Source!A43)</f>
        <v>43</v>
      </c>
      <c r="B101">
        <v>16500027</v>
      </c>
      <c r="C101">
        <v>16500009</v>
      </c>
      <c r="D101">
        <v>15188765</v>
      </c>
      <c r="E101">
        <v>1</v>
      </c>
      <c r="F101">
        <v>1</v>
      </c>
      <c r="G101">
        <v>1</v>
      </c>
      <c r="H101">
        <v>3</v>
      </c>
      <c r="I101" t="s">
        <v>704</v>
      </c>
      <c r="J101" t="s">
        <v>705</v>
      </c>
      <c r="K101" t="s">
        <v>706</v>
      </c>
      <c r="L101">
        <v>1348</v>
      </c>
      <c r="N101">
        <v>1009</v>
      </c>
      <c r="O101" t="s">
        <v>288</v>
      </c>
      <c r="P101" t="s">
        <v>288</v>
      </c>
      <c r="Q101">
        <v>1000</v>
      </c>
      <c r="X101">
        <v>2.5999999999999999E-2</v>
      </c>
      <c r="Y101">
        <v>7712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280</v>
      </c>
      <c r="AG101">
        <v>0</v>
      </c>
      <c r="AH101">
        <v>2</v>
      </c>
      <c r="AI101">
        <v>16500027</v>
      </c>
      <c r="AJ101">
        <v>84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ROW(Source!A43)</f>
        <v>43</v>
      </c>
      <c r="B102">
        <v>16500028</v>
      </c>
      <c r="C102">
        <v>16500009</v>
      </c>
      <c r="D102">
        <v>15161912</v>
      </c>
      <c r="E102">
        <v>17</v>
      </c>
      <c r="F102">
        <v>1</v>
      </c>
      <c r="G102">
        <v>1</v>
      </c>
      <c r="H102">
        <v>3</v>
      </c>
      <c r="I102" t="s">
        <v>73</v>
      </c>
      <c r="J102" t="s">
        <v>224</v>
      </c>
      <c r="K102" t="s">
        <v>74</v>
      </c>
      <c r="L102">
        <v>1348</v>
      </c>
      <c r="N102">
        <v>1009</v>
      </c>
      <c r="O102" t="s">
        <v>288</v>
      </c>
      <c r="P102" t="s">
        <v>288</v>
      </c>
      <c r="Q102">
        <v>1000</v>
      </c>
      <c r="X102">
        <v>1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280</v>
      </c>
      <c r="AG102">
        <v>0</v>
      </c>
      <c r="AH102">
        <v>3</v>
      </c>
      <c r="AI102">
        <v>-1</v>
      </c>
      <c r="AJ102" t="s">
        <v>224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ROW(Source!A43)</f>
        <v>43</v>
      </c>
      <c r="B103">
        <v>16500029</v>
      </c>
      <c r="C103">
        <v>16500009</v>
      </c>
      <c r="D103">
        <v>15190794</v>
      </c>
      <c r="E103">
        <v>1</v>
      </c>
      <c r="F103">
        <v>1</v>
      </c>
      <c r="G103">
        <v>1</v>
      </c>
      <c r="H103">
        <v>3</v>
      </c>
      <c r="I103" t="s">
        <v>707</v>
      </c>
      <c r="J103" t="s">
        <v>708</v>
      </c>
      <c r="K103" t="s">
        <v>709</v>
      </c>
      <c r="L103">
        <v>1302</v>
      </c>
      <c r="N103">
        <v>1003</v>
      </c>
      <c r="O103" t="s">
        <v>710</v>
      </c>
      <c r="P103" t="s">
        <v>710</v>
      </c>
      <c r="Q103">
        <v>10</v>
      </c>
      <c r="X103">
        <v>1.8700000000000001E-2</v>
      </c>
      <c r="Y103">
        <v>50.24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280</v>
      </c>
      <c r="AG103">
        <v>0</v>
      </c>
      <c r="AH103">
        <v>2</v>
      </c>
      <c r="AI103">
        <v>16500029</v>
      </c>
      <c r="AJ103">
        <v>85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ROW(Source!A43)</f>
        <v>43</v>
      </c>
      <c r="B104">
        <v>16500030</v>
      </c>
      <c r="C104">
        <v>16500009</v>
      </c>
      <c r="D104">
        <v>15191153</v>
      </c>
      <c r="E104">
        <v>1</v>
      </c>
      <c r="F104">
        <v>1</v>
      </c>
      <c r="G104">
        <v>1</v>
      </c>
      <c r="H104">
        <v>3</v>
      </c>
      <c r="I104" t="s">
        <v>711</v>
      </c>
      <c r="J104" t="s">
        <v>712</v>
      </c>
      <c r="K104" t="s">
        <v>713</v>
      </c>
      <c r="L104">
        <v>1348</v>
      </c>
      <c r="N104">
        <v>1009</v>
      </c>
      <c r="O104" t="s">
        <v>288</v>
      </c>
      <c r="P104" t="s">
        <v>288</v>
      </c>
      <c r="Q104">
        <v>1000</v>
      </c>
      <c r="X104">
        <v>3.0000000000000001E-5</v>
      </c>
      <c r="Y104">
        <v>4455.2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280</v>
      </c>
      <c r="AG104">
        <v>0</v>
      </c>
      <c r="AH104">
        <v>2</v>
      </c>
      <c r="AI104">
        <v>16500030</v>
      </c>
      <c r="AJ104">
        <v>86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ROW(Source!A43)</f>
        <v>43</v>
      </c>
      <c r="B105">
        <v>16500031</v>
      </c>
      <c r="C105">
        <v>16500009</v>
      </c>
      <c r="D105">
        <v>15191913</v>
      </c>
      <c r="E105">
        <v>1</v>
      </c>
      <c r="F105">
        <v>1</v>
      </c>
      <c r="G105">
        <v>1</v>
      </c>
      <c r="H105">
        <v>3</v>
      </c>
      <c r="I105" t="s">
        <v>714</v>
      </c>
      <c r="J105" t="s">
        <v>715</v>
      </c>
      <c r="K105" t="s">
        <v>716</v>
      </c>
      <c r="L105">
        <v>1348</v>
      </c>
      <c r="N105">
        <v>1009</v>
      </c>
      <c r="O105" t="s">
        <v>288</v>
      </c>
      <c r="P105" t="s">
        <v>288</v>
      </c>
      <c r="Q105">
        <v>1000</v>
      </c>
      <c r="X105">
        <v>1.9400000000000001E-3</v>
      </c>
      <c r="Y105">
        <v>4920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280</v>
      </c>
      <c r="AG105">
        <v>0</v>
      </c>
      <c r="AH105">
        <v>2</v>
      </c>
      <c r="AI105">
        <v>16500031</v>
      </c>
      <c r="AJ105">
        <v>87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ROW(Source!A43)</f>
        <v>43</v>
      </c>
      <c r="B106">
        <v>16500032</v>
      </c>
      <c r="C106">
        <v>16500009</v>
      </c>
      <c r="D106">
        <v>15195820</v>
      </c>
      <c r="E106">
        <v>1</v>
      </c>
      <c r="F106">
        <v>1</v>
      </c>
      <c r="G106">
        <v>1</v>
      </c>
      <c r="H106">
        <v>3</v>
      </c>
      <c r="I106" t="s">
        <v>717</v>
      </c>
      <c r="J106" t="s">
        <v>718</v>
      </c>
      <c r="K106" t="s">
        <v>719</v>
      </c>
      <c r="L106">
        <v>1339</v>
      </c>
      <c r="N106">
        <v>1007</v>
      </c>
      <c r="O106" t="s">
        <v>691</v>
      </c>
      <c r="P106" t="s">
        <v>691</v>
      </c>
      <c r="Q106">
        <v>1</v>
      </c>
      <c r="X106">
        <v>1.0300000000000001E-3</v>
      </c>
      <c r="Y106">
        <v>1700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280</v>
      </c>
      <c r="AG106">
        <v>0</v>
      </c>
      <c r="AH106">
        <v>2</v>
      </c>
      <c r="AI106">
        <v>16500032</v>
      </c>
      <c r="AJ106">
        <v>88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ROW(Source!A43)</f>
        <v>43</v>
      </c>
      <c r="B107">
        <v>16500033</v>
      </c>
      <c r="C107">
        <v>16500009</v>
      </c>
      <c r="D107">
        <v>15203461</v>
      </c>
      <c r="E107">
        <v>1</v>
      </c>
      <c r="F107">
        <v>1</v>
      </c>
      <c r="G107">
        <v>1</v>
      </c>
      <c r="H107">
        <v>3</v>
      </c>
      <c r="I107" t="s">
        <v>720</v>
      </c>
      <c r="J107" t="s">
        <v>721</v>
      </c>
      <c r="K107" t="s">
        <v>722</v>
      </c>
      <c r="L107">
        <v>1348</v>
      </c>
      <c r="N107">
        <v>1009</v>
      </c>
      <c r="O107" t="s">
        <v>288</v>
      </c>
      <c r="P107" t="s">
        <v>288</v>
      </c>
      <c r="Q107">
        <v>1000</v>
      </c>
      <c r="X107">
        <v>3.1E-4</v>
      </c>
      <c r="Y107">
        <v>15620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280</v>
      </c>
      <c r="AG107">
        <v>0</v>
      </c>
      <c r="AH107">
        <v>2</v>
      </c>
      <c r="AI107">
        <v>16500033</v>
      </c>
      <c r="AJ107">
        <v>89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ROW(Source!A43)</f>
        <v>43</v>
      </c>
      <c r="B108">
        <v>16500034</v>
      </c>
      <c r="C108">
        <v>16500009</v>
      </c>
      <c r="D108">
        <v>15204663</v>
      </c>
      <c r="E108">
        <v>1</v>
      </c>
      <c r="F108">
        <v>1</v>
      </c>
      <c r="G108">
        <v>1</v>
      </c>
      <c r="H108">
        <v>3</v>
      </c>
      <c r="I108" t="s">
        <v>723</v>
      </c>
      <c r="J108" t="s">
        <v>724</v>
      </c>
      <c r="K108" t="s">
        <v>725</v>
      </c>
      <c r="L108">
        <v>1348</v>
      </c>
      <c r="N108">
        <v>1009</v>
      </c>
      <c r="O108" t="s">
        <v>288</v>
      </c>
      <c r="P108" t="s">
        <v>288</v>
      </c>
      <c r="Q108">
        <v>1000</v>
      </c>
      <c r="X108">
        <v>5.9999999999999995E-4</v>
      </c>
      <c r="Y108">
        <v>9420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280</v>
      </c>
      <c r="AG108">
        <v>0</v>
      </c>
      <c r="AH108">
        <v>2</v>
      </c>
      <c r="AI108">
        <v>16500034</v>
      </c>
      <c r="AJ108">
        <v>90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ROW(Source!A44)</f>
        <v>44</v>
      </c>
      <c r="B109">
        <v>16500041</v>
      </c>
      <c r="C109">
        <v>16500038</v>
      </c>
      <c r="D109">
        <v>15430517</v>
      </c>
      <c r="E109">
        <v>1</v>
      </c>
      <c r="F109">
        <v>1</v>
      </c>
      <c r="G109">
        <v>1</v>
      </c>
      <c r="H109">
        <v>1</v>
      </c>
      <c r="I109" t="s">
        <v>638</v>
      </c>
      <c r="J109" t="s">
        <v>224</v>
      </c>
      <c r="K109" t="s">
        <v>639</v>
      </c>
      <c r="L109">
        <v>1191</v>
      </c>
      <c r="N109">
        <v>1013</v>
      </c>
      <c r="O109" t="s">
        <v>628</v>
      </c>
      <c r="P109" t="s">
        <v>628</v>
      </c>
      <c r="Q109">
        <v>1</v>
      </c>
      <c r="X109">
        <v>22.82</v>
      </c>
      <c r="Y109">
        <v>0</v>
      </c>
      <c r="Z109">
        <v>0</v>
      </c>
      <c r="AA109">
        <v>0</v>
      </c>
      <c r="AB109">
        <v>7.8</v>
      </c>
      <c r="AC109">
        <v>0</v>
      </c>
      <c r="AD109">
        <v>1</v>
      </c>
      <c r="AE109">
        <v>1</v>
      </c>
      <c r="AF109" t="s">
        <v>224</v>
      </c>
      <c r="AG109">
        <v>22.82</v>
      </c>
      <c r="AH109">
        <v>2</v>
      </c>
      <c r="AI109">
        <v>16500041</v>
      </c>
      <c r="AJ109">
        <v>91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ROW(Source!A45)</f>
        <v>45</v>
      </c>
      <c r="B110">
        <v>16500041</v>
      </c>
      <c r="C110">
        <v>16500038</v>
      </c>
      <c r="D110">
        <v>15430517</v>
      </c>
      <c r="E110">
        <v>1</v>
      </c>
      <c r="F110">
        <v>1</v>
      </c>
      <c r="G110">
        <v>1</v>
      </c>
      <c r="H110">
        <v>1</v>
      </c>
      <c r="I110" t="s">
        <v>638</v>
      </c>
      <c r="J110" t="s">
        <v>224</v>
      </c>
      <c r="K110" t="s">
        <v>639</v>
      </c>
      <c r="L110">
        <v>1191</v>
      </c>
      <c r="N110">
        <v>1013</v>
      </c>
      <c r="O110" t="s">
        <v>628</v>
      </c>
      <c r="P110" t="s">
        <v>628</v>
      </c>
      <c r="Q110">
        <v>1</v>
      </c>
      <c r="X110">
        <v>22.82</v>
      </c>
      <c r="Y110">
        <v>0</v>
      </c>
      <c r="Z110">
        <v>0</v>
      </c>
      <c r="AA110">
        <v>0</v>
      </c>
      <c r="AB110">
        <v>7.8</v>
      </c>
      <c r="AC110">
        <v>0</v>
      </c>
      <c r="AD110">
        <v>1</v>
      </c>
      <c r="AE110">
        <v>1</v>
      </c>
      <c r="AF110" t="s">
        <v>224</v>
      </c>
      <c r="AG110">
        <v>22.82</v>
      </c>
      <c r="AH110">
        <v>2</v>
      </c>
      <c r="AI110">
        <v>16500041</v>
      </c>
      <c r="AJ110">
        <v>92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ROW(Source!A46)</f>
        <v>46</v>
      </c>
      <c r="B111">
        <v>16500043</v>
      </c>
      <c r="C111">
        <v>16500042</v>
      </c>
      <c r="D111">
        <v>15436556</v>
      </c>
      <c r="E111">
        <v>1</v>
      </c>
      <c r="F111">
        <v>1</v>
      </c>
      <c r="G111">
        <v>1</v>
      </c>
      <c r="H111">
        <v>1</v>
      </c>
      <c r="I111" t="s">
        <v>726</v>
      </c>
      <c r="J111" t="s">
        <v>224</v>
      </c>
      <c r="K111" t="s">
        <v>727</v>
      </c>
      <c r="L111">
        <v>1191</v>
      </c>
      <c r="N111">
        <v>1013</v>
      </c>
      <c r="O111" t="s">
        <v>628</v>
      </c>
      <c r="P111" t="s">
        <v>628</v>
      </c>
      <c r="Q111">
        <v>1</v>
      </c>
      <c r="X111">
        <v>20.02</v>
      </c>
      <c r="Y111">
        <v>0</v>
      </c>
      <c r="Z111">
        <v>0</v>
      </c>
      <c r="AA111">
        <v>0</v>
      </c>
      <c r="AB111">
        <v>9.6199999999999992</v>
      </c>
      <c r="AC111">
        <v>0</v>
      </c>
      <c r="AD111">
        <v>1</v>
      </c>
      <c r="AE111">
        <v>1</v>
      </c>
      <c r="AF111" t="s">
        <v>240</v>
      </c>
      <c r="AG111">
        <v>23.022999999999996</v>
      </c>
      <c r="AH111">
        <v>2</v>
      </c>
      <c r="AI111">
        <v>16500043</v>
      </c>
      <c r="AJ111">
        <v>93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ROW(Source!A46)</f>
        <v>46</v>
      </c>
      <c r="B112">
        <v>16500044</v>
      </c>
      <c r="C112">
        <v>16500042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629</v>
      </c>
      <c r="J112" t="s">
        <v>224</v>
      </c>
      <c r="K112" t="s">
        <v>630</v>
      </c>
      <c r="L112">
        <v>1191</v>
      </c>
      <c r="N112">
        <v>1013</v>
      </c>
      <c r="O112" t="s">
        <v>628</v>
      </c>
      <c r="P112" t="s">
        <v>628</v>
      </c>
      <c r="Q112">
        <v>1</v>
      </c>
      <c r="X112">
        <v>0.04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239</v>
      </c>
      <c r="AG112">
        <v>0.05</v>
      </c>
      <c r="AH112">
        <v>2</v>
      </c>
      <c r="AI112">
        <v>16500044</v>
      </c>
      <c r="AJ112">
        <v>94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ROW(Source!A46)</f>
        <v>46</v>
      </c>
      <c r="B113">
        <v>16500045</v>
      </c>
      <c r="C113">
        <v>16500042</v>
      </c>
      <c r="D113">
        <v>15247974</v>
      </c>
      <c r="E113">
        <v>1</v>
      </c>
      <c r="F113">
        <v>1</v>
      </c>
      <c r="G113">
        <v>1</v>
      </c>
      <c r="H113">
        <v>2</v>
      </c>
      <c r="I113" t="s">
        <v>640</v>
      </c>
      <c r="J113" t="s">
        <v>641</v>
      </c>
      <c r="K113" t="s">
        <v>642</v>
      </c>
      <c r="L113">
        <v>1368</v>
      </c>
      <c r="N113">
        <v>1011</v>
      </c>
      <c r="O113" t="s">
        <v>634</v>
      </c>
      <c r="P113" t="s">
        <v>634</v>
      </c>
      <c r="Q113">
        <v>1</v>
      </c>
      <c r="X113">
        <v>0.01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239</v>
      </c>
      <c r="AG113">
        <v>1.2500000000000001E-2</v>
      </c>
      <c r="AH113">
        <v>2</v>
      </c>
      <c r="AI113">
        <v>16500045</v>
      </c>
      <c r="AJ113">
        <v>95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ROW(Source!A46)</f>
        <v>46</v>
      </c>
      <c r="B114">
        <v>16500046</v>
      </c>
      <c r="C114">
        <v>16500042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631</v>
      </c>
      <c r="J114" t="s">
        <v>632</v>
      </c>
      <c r="K114" t="s">
        <v>633</v>
      </c>
      <c r="L114">
        <v>1368</v>
      </c>
      <c r="N114">
        <v>1011</v>
      </c>
      <c r="O114" t="s">
        <v>634</v>
      </c>
      <c r="P114" t="s">
        <v>634</v>
      </c>
      <c r="Q114">
        <v>1</v>
      </c>
      <c r="X114">
        <v>0.03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239</v>
      </c>
      <c r="AG114">
        <v>3.7499999999999999E-2</v>
      </c>
      <c r="AH114">
        <v>2</v>
      </c>
      <c r="AI114">
        <v>16500046</v>
      </c>
      <c r="AJ114">
        <v>96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ROW(Source!A46)</f>
        <v>46</v>
      </c>
      <c r="B115">
        <v>16500047</v>
      </c>
      <c r="C115">
        <v>16500042</v>
      </c>
      <c r="D115">
        <v>15171018</v>
      </c>
      <c r="E115">
        <v>1</v>
      </c>
      <c r="F115">
        <v>1</v>
      </c>
      <c r="G115">
        <v>1</v>
      </c>
      <c r="H115">
        <v>3</v>
      </c>
      <c r="I115" t="s">
        <v>728</v>
      </c>
      <c r="J115" t="s">
        <v>729</v>
      </c>
      <c r="K115" t="s">
        <v>730</v>
      </c>
      <c r="L115">
        <v>1346</v>
      </c>
      <c r="N115">
        <v>1009</v>
      </c>
      <c r="O115" t="s">
        <v>303</v>
      </c>
      <c r="P115" t="s">
        <v>303</v>
      </c>
      <c r="Q115">
        <v>1</v>
      </c>
      <c r="X115">
        <v>0.2</v>
      </c>
      <c r="Y115">
        <v>1.82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224</v>
      </c>
      <c r="AG115">
        <v>0.2</v>
      </c>
      <c r="AH115">
        <v>2</v>
      </c>
      <c r="AI115">
        <v>16500047</v>
      </c>
      <c r="AJ115">
        <v>97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ROW(Source!A46)</f>
        <v>46</v>
      </c>
      <c r="B116">
        <v>16500048</v>
      </c>
      <c r="C116">
        <v>16500042</v>
      </c>
      <c r="D116">
        <v>15162572</v>
      </c>
      <c r="E116">
        <v>17</v>
      </c>
      <c r="F116">
        <v>1</v>
      </c>
      <c r="G116">
        <v>1</v>
      </c>
      <c r="H116">
        <v>3</v>
      </c>
      <c r="I116" t="s">
        <v>75</v>
      </c>
      <c r="J116" t="s">
        <v>224</v>
      </c>
      <c r="K116" t="s">
        <v>76</v>
      </c>
      <c r="L116">
        <v>1348</v>
      </c>
      <c r="N116">
        <v>1009</v>
      </c>
      <c r="O116" t="s">
        <v>288</v>
      </c>
      <c r="P116" t="s">
        <v>288</v>
      </c>
      <c r="Q116">
        <v>1000</v>
      </c>
      <c r="X116">
        <v>0.02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224</v>
      </c>
      <c r="AG116">
        <v>0.02</v>
      </c>
      <c r="AH116">
        <v>3</v>
      </c>
      <c r="AI116">
        <v>-1</v>
      </c>
      <c r="AJ116" t="s">
        <v>224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ROW(Source!A47)</f>
        <v>47</v>
      </c>
      <c r="B117">
        <v>16500043</v>
      </c>
      <c r="C117">
        <v>16500042</v>
      </c>
      <c r="D117">
        <v>15436556</v>
      </c>
      <c r="E117">
        <v>1</v>
      </c>
      <c r="F117">
        <v>1</v>
      </c>
      <c r="G117">
        <v>1</v>
      </c>
      <c r="H117">
        <v>1</v>
      </c>
      <c r="I117" t="s">
        <v>726</v>
      </c>
      <c r="J117" t="s">
        <v>224</v>
      </c>
      <c r="K117" t="s">
        <v>727</v>
      </c>
      <c r="L117">
        <v>1191</v>
      </c>
      <c r="N117">
        <v>1013</v>
      </c>
      <c r="O117" t="s">
        <v>628</v>
      </c>
      <c r="P117" t="s">
        <v>628</v>
      </c>
      <c r="Q117">
        <v>1</v>
      </c>
      <c r="X117">
        <v>20.02</v>
      </c>
      <c r="Y117">
        <v>0</v>
      </c>
      <c r="Z117">
        <v>0</v>
      </c>
      <c r="AA117">
        <v>0</v>
      </c>
      <c r="AB117">
        <v>9.6199999999999992</v>
      </c>
      <c r="AC117">
        <v>0</v>
      </c>
      <c r="AD117">
        <v>1</v>
      </c>
      <c r="AE117">
        <v>1</v>
      </c>
      <c r="AF117" t="s">
        <v>240</v>
      </c>
      <c r="AG117">
        <v>23.022999999999996</v>
      </c>
      <c r="AH117">
        <v>2</v>
      </c>
      <c r="AI117">
        <v>16500043</v>
      </c>
      <c r="AJ117">
        <v>99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ROW(Source!A47)</f>
        <v>47</v>
      </c>
      <c r="B118">
        <v>16500044</v>
      </c>
      <c r="C118">
        <v>16500042</v>
      </c>
      <c r="D118">
        <v>15430395</v>
      </c>
      <c r="E118">
        <v>1</v>
      </c>
      <c r="F118">
        <v>1</v>
      </c>
      <c r="G118">
        <v>1</v>
      </c>
      <c r="H118">
        <v>1</v>
      </c>
      <c r="I118" t="s">
        <v>629</v>
      </c>
      <c r="J118" t="s">
        <v>224</v>
      </c>
      <c r="K118" t="s">
        <v>630</v>
      </c>
      <c r="L118">
        <v>1191</v>
      </c>
      <c r="N118">
        <v>1013</v>
      </c>
      <c r="O118" t="s">
        <v>628</v>
      </c>
      <c r="P118" t="s">
        <v>628</v>
      </c>
      <c r="Q118">
        <v>1</v>
      </c>
      <c r="X118">
        <v>0.04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239</v>
      </c>
      <c r="AG118">
        <v>0.05</v>
      </c>
      <c r="AH118">
        <v>2</v>
      </c>
      <c r="AI118">
        <v>16500044</v>
      </c>
      <c r="AJ118">
        <v>100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ROW(Source!A47)</f>
        <v>47</v>
      </c>
      <c r="B119">
        <v>16500045</v>
      </c>
      <c r="C119">
        <v>16500042</v>
      </c>
      <c r="D119">
        <v>15247974</v>
      </c>
      <c r="E119">
        <v>1</v>
      </c>
      <c r="F119">
        <v>1</v>
      </c>
      <c r="G119">
        <v>1</v>
      </c>
      <c r="H119">
        <v>2</v>
      </c>
      <c r="I119" t="s">
        <v>640</v>
      </c>
      <c r="J119" t="s">
        <v>641</v>
      </c>
      <c r="K119" t="s">
        <v>642</v>
      </c>
      <c r="L119">
        <v>1368</v>
      </c>
      <c r="N119">
        <v>1011</v>
      </c>
      <c r="O119" t="s">
        <v>634</v>
      </c>
      <c r="P119" t="s">
        <v>634</v>
      </c>
      <c r="Q119">
        <v>1</v>
      </c>
      <c r="X119">
        <v>0.01</v>
      </c>
      <c r="Y119">
        <v>0</v>
      </c>
      <c r="Z119">
        <v>31.26</v>
      </c>
      <c r="AA119">
        <v>13.5</v>
      </c>
      <c r="AB119">
        <v>0</v>
      </c>
      <c r="AC119">
        <v>0</v>
      </c>
      <c r="AD119">
        <v>1</v>
      </c>
      <c r="AE119">
        <v>0</v>
      </c>
      <c r="AF119" t="s">
        <v>239</v>
      </c>
      <c r="AG119">
        <v>1.2500000000000001E-2</v>
      </c>
      <c r="AH119">
        <v>2</v>
      </c>
      <c r="AI119">
        <v>16500045</v>
      </c>
      <c r="AJ119">
        <v>101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ROW(Source!A47)</f>
        <v>47</v>
      </c>
      <c r="B120">
        <v>16500046</v>
      </c>
      <c r="C120">
        <v>16500042</v>
      </c>
      <c r="D120">
        <v>15249073</v>
      </c>
      <c r="E120">
        <v>1</v>
      </c>
      <c r="F120">
        <v>1</v>
      </c>
      <c r="G120">
        <v>1</v>
      </c>
      <c r="H120">
        <v>2</v>
      </c>
      <c r="I120" t="s">
        <v>631</v>
      </c>
      <c r="J120" t="s">
        <v>632</v>
      </c>
      <c r="K120" t="s">
        <v>633</v>
      </c>
      <c r="L120">
        <v>1368</v>
      </c>
      <c r="N120">
        <v>1011</v>
      </c>
      <c r="O120" t="s">
        <v>634</v>
      </c>
      <c r="P120" t="s">
        <v>634</v>
      </c>
      <c r="Q120">
        <v>1</v>
      </c>
      <c r="X120">
        <v>0.03</v>
      </c>
      <c r="Y120">
        <v>0</v>
      </c>
      <c r="Z120">
        <v>65.709999999999994</v>
      </c>
      <c r="AA120">
        <v>11.6</v>
      </c>
      <c r="AB120">
        <v>0</v>
      </c>
      <c r="AC120">
        <v>0</v>
      </c>
      <c r="AD120">
        <v>1</v>
      </c>
      <c r="AE120">
        <v>0</v>
      </c>
      <c r="AF120" t="s">
        <v>239</v>
      </c>
      <c r="AG120">
        <v>3.7499999999999999E-2</v>
      </c>
      <c r="AH120">
        <v>2</v>
      </c>
      <c r="AI120">
        <v>16500046</v>
      </c>
      <c r="AJ120">
        <v>102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ROW(Source!A47)</f>
        <v>47</v>
      </c>
      <c r="B121">
        <v>16500047</v>
      </c>
      <c r="C121">
        <v>16500042</v>
      </c>
      <c r="D121">
        <v>15171018</v>
      </c>
      <c r="E121">
        <v>1</v>
      </c>
      <c r="F121">
        <v>1</v>
      </c>
      <c r="G121">
        <v>1</v>
      </c>
      <c r="H121">
        <v>3</v>
      </c>
      <c r="I121" t="s">
        <v>728</v>
      </c>
      <c r="J121" t="s">
        <v>729</v>
      </c>
      <c r="K121" t="s">
        <v>730</v>
      </c>
      <c r="L121">
        <v>1346</v>
      </c>
      <c r="N121">
        <v>1009</v>
      </c>
      <c r="O121" t="s">
        <v>303</v>
      </c>
      <c r="P121" t="s">
        <v>303</v>
      </c>
      <c r="Q121">
        <v>1</v>
      </c>
      <c r="X121">
        <v>0.2</v>
      </c>
      <c r="Y121">
        <v>1.82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224</v>
      </c>
      <c r="AG121">
        <v>0.2</v>
      </c>
      <c r="AH121">
        <v>2</v>
      </c>
      <c r="AI121">
        <v>16500047</v>
      </c>
      <c r="AJ121">
        <v>103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ROW(Source!A47)</f>
        <v>47</v>
      </c>
      <c r="B122">
        <v>16500048</v>
      </c>
      <c r="C122">
        <v>16500042</v>
      </c>
      <c r="D122">
        <v>15162572</v>
      </c>
      <c r="E122">
        <v>17</v>
      </c>
      <c r="F122">
        <v>1</v>
      </c>
      <c r="G122">
        <v>1</v>
      </c>
      <c r="H122">
        <v>3</v>
      </c>
      <c r="I122" t="s">
        <v>75</v>
      </c>
      <c r="J122" t="s">
        <v>224</v>
      </c>
      <c r="K122" t="s">
        <v>76</v>
      </c>
      <c r="L122">
        <v>1348</v>
      </c>
      <c r="N122">
        <v>1009</v>
      </c>
      <c r="O122" t="s">
        <v>288</v>
      </c>
      <c r="P122" t="s">
        <v>288</v>
      </c>
      <c r="Q122">
        <v>1000</v>
      </c>
      <c r="X122">
        <v>0.02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224</v>
      </c>
      <c r="AG122">
        <v>0.02</v>
      </c>
      <c r="AH122">
        <v>3</v>
      </c>
      <c r="AI122">
        <v>-1</v>
      </c>
      <c r="AJ122" t="s">
        <v>224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ROW(Source!A50)</f>
        <v>50</v>
      </c>
      <c r="B123">
        <v>16500051</v>
      </c>
      <c r="C123">
        <v>16500050</v>
      </c>
      <c r="D123">
        <v>15435609</v>
      </c>
      <c r="E123">
        <v>1</v>
      </c>
      <c r="F123">
        <v>1</v>
      </c>
      <c r="G123">
        <v>1</v>
      </c>
      <c r="H123">
        <v>1</v>
      </c>
      <c r="I123" t="s">
        <v>731</v>
      </c>
      <c r="J123" t="s">
        <v>224</v>
      </c>
      <c r="K123" t="s">
        <v>732</v>
      </c>
      <c r="L123">
        <v>1191</v>
      </c>
      <c r="N123">
        <v>1013</v>
      </c>
      <c r="O123" t="s">
        <v>628</v>
      </c>
      <c r="P123" t="s">
        <v>628</v>
      </c>
      <c r="Q123">
        <v>1</v>
      </c>
      <c r="X123">
        <v>53.9</v>
      </c>
      <c r="Y123">
        <v>0</v>
      </c>
      <c r="Z123">
        <v>0</v>
      </c>
      <c r="AA123">
        <v>0</v>
      </c>
      <c r="AB123">
        <v>8.9700000000000006</v>
      </c>
      <c r="AC123">
        <v>0</v>
      </c>
      <c r="AD123">
        <v>1</v>
      </c>
      <c r="AE123">
        <v>1</v>
      </c>
      <c r="AF123" t="s">
        <v>240</v>
      </c>
      <c r="AG123">
        <v>61.984999999999992</v>
      </c>
      <c r="AH123">
        <v>2</v>
      </c>
      <c r="AI123">
        <v>16500051</v>
      </c>
      <c r="AJ123">
        <v>105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ROW(Source!A50)</f>
        <v>50</v>
      </c>
      <c r="B124">
        <v>16500052</v>
      </c>
      <c r="C124">
        <v>16500050</v>
      </c>
      <c r="D124">
        <v>15430395</v>
      </c>
      <c r="E124">
        <v>1</v>
      </c>
      <c r="F124">
        <v>1</v>
      </c>
      <c r="G124">
        <v>1</v>
      </c>
      <c r="H124">
        <v>1</v>
      </c>
      <c r="I124" t="s">
        <v>629</v>
      </c>
      <c r="J124" t="s">
        <v>224</v>
      </c>
      <c r="K124" t="s">
        <v>630</v>
      </c>
      <c r="L124">
        <v>1191</v>
      </c>
      <c r="N124">
        <v>1013</v>
      </c>
      <c r="O124" t="s">
        <v>628</v>
      </c>
      <c r="P124" t="s">
        <v>628</v>
      </c>
      <c r="Q124">
        <v>1</v>
      </c>
      <c r="X124">
        <v>0.18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239</v>
      </c>
      <c r="AG124">
        <v>0.22499999999999998</v>
      </c>
      <c r="AH124">
        <v>2</v>
      </c>
      <c r="AI124">
        <v>16500052</v>
      </c>
      <c r="AJ124">
        <v>106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ROW(Source!A50)</f>
        <v>50</v>
      </c>
      <c r="B125">
        <v>16500053</v>
      </c>
      <c r="C125">
        <v>16500050</v>
      </c>
      <c r="D125">
        <v>15247974</v>
      </c>
      <c r="E125">
        <v>1</v>
      </c>
      <c r="F125">
        <v>1</v>
      </c>
      <c r="G125">
        <v>1</v>
      </c>
      <c r="H125">
        <v>2</v>
      </c>
      <c r="I125" t="s">
        <v>640</v>
      </c>
      <c r="J125" t="s">
        <v>641</v>
      </c>
      <c r="K125" t="s">
        <v>642</v>
      </c>
      <c r="L125">
        <v>1368</v>
      </c>
      <c r="N125">
        <v>1011</v>
      </c>
      <c r="O125" t="s">
        <v>634</v>
      </c>
      <c r="P125" t="s">
        <v>634</v>
      </c>
      <c r="Q125">
        <v>1</v>
      </c>
      <c r="X125">
        <v>0.02</v>
      </c>
      <c r="Y125">
        <v>0</v>
      </c>
      <c r="Z125">
        <v>31.26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239</v>
      </c>
      <c r="AG125">
        <v>2.5000000000000001E-2</v>
      </c>
      <c r="AH125">
        <v>2</v>
      </c>
      <c r="AI125">
        <v>16500053</v>
      </c>
      <c r="AJ125">
        <v>107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ROW(Source!A50)</f>
        <v>50</v>
      </c>
      <c r="B126">
        <v>16500054</v>
      </c>
      <c r="C126">
        <v>16500050</v>
      </c>
      <c r="D126">
        <v>15249073</v>
      </c>
      <c r="E126">
        <v>1</v>
      </c>
      <c r="F126">
        <v>1</v>
      </c>
      <c r="G126">
        <v>1</v>
      </c>
      <c r="H126">
        <v>2</v>
      </c>
      <c r="I126" t="s">
        <v>631</v>
      </c>
      <c r="J126" t="s">
        <v>632</v>
      </c>
      <c r="K126" t="s">
        <v>633</v>
      </c>
      <c r="L126">
        <v>1368</v>
      </c>
      <c r="N126">
        <v>1011</v>
      </c>
      <c r="O126" t="s">
        <v>634</v>
      </c>
      <c r="P126" t="s">
        <v>634</v>
      </c>
      <c r="Q126">
        <v>1</v>
      </c>
      <c r="X126">
        <v>0.16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239</v>
      </c>
      <c r="AG126">
        <v>0.2</v>
      </c>
      <c r="AH126">
        <v>2</v>
      </c>
      <c r="AI126">
        <v>16500054</v>
      </c>
      <c r="AJ126">
        <v>108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ROW(Source!A50)</f>
        <v>50</v>
      </c>
      <c r="B127">
        <v>16500055</v>
      </c>
      <c r="C127">
        <v>16500050</v>
      </c>
      <c r="D127">
        <v>15170682</v>
      </c>
      <c r="E127">
        <v>1</v>
      </c>
      <c r="F127">
        <v>1</v>
      </c>
      <c r="G127">
        <v>1</v>
      </c>
      <c r="H127">
        <v>3</v>
      </c>
      <c r="I127" t="s">
        <v>733</v>
      </c>
      <c r="J127" t="s">
        <v>734</v>
      </c>
      <c r="K127" t="s">
        <v>735</v>
      </c>
      <c r="L127">
        <v>1327</v>
      </c>
      <c r="N127">
        <v>1005</v>
      </c>
      <c r="O127" t="s">
        <v>277</v>
      </c>
      <c r="P127" t="s">
        <v>277</v>
      </c>
      <c r="Q127">
        <v>1</v>
      </c>
      <c r="X127">
        <v>0.84</v>
      </c>
      <c r="Y127">
        <v>72.319999999999993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224</v>
      </c>
      <c r="AG127">
        <v>0.84</v>
      </c>
      <c r="AH127">
        <v>2</v>
      </c>
      <c r="AI127">
        <v>16500055</v>
      </c>
      <c r="AJ127">
        <v>109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ROW(Source!A50)</f>
        <v>50</v>
      </c>
      <c r="B128">
        <v>16500056</v>
      </c>
      <c r="C128">
        <v>16500050</v>
      </c>
      <c r="D128">
        <v>15171018</v>
      </c>
      <c r="E128">
        <v>1</v>
      </c>
      <c r="F128">
        <v>1</v>
      </c>
      <c r="G128">
        <v>1</v>
      </c>
      <c r="H128">
        <v>3</v>
      </c>
      <c r="I128" t="s">
        <v>728</v>
      </c>
      <c r="J128" t="s">
        <v>729</v>
      </c>
      <c r="K128" t="s">
        <v>730</v>
      </c>
      <c r="L128">
        <v>1346</v>
      </c>
      <c r="N128">
        <v>1009</v>
      </c>
      <c r="O128" t="s">
        <v>303</v>
      </c>
      <c r="P128" t="s">
        <v>303</v>
      </c>
      <c r="Q128">
        <v>1</v>
      </c>
      <c r="X128">
        <v>0.31</v>
      </c>
      <c r="Y128">
        <v>1.82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224</v>
      </c>
      <c r="AG128">
        <v>0.31</v>
      </c>
      <c r="AH128">
        <v>2</v>
      </c>
      <c r="AI128">
        <v>16500056</v>
      </c>
      <c r="AJ128">
        <v>110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ROW(Source!A50)</f>
        <v>50</v>
      </c>
      <c r="B129">
        <v>16500057</v>
      </c>
      <c r="C129">
        <v>16500050</v>
      </c>
      <c r="D129">
        <v>15163054</v>
      </c>
      <c r="E129">
        <v>17</v>
      </c>
      <c r="F129">
        <v>1</v>
      </c>
      <c r="G129">
        <v>1</v>
      </c>
      <c r="H129">
        <v>3</v>
      </c>
      <c r="I129" t="s">
        <v>77</v>
      </c>
      <c r="J129" t="s">
        <v>224</v>
      </c>
      <c r="K129" t="s">
        <v>78</v>
      </c>
      <c r="L129">
        <v>1348</v>
      </c>
      <c r="N129">
        <v>1009</v>
      </c>
      <c r="O129" t="s">
        <v>288</v>
      </c>
      <c r="P129" t="s">
        <v>288</v>
      </c>
      <c r="Q129">
        <v>1000</v>
      </c>
      <c r="X129">
        <v>6.9000000000000006E-2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224</v>
      </c>
      <c r="AG129">
        <v>6.9000000000000006E-2</v>
      </c>
      <c r="AH129">
        <v>3</v>
      </c>
      <c r="AI129">
        <v>-1</v>
      </c>
      <c r="AJ129" t="s">
        <v>224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ROW(Source!A50)</f>
        <v>50</v>
      </c>
      <c r="B130">
        <v>16500058</v>
      </c>
      <c r="C130">
        <v>16500050</v>
      </c>
      <c r="D130">
        <v>15204729</v>
      </c>
      <c r="E130">
        <v>1</v>
      </c>
      <c r="F130">
        <v>1</v>
      </c>
      <c r="G130">
        <v>1</v>
      </c>
      <c r="H130">
        <v>3</v>
      </c>
      <c r="I130" t="s">
        <v>736</v>
      </c>
      <c r="J130" t="s">
        <v>737</v>
      </c>
      <c r="K130" t="s">
        <v>738</v>
      </c>
      <c r="L130">
        <v>1348</v>
      </c>
      <c r="N130">
        <v>1009</v>
      </c>
      <c r="O130" t="s">
        <v>288</v>
      </c>
      <c r="P130" t="s">
        <v>288</v>
      </c>
      <c r="Q130">
        <v>1000</v>
      </c>
      <c r="X130">
        <v>5.5E-2</v>
      </c>
      <c r="Y130">
        <v>4294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224</v>
      </c>
      <c r="AG130">
        <v>5.5E-2</v>
      </c>
      <c r="AH130">
        <v>2</v>
      </c>
      <c r="AI130">
        <v>16500058</v>
      </c>
      <c r="AJ130">
        <v>112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ROW(Source!A51)</f>
        <v>51</v>
      </c>
      <c r="B131">
        <v>16500051</v>
      </c>
      <c r="C131">
        <v>16500050</v>
      </c>
      <c r="D131">
        <v>15435609</v>
      </c>
      <c r="E131">
        <v>1</v>
      </c>
      <c r="F131">
        <v>1</v>
      </c>
      <c r="G131">
        <v>1</v>
      </c>
      <c r="H131">
        <v>1</v>
      </c>
      <c r="I131" t="s">
        <v>731</v>
      </c>
      <c r="J131" t="s">
        <v>224</v>
      </c>
      <c r="K131" t="s">
        <v>732</v>
      </c>
      <c r="L131">
        <v>1191</v>
      </c>
      <c r="N131">
        <v>1013</v>
      </c>
      <c r="O131" t="s">
        <v>628</v>
      </c>
      <c r="P131" t="s">
        <v>628</v>
      </c>
      <c r="Q131">
        <v>1</v>
      </c>
      <c r="X131">
        <v>53.9</v>
      </c>
      <c r="Y131">
        <v>0</v>
      </c>
      <c r="Z131">
        <v>0</v>
      </c>
      <c r="AA131">
        <v>0</v>
      </c>
      <c r="AB131">
        <v>8.9700000000000006</v>
      </c>
      <c r="AC131">
        <v>0</v>
      </c>
      <c r="AD131">
        <v>1</v>
      </c>
      <c r="AE131">
        <v>1</v>
      </c>
      <c r="AF131" t="s">
        <v>240</v>
      </c>
      <c r="AG131">
        <v>61.984999999999992</v>
      </c>
      <c r="AH131">
        <v>2</v>
      </c>
      <c r="AI131">
        <v>16500051</v>
      </c>
      <c r="AJ131">
        <v>113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ROW(Source!A51)</f>
        <v>51</v>
      </c>
      <c r="B132">
        <v>16500052</v>
      </c>
      <c r="C132">
        <v>16500050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629</v>
      </c>
      <c r="J132" t="s">
        <v>224</v>
      </c>
      <c r="K132" t="s">
        <v>630</v>
      </c>
      <c r="L132">
        <v>1191</v>
      </c>
      <c r="N132">
        <v>1013</v>
      </c>
      <c r="O132" t="s">
        <v>628</v>
      </c>
      <c r="P132" t="s">
        <v>628</v>
      </c>
      <c r="Q132">
        <v>1</v>
      </c>
      <c r="X132">
        <v>0.18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239</v>
      </c>
      <c r="AG132">
        <v>0.22499999999999998</v>
      </c>
      <c r="AH132">
        <v>2</v>
      </c>
      <c r="AI132">
        <v>16500052</v>
      </c>
      <c r="AJ132">
        <v>114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ROW(Source!A51)</f>
        <v>51</v>
      </c>
      <c r="B133">
        <v>16500053</v>
      </c>
      <c r="C133">
        <v>16500050</v>
      </c>
      <c r="D133">
        <v>15247974</v>
      </c>
      <c r="E133">
        <v>1</v>
      </c>
      <c r="F133">
        <v>1</v>
      </c>
      <c r="G133">
        <v>1</v>
      </c>
      <c r="H133">
        <v>2</v>
      </c>
      <c r="I133" t="s">
        <v>640</v>
      </c>
      <c r="J133" t="s">
        <v>641</v>
      </c>
      <c r="K133" t="s">
        <v>642</v>
      </c>
      <c r="L133">
        <v>1368</v>
      </c>
      <c r="N133">
        <v>1011</v>
      </c>
      <c r="O133" t="s">
        <v>634</v>
      </c>
      <c r="P133" t="s">
        <v>634</v>
      </c>
      <c r="Q133">
        <v>1</v>
      </c>
      <c r="X133">
        <v>0.02</v>
      </c>
      <c r="Y133">
        <v>0</v>
      </c>
      <c r="Z133">
        <v>31.26</v>
      </c>
      <c r="AA133">
        <v>13.5</v>
      </c>
      <c r="AB133">
        <v>0</v>
      </c>
      <c r="AC133">
        <v>0</v>
      </c>
      <c r="AD133">
        <v>1</v>
      </c>
      <c r="AE133">
        <v>0</v>
      </c>
      <c r="AF133" t="s">
        <v>239</v>
      </c>
      <c r="AG133">
        <v>2.5000000000000001E-2</v>
      </c>
      <c r="AH133">
        <v>2</v>
      </c>
      <c r="AI133">
        <v>16500053</v>
      </c>
      <c r="AJ133">
        <v>115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ROW(Source!A51)</f>
        <v>51</v>
      </c>
      <c r="B134">
        <v>16500054</v>
      </c>
      <c r="C134">
        <v>16500050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631</v>
      </c>
      <c r="J134" t="s">
        <v>632</v>
      </c>
      <c r="K134" t="s">
        <v>633</v>
      </c>
      <c r="L134">
        <v>1368</v>
      </c>
      <c r="N134">
        <v>1011</v>
      </c>
      <c r="O134" t="s">
        <v>634</v>
      </c>
      <c r="P134" t="s">
        <v>634</v>
      </c>
      <c r="Q134">
        <v>1</v>
      </c>
      <c r="X134">
        <v>0.16</v>
      </c>
      <c r="Y134">
        <v>0</v>
      </c>
      <c r="Z134">
        <v>65.709999999999994</v>
      </c>
      <c r="AA134">
        <v>11.6</v>
      </c>
      <c r="AB134">
        <v>0</v>
      </c>
      <c r="AC134">
        <v>0</v>
      </c>
      <c r="AD134">
        <v>1</v>
      </c>
      <c r="AE134">
        <v>0</v>
      </c>
      <c r="AF134" t="s">
        <v>239</v>
      </c>
      <c r="AG134">
        <v>0.2</v>
      </c>
      <c r="AH134">
        <v>2</v>
      </c>
      <c r="AI134">
        <v>16500054</v>
      </c>
      <c r="AJ134">
        <v>116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ROW(Source!A51)</f>
        <v>51</v>
      </c>
      <c r="B135">
        <v>16500055</v>
      </c>
      <c r="C135">
        <v>16500050</v>
      </c>
      <c r="D135">
        <v>15170682</v>
      </c>
      <c r="E135">
        <v>1</v>
      </c>
      <c r="F135">
        <v>1</v>
      </c>
      <c r="G135">
        <v>1</v>
      </c>
      <c r="H135">
        <v>3</v>
      </c>
      <c r="I135" t="s">
        <v>733</v>
      </c>
      <c r="J135" t="s">
        <v>734</v>
      </c>
      <c r="K135" t="s">
        <v>735</v>
      </c>
      <c r="L135">
        <v>1327</v>
      </c>
      <c r="N135">
        <v>1005</v>
      </c>
      <c r="O135" t="s">
        <v>277</v>
      </c>
      <c r="P135" t="s">
        <v>277</v>
      </c>
      <c r="Q135">
        <v>1</v>
      </c>
      <c r="X135">
        <v>0.84</v>
      </c>
      <c r="Y135">
        <v>72.319999999999993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224</v>
      </c>
      <c r="AG135">
        <v>0.84</v>
      </c>
      <c r="AH135">
        <v>2</v>
      </c>
      <c r="AI135">
        <v>16500055</v>
      </c>
      <c r="AJ135">
        <v>117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ROW(Source!A51)</f>
        <v>51</v>
      </c>
      <c r="B136">
        <v>16500056</v>
      </c>
      <c r="C136">
        <v>16500050</v>
      </c>
      <c r="D136">
        <v>15171018</v>
      </c>
      <c r="E136">
        <v>1</v>
      </c>
      <c r="F136">
        <v>1</v>
      </c>
      <c r="G136">
        <v>1</v>
      </c>
      <c r="H136">
        <v>3</v>
      </c>
      <c r="I136" t="s">
        <v>728</v>
      </c>
      <c r="J136" t="s">
        <v>729</v>
      </c>
      <c r="K136" t="s">
        <v>730</v>
      </c>
      <c r="L136">
        <v>1346</v>
      </c>
      <c r="N136">
        <v>1009</v>
      </c>
      <c r="O136" t="s">
        <v>303</v>
      </c>
      <c r="P136" t="s">
        <v>303</v>
      </c>
      <c r="Q136">
        <v>1</v>
      </c>
      <c r="X136">
        <v>0.31</v>
      </c>
      <c r="Y136">
        <v>1.82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224</v>
      </c>
      <c r="AG136">
        <v>0.31</v>
      </c>
      <c r="AH136">
        <v>2</v>
      </c>
      <c r="AI136">
        <v>16500056</v>
      </c>
      <c r="AJ136">
        <v>118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ROW(Source!A51)</f>
        <v>51</v>
      </c>
      <c r="B137">
        <v>16500057</v>
      </c>
      <c r="C137">
        <v>16500050</v>
      </c>
      <c r="D137">
        <v>15163054</v>
      </c>
      <c r="E137">
        <v>17</v>
      </c>
      <c r="F137">
        <v>1</v>
      </c>
      <c r="G137">
        <v>1</v>
      </c>
      <c r="H137">
        <v>3</v>
      </c>
      <c r="I137" t="s">
        <v>77</v>
      </c>
      <c r="J137" t="s">
        <v>224</v>
      </c>
      <c r="K137" t="s">
        <v>78</v>
      </c>
      <c r="L137">
        <v>1348</v>
      </c>
      <c r="N137">
        <v>1009</v>
      </c>
      <c r="O137" t="s">
        <v>288</v>
      </c>
      <c r="P137" t="s">
        <v>288</v>
      </c>
      <c r="Q137">
        <v>1000</v>
      </c>
      <c r="X137">
        <v>6.9000000000000006E-2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224</v>
      </c>
      <c r="AG137">
        <v>6.9000000000000006E-2</v>
      </c>
      <c r="AH137">
        <v>3</v>
      </c>
      <c r="AI137">
        <v>-1</v>
      </c>
      <c r="AJ137" t="s">
        <v>224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ROW(Source!A51)</f>
        <v>51</v>
      </c>
      <c r="B138">
        <v>16500058</v>
      </c>
      <c r="C138">
        <v>16500050</v>
      </c>
      <c r="D138">
        <v>15204729</v>
      </c>
      <c r="E138">
        <v>1</v>
      </c>
      <c r="F138">
        <v>1</v>
      </c>
      <c r="G138">
        <v>1</v>
      </c>
      <c r="H138">
        <v>3</v>
      </c>
      <c r="I138" t="s">
        <v>736</v>
      </c>
      <c r="J138" t="s">
        <v>737</v>
      </c>
      <c r="K138" t="s">
        <v>738</v>
      </c>
      <c r="L138">
        <v>1348</v>
      </c>
      <c r="N138">
        <v>1009</v>
      </c>
      <c r="O138" t="s">
        <v>288</v>
      </c>
      <c r="P138" t="s">
        <v>288</v>
      </c>
      <c r="Q138">
        <v>1000</v>
      </c>
      <c r="X138">
        <v>5.5E-2</v>
      </c>
      <c r="Y138">
        <v>4294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224</v>
      </c>
      <c r="AG138">
        <v>5.5E-2</v>
      </c>
      <c r="AH138">
        <v>2</v>
      </c>
      <c r="AI138">
        <v>16500058</v>
      </c>
      <c r="AJ138">
        <v>120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ROW(Source!A54)</f>
        <v>54</v>
      </c>
      <c r="B139">
        <v>16506802</v>
      </c>
      <c r="C139">
        <v>16506801</v>
      </c>
      <c r="D139">
        <v>15430397</v>
      </c>
      <c r="E139">
        <v>1</v>
      </c>
      <c r="F139">
        <v>1</v>
      </c>
      <c r="G139">
        <v>1</v>
      </c>
      <c r="H139">
        <v>1</v>
      </c>
      <c r="I139" t="s">
        <v>739</v>
      </c>
      <c r="J139" t="s">
        <v>224</v>
      </c>
      <c r="K139" t="s">
        <v>740</v>
      </c>
      <c r="L139">
        <v>1191</v>
      </c>
      <c r="N139">
        <v>1013</v>
      </c>
      <c r="O139" t="s">
        <v>628</v>
      </c>
      <c r="P139" t="s">
        <v>628</v>
      </c>
      <c r="Q139">
        <v>1</v>
      </c>
      <c r="X139">
        <v>74.239999999999995</v>
      </c>
      <c r="Y139">
        <v>0</v>
      </c>
      <c r="Z139">
        <v>0</v>
      </c>
      <c r="AA139">
        <v>0</v>
      </c>
      <c r="AB139">
        <v>9.4</v>
      </c>
      <c r="AC139">
        <v>0</v>
      </c>
      <c r="AD139">
        <v>1</v>
      </c>
      <c r="AE139">
        <v>1</v>
      </c>
      <c r="AF139" t="s">
        <v>224</v>
      </c>
      <c r="AG139">
        <v>74.239999999999995</v>
      </c>
      <c r="AH139">
        <v>2</v>
      </c>
      <c r="AI139">
        <v>16506802</v>
      </c>
      <c r="AJ139">
        <v>121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ROW(Source!A54)</f>
        <v>54</v>
      </c>
      <c r="B140">
        <v>16506803</v>
      </c>
      <c r="C140">
        <v>16506801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629</v>
      </c>
      <c r="J140" t="s">
        <v>224</v>
      </c>
      <c r="K140" t="s">
        <v>630</v>
      </c>
      <c r="L140">
        <v>1191</v>
      </c>
      <c r="N140">
        <v>1013</v>
      </c>
      <c r="O140" t="s">
        <v>628</v>
      </c>
      <c r="P140" t="s">
        <v>628</v>
      </c>
      <c r="Q140">
        <v>1</v>
      </c>
      <c r="X140">
        <v>5.0199999999999996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224</v>
      </c>
      <c r="AG140">
        <v>5.0199999999999996</v>
      </c>
      <c r="AH140">
        <v>2</v>
      </c>
      <c r="AI140">
        <v>16506803</v>
      </c>
      <c r="AJ140">
        <v>122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ROW(Source!A54)</f>
        <v>54</v>
      </c>
      <c r="B141">
        <v>16506804</v>
      </c>
      <c r="C141">
        <v>16506801</v>
      </c>
      <c r="D141">
        <v>15247974</v>
      </c>
      <c r="E141">
        <v>1</v>
      </c>
      <c r="F141">
        <v>1</v>
      </c>
      <c r="G141">
        <v>1</v>
      </c>
      <c r="H141">
        <v>2</v>
      </c>
      <c r="I141" t="s">
        <v>640</v>
      </c>
      <c r="J141" t="s">
        <v>641</v>
      </c>
      <c r="K141" t="s">
        <v>642</v>
      </c>
      <c r="L141">
        <v>1368</v>
      </c>
      <c r="N141">
        <v>1011</v>
      </c>
      <c r="O141" t="s">
        <v>634</v>
      </c>
      <c r="P141" t="s">
        <v>634</v>
      </c>
      <c r="Q141">
        <v>1</v>
      </c>
      <c r="X141">
        <v>0.26</v>
      </c>
      <c r="Y141">
        <v>0</v>
      </c>
      <c r="Z141">
        <v>31.26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224</v>
      </c>
      <c r="AG141">
        <v>0.26</v>
      </c>
      <c r="AH141">
        <v>2</v>
      </c>
      <c r="AI141">
        <v>16506804</v>
      </c>
      <c r="AJ141">
        <v>123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ROW(Source!A54)</f>
        <v>54</v>
      </c>
      <c r="B142">
        <v>16506805</v>
      </c>
      <c r="C142">
        <v>16506801</v>
      </c>
      <c r="D142">
        <v>15248130</v>
      </c>
      <c r="E142">
        <v>1</v>
      </c>
      <c r="F142">
        <v>1</v>
      </c>
      <c r="G142">
        <v>1</v>
      </c>
      <c r="H142">
        <v>2</v>
      </c>
      <c r="I142" t="s">
        <v>741</v>
      </c>
      <c r="J142" t="s">
        <v>742</v>
      </c>
      <c r="K142" t="s">
        <v>743</v>
      </c>
      <c r="L142">
        <v>1368</v>
      </c>
      <c r="N142">
        <v>1011</v>
      </c>
      <c r="O142" t="s">
        <v>634</v>
      </c>
      <c r="P142" t="s">
        <v>634</v>
      </c>
      <c r="Q142">
        <v>1</v>
      </c>
      <c r="X142">
        <v>4.76</v>
      </c>
      <c r="Y142">
        <v>0</v>
      </c>
      <c r="Z142">
        <v>14.15</v>
      </c>
      <c r="AA142">
        <v>8.91</v>
      </c>
      <c r="AB142">
        <v>0</v>
      </c>
      <c r="AC142">
        <v>0</v>
      </c>
      <c r="AD142">
        <v>1</v>
      </c>
      <c r="AE142">
        <v>0</v>
      </c>
      <c r="AF142" t="s">
        <v>224</v>
      </c>
      <c r="AG142">
        <v>4.76</v>
      </c>
      <c r="AH142">
        <v>2</v>
      </c>
      <c r="AI142">
        <v>16506805</v>
      </c>
      <c r="AJ142">
        <v>124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ROW(Source!A54)</f>
        <v>54</v>
      </c>
      <c r="B143">
        <v>16506806</v>
      </c>
      <c r="C143">
        <v>16506801</v>
      </c>
      <c r="D143">
        <v>15170041</v>
      </c>
      <c r="E143">
        <v>1</v>
      </c>
      <c r="F143">
        <v>1</v>
      </c>
      <c r="G143">
        <v>1</v>
      </c>
      <c r="H143">
        <v>3</v>
      </c>
      <c r="I143" t="s">
        <v>744</v>
      </c>
      <c r="J143" t="s">
        <v>745</v>
      </c>
      <c r="K143" t="s">
        <v>746</v>
      </c>
      <c r="L143">
        <v>1348</v>
      </c>
      <c r="N143">
        <v>1009</v>
      </c>
      <c r="O143" t="s">
        <v>288</v>
      </c>
      <c r="P143" t="s">
        <v>288</v>
      </c>
      <c r="Q143">
        <v>1000</v>
      </c>
      <c r="X143">
        <v>1.2E-4</v>
      </c>
      <c r="Y143">
        <v>8475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224</v>
      </c>
      <c r="AG143">
        <v>1.2E-4</v>
      </c>
      <c r="AH143">
        <v>2</v>
      </c>
      <c r="AI143">
        <v>16506806</v>
      </c>
      <c r="AJ143">
        <v>125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ROW(Source!A54)</f>
        <v>54</v>
      </c>
      <c r="B144">
        <v>16506807</v>
      </c>
      <c r="C144">
        <v>16506801</v>
      </c>
      <c r="D144">
        <v>15172819</v>
      </c>
      <c r="E144">
        <v>1</v>
      </c>
      <c r="F144">
        <v>1</v>
      </c>
      <c r="G144">
        <v>1</v>
      </c>
      <c r="H144">
        <v>3</v>
      </c>
      <c r="I144" t="s">
        <v>747</v>
      </c>
      <c r="J144" t="s">
        <v>748</v>
      </c>
      <c r="K144" t="s">
        <v>749</v>
      </c>
      <c r="L144">
        <v>1339</v>
      </c>
      <c r="N144">
        <v>1007</v>
      </c>
      <c r="O144" t="s">
        <v>691</v>
      </c>
      <c r="P144" t="s">
        <v>691</v>
      </c>
      <c r="Q144">
        <v>1</v>
      </c>
      <c r="X144">
        <v>1.58</v>
      </c>
      <c r="Y144">
        <v>510.4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224</v>
      </c>
      <c r="AG144">
        <v>1.58</v>
      </c>
      <c r="AH144">
        <v>2</v>
      </c>
      <c r="AI144">
        <v>16506807</v>
      </c>
      <c r="AJ144">
        <v>126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ROW(Source!A54)</f>
        <v>54</v>
      </c>
      <c r="B145">
        <v>16506808</v>
      </c>
      <c r="C145">
        <v>16506801</v>
      </c>
      <c r="D145">
        <v>15172875</v>
      </c>
      <c r="E145">
        <v>1</v>
      </c>
      <c r="F145">
        <v>1</v>
      </c>
      <c r="G145">
        <v>1</v>
      </c>
      <c r="H145">
        <v>3</v>
      </c>
      <c r="I145" t="s">
        <v>750</v>
      </c>
      <c r="J145" t="s">
        <v>751</v>
      </c>
      <c r="K145" t="s">
        <v>752</v>
      </c>
      <c r="L145">
        <v>1339</v>
      </c>
      <c r="N145">
        <v>1007</v>
      </c>
      <c r="O145" t="s">
        <v>691</v>
      </c>
      <c r="P145" t="s">
        <v>691</v>
      </c>
      <c r="Q145">
        <v>1</v>
      </c>
      <c r="X145">
        <v>0.2</v>
      </c>
      <c r="Y145">
        <v>517.91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224</v>
      </c>
      <c r="AG145">
        <v>0.2</v>
      </c>
      <c r="AH145">
        <v>2</v>
      </c>
      <c r="AI145">
        <v>16506808</v>
      </c>
      <c r="AJ145">
        <v>127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ROW(Source!A54)</f>
        <v>54</v>
      </c>
      <c r="B146">
        <v>16506809</v>
      </c>
      <c r="C146">
        <v>16506801</v>
      </c>
      <c r="D146">
        <v>15189930</v>
      </c>
      <c r="E146">
        <v>1</v>
      </c>
      <c r="F146">
        <v>1</v>
      </c>
      <c r="G146">
        <v>1</v>
      </c>
      <c r="H146">
        <v>3</v>
      </c>
      <c r="I146" t="s">
        <v>753</v>
      </c>
      <c r="J146" t="s">
        <v>754</v>
      </c>
      <c r="K146" t="s">
        <v>755</v>
      </c>
      <c r="L146">
        <v>1327</v>
      </c>
      <c r="N146">
        <v>1005</v>
      </c>
      <c r="O146" t="s">
        <v>277</v>
      </c>
      <c r="P146" t="s">
        <v>277</v>
      </c>
      <c r="Q146">
        <v>1</v>
      </c>
      <c r="X146">
        <v>5.28</v>
      </c>
      <c r="Y146">
        <v>28.25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224</v>
      </c>
      <c r="AG146">
        <v>5.28</v>
      </c>
      <c r="AH146">
        <v>2</v>
      </c>
      <c r="AI146">
        <v>16506809</v>
      </c>
      <c r="AJ146">
        <v>128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ROW(Source!A55)</f>
        <v>55</v>
      </c>
      <c r="B147">
        <v>16506802</v>
      </c>
      <c r="C147">
        <v>16506801</v>
      </c>
      <c r="D147">
        <v>15430397</v>
      </c>
      <c r="E147">
        <v>1</v>
      </c>
      <c r="F147">
        <v>1</v>
      </c>
      <c r="G147">
        <v>1</v>
      </c>
      <c r="H147">
        <v>1</v>
      </c>
      <c r="I147" t="s">
        <v>739</v>
      </c>
      <c r="J147" t="s">
        <v>224</v>
      </c>
      <c r="K147" t="s">
        <v>740</v>
      </c>
      <c r="L147">
        <v>1191</v>
      </c>
      <c r="N147">
        <v>1013</v>
      </c>
      <c r="O147" t="s">
        <v>628</v>
      </c>
      <c r="P147" t="s">
        <v>628</v>
      </c>
      <c r="Q147">
        <v>1</v>
      </c>
      <c r="X147">
        <v>74.239999999999995</v>
      </c>
      <c r="Y147">
        <v>0</v>
      </c>
      <c r="Z147">
        <v>0</v>
      </c>
      <c r="AA147">
        <v>0</v>
      </c>
      <c r="AB147">
        <v>9.4</v>
      </c>
      <c r="AC147">
        <v>0</v>
      </c>
      <c r="AD147">
        <v>1</v>
      </c>
      <c r="AE147">
        <v>1</v>
      </c>
      <c r="AF147" t="s">
        <v>224</v>
      </c>
      <c r="AG147">
        <v>74.239999999999995</v>
      </c>
      <c r="AH147">
        <v>2</v>
      </c>
      <c r="AI147">
        <v>16506802</v>
      </c>
      <c r="AJ147">
        <v>129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ROW(Source!A55)</f>
        <v>55</v>
      </c>
      <c r="B148">
        <v>16506803</v>
      </c>
      <c r="C148">
        <v>16506801</v>
      </c>
      <c r="D148">
        <v>15430395</v>
      </c>
      <c r="E148">
        <v>1</v>
      </c>
      <c r="F148">
        <v>1</v>
      </c>
      <c r="G148">
        <v>1</v>
      </c>
      <c r="H148">
        <v>1</v>
      </c>
      <c r="I148" t="s">
        <v>629</v>
      </c>
      <c r="J148" t="s">
        <v>224</v>
      </c>
      <c r="K148" t="s">
        <v>630</v>
      </c>
      <c r="L148">
        <v>1191</v>
      </c>
      <c r="N148">
        <v>1013</v>
      </c>
      <c r="O148" t="s">
        <v>628</v>
      </c>
      <c r="P148" t="s">
        <v>628</v>
      </c>
      <c r="Q148">
        <v>1</v>
      </c>
      <c r="X148">
        <v>5.0199999999999996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224</v>
      </c>
      <c r="AG148">
        <v>5.0199999999999996</v>
      </c>
      <c r="AH148">
        <v>2</v>
      </c>
      <c r="AI148">
        <v>16506803</v>
      </c>
      <c r="AJ148">
        <v>130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ROW(Source!A55)</f>
        <v>55</v>
      </c>
      <c r="B149">
        <v>16506804</v>
      </c>
      <c r="C149">
        <v>16506801</v>
      </c>
      <c r="D149">
        <v>15247974</v>
      </c>
      <c r="E149">
        <v>1</v>
      </c>
      <c r="F149">
        <v>1</v>
      </c>
      <c r="G149">
        <v>1</v>
      </c>
      <c r="H149">
        <v>2</v>
      </c>
      <c r="I149" t="s">
        <v>640</v>
      </c>
      <c r="J149" t="s">
        <v>641</v>
      </c>
      <c r="K149" t="s">
        <v>642</v>
      </c>
      <c r="L149">
        <v>1368</v>
      </c>
      <c r="N149">
        <v>1011</v>
      </c>
      <c r="O149" t="s">
        <v>634</v>
      </c>
      <c r="P149" t="s">
        <v>634</v>
      </c>
      <c r="Q149">
        <v>1</v>
      </c>
      <c r="X149">
        <v>0.26</v>
      </c>
      <c r="Y149">
        <v>0</v>
      </c>
      <c r="Z149">
        <v>31.26</v>
      </c>
      <c r="AA149">
        <v>13.5</v>
      </c>
      <c r="AB149">
        <v>0</v>
      </c>
      <c r="AC149">
        <v>0</v>
      </c>
      <c r="AD149">
        <v>1</v>
      </c>
      <c r="AE149">
        <v>0</v>
      </c>
      <c r="AF149" t="s">
        <v>224</v>
      </c>
      <c r="AG149">
        <v>0.26</v>
      </c>
      <c r="AH149">
        <v>2</v>
      </c>
      <c r="AI149">
        <v>16506804</v>
      </c>
      <c r="AJ149">
        <v>131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ROW(Source!A55)</f>
        <v>55</v>
      </c>
      <c r="B150">
        <v>16506805</v>
      </c>
      <c r="C150">
        <v>16506801</v>
      </c>
      <c r="D150">
        <v>15248130</v>
      </c>
      <c r="E150">
        <v>1</v>
      </c>
      <c r="F150">
        <v>1</v>
      </c>
      <c r="G150">
        <v>1</v>
      </c>
      <c r="H150">
        <v>2</v>
      </c>
      <c r="I150" t="s">
        <v>741</v>
      </c>
      <c r="J150" t="s">
        <v>742</v>
      </c>
      <c r="K150" t="s">
        <v>743</v>
      </c>
      <c r="L150">
        <v>1368</v>
      </c>
      <c r="N150">
        <v>1011</v>
      </c>
      <c r="O150" t="s">
        <v>634</v>
      </c>
      <c r="P150" t="s">
        <v>634</v>
      </c>
      <c r="Q150">
        <v>1</v>
      </c>
      <c r="X150">
        <v>4.76</v>
      </c>
      <c r="Y150">
        <v>0</v>
      </c>
      <c r="Z150">
        <v>14.15</v>
      </c>
      <c r="AA150">
        <v>8.91</v>
      </c>
      <c r="AB150">
        <v>0</v>
      </c>
      <c r="AC150">
        <v>0</v>
      </c>
      <c r="AD150">
        <v>1</v>
      </c>
      <c r="AE150">
        <v>0</v>
      </c>
      <c r="AF150" t="s">
        <v>224</v>
      </c>
      <c r="AG150">
        <v>4.76</v>
      </c>
      <c r="AH150">
        <v>2</v>
      </c>
      <c r="AI150">
        <v>16506805</v>
      </c>
      <c r="AJ150">
        <v>132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ROW(Source!A55)</f>
        <v>55</v>
      </c>
      <c r="B151">
        <v>16506806</v>
      </c>
      <c r="C151">
        <v>16506801</v>
      </c>
      <c r="D151">
        <v>15170041</v>
      </c>
      <c r="E151">
        <v>1</v>
      </c>
      <c r="F151">
        <v>1</v>
      </c>
      <c r="G151">
        <v>1</v>
      </c>
      <c r="H151">
        <v>3</v>
      </c>
      <c r="I151" t="s">
        <v>744</v>
      </c>
      <c r="J151" t="s">
        <v>745</v>
      </c>
      <c r="K151" t="s">
        <v>746</v>
      </c>
      <c r="L151">
        <v>1348</v>
      </c>
      <c r="N151">
        <v>1009</v>
      </c>
      <c r="O151" t="s">
        <v>288</v>
      </c>
      <c r="P151" t="s">
        <v>288</v>
      </c>
      <c r="Q151">
        <v>1000</v>
      </c>
      <c r="X151">
        <v>1.2E-4</v>
      </c>
      <c r="Y151">
        <v>8475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224</v>
      </c>
      <c r="AG151">
        <v>1.2E-4</v>
      </c>
      <c r="AH151">
        <v>2</v>
      </c>
      <c r="AI151">
        <v>16506806</v>
      </c>
      <c r="AJ151">
        <v>133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ROW(Source!A55)</f>
        <v>55</v>
      </c>
      <c r="B152">
        <v>16506807</v>
      </c>
      <c r="C152">
        <v>16506801</v>
      </c>
      <c r="D152">
        <v>15172819</v>
      </c>
      <c r="E152">
        <v>1</v>
      </c>
      <c r="F152">
        <v>1</v>
      </c>
      <c r="G152">
        <v>1</v>
      </c>
      <c r="H152">
        <v>3</v>
      </c>
      <c r="I152" t="s">
        <v>747</v>
      </c>
      <c r="J152" t="s">
        <v>748</v>
      </c>
      <c r="K152" t="s">
        <v>749</v>
      </c>
      <c r="L152">
        <v>1339</v>
      </c>
      <c r="N152">
        <v>1007</v>
      </c>
      <c r="O152" t="s">
        <v>691</v>
      </c>
      <c r="P152" t="s">
        <v>691</v>
      </c>
      <c r="Q152">
        <v>1</v>
      </c>
      <c r="X152">
        <v>1.58</v>
      </c>
      <c r="Y152">
        <v>510.4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224</v>
      </c>
      <c r="AG152">
        <v>1.58</v>
      </c>
      <c r="AH152">
        <v>2</v>
      </c>
      <c r="AI152">
        <v>16506807</v>
      </c>
      <c r="AJ152">
        <v>134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ROW(Source!A55)</f>
        <v>55</v>
      </c>
      <c r="B153">
        <v>16506808</v>
      </c>
      <c r="C153">
        <v>16506801</v>
      </c>
      <c r="D153">
        <v>15172875</v>
      </c>
      <c r="E153">
        <v>1</v>
      </c>
      <c r="F153">
        <v>1</v>
      </c>
      <c r="G153">
        <v>1</v>
      </c>
      <c r="H153">
        <v>3</v>
      </c>
      <c r="I153" t="s">
        <v>750</v>
      </c>
      <c r="J153" t="s">
        <v>751</v>
      </c>
      <c r="K153" t="s">
        <v>752</v>
      </c>
      <c r="L153">
        <v>1339</v>
      </c>
      <c r="N153">
        <v>1007</v>
      </c>
      <c r="O153" t="s">
        <v>691</v>
      </c>
      <c r="P153" t="s">
        <v>691</v>
      </c>
      <c r="Q153">
        <v>1</v>
      </c>
      <c r="X153">
        <v>0.2</v>
      </c>
      <c r="Y153">
        <v>517.91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224</v>
      </c>
      <c r="AG153">
        <v>0.2</v>
      </c>
      <c r="AH153">
        <v>2</v>
      </c>
      <c r="AI153">
        <v>16506808</v>
      </c>
      <c r="AJ153">
        <v>135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ROW(Source!A55)</f>
        <v>55</v>
      </c>
      <c r="B154">
        <v>16506809</v>
      </c>
      <c r="C154">
        <v>16506801</v>
      </c>
      <c r="D154">
        <v>15189930</v>
      </c>
      <c r="E154">
        <v>1</v>
      </c>
      <c r="F154">
        <v>1</v>
      </c>
      <c r="G154">
        <v>1</v>
      </c>
      <c r="H154">
        <v>3</v>
      </c>
      <c r="I154" t="s">
        <v>753</v>
      </c>
      <c r="J154" t="s">
        <v>754</v>
      </c>
      <c r="K154" t="s">
        <v>755</v>
      </c>
      <c r="L154">
        <v>1327</v>
      </c>
      <c r="N154">
        <v>1005</v>
      </c>
      <c r="O154" t="s">
        <v>277</v>
      </c>
      <c r="P154" t="s">
        <v>277</v>
      </c>
      <c r="Q154">
        <v>1</v>
      </c>
      <c r="X154">
        <v>5.28</v>
      </c>
      <c r="Y154">
        <v>28.25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224</v>
      </c>
      <c r="AG154">
        <v>5.28</v>
      </c>
      <c r="AH154">
        <v>2</v>
      </c>
      <c r="AI154">
        <v>16506809</v>
      </c>
      <c r="AJ154">
        <v>136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ROW(Source!A56)</f>
        <v>56</v>
      </c>
      <c r="B155">
        <v>16500106</v>
      </c>
      <c r="C155">
        <v>16500105</v>
      </c>
      <c r="D155">
        <v>15436014</v>
      </c>
      <c r="E155">
        <v>1</v>
      </c>
      <c r="F155">
        <v>1</v>
      </c>
      <c r="G155">
        <v>1</v>
      </c>
      <c r="H155">
        <v>1</v>
      </c>
      <c r="I155" t="s">
        <v>756</v>
      </c>
      <c r="J155" t="s">
        <v>224</v>
      </c>
      <c r="K155" t="s">
        <v>757</v>
      </c>
      <c r="L155">
        <v>1191</v>
      </c>
      <c r="N155">
        <v>1013</v>
      </c>
      <c r="O155" t="s">
        <v>628</v>
      </c>
      <c r="P155" t="s">
        <v>628</v>
      </c>
      <c r="Q155">
        <v>1</v>
      </c>
      <c r="X155">
        <v>43.56</v>
      </c>
      <c r="Y155">
        <v>0</v>
      </c>
      <c r="Z155">
        <v>0</v>
      </c>
      <c r="AA155">
        <v>0</v>
      </c>
      <c r="AB155">
        <v>8.74</v>
      </c>
      <c r="AC155">
        <v>0</v>
      </c>
      <c r="AD155">
        <v>1</v>
      </c>
      <c r="AE155">
        <v>1</v>
      </c>
      <c r="AF155" t="s">
        <v>240</v>
      </c>
      <c r="AG155">
        <v>50.094000000000001</v>
      </c>
      <c r="AH155">
        <v>2</v>
      </c>
      <c r="AI155">
        <v>16500106</v>
      </c>
      <c r="AJ155">
        <v>137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ROW(Source!A56)</f>
        <v>56</v>
      </c>
      <c r="B156">
        <v>16500107</v>
      </c>
      <c r="C156">
        <v>16500105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629</v>
      </c>
      <c r="J156" t="s">
        <v>224</v>
      </c>
      <c r="K156" t="s">
        <v>630</v>
      </c>
      <c r="L156">
        <v>1191</v>
      </c>
      <c r="N156">
        <v>1013</v>
      </c>
      <c r="O156" t="s">
        <v>628</v>
      </c>
      <c r="P156" t="s">
        <v>628</v>
      </c>
      <c r="Q156">
        <v>1</v>
      </c>
      <c r="X156">
        <v>0.17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239</v>
      </c>
      <c r="AG156">
        <v>0.21250000000000002</v>
      </c>
      <c r="AH156">
        <v>2</v>
      </c>
      <c r="AI156">
        <v>16500107</v>
      </c>
      <c r="AJ156">
        <v>138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ROW(Source!A56)</f>
        <v>56</v>
      </c>
      <c r="B157">
        <v>16500108</v>
      </c>
      <c r="C157">
        <v>16500105</v>
      </c>
      <c r="D157">
        <v>15247970</v>
      </c>
      <c r="E157">
        <v>1</v>
      </c>
      <c r="F157">
        <v>1</v>
      </c>
      <c r="G157">
        <v>1</v>
      </c>
      <c r="H157">
        <v>2</v>
      </c>
      <c r="I157" t="s">
        <v>758</v>
      </c>
      <c r="J157" t="s">
        <v>759</v>
      </c>
      <c r="K157" t="s">
        <v>760</v>
      </c>
      <c r="L157">
        <v>1368</v>
      </c>
      <c r="N157">
        <v>1011</v>
      </c>
      <c r="O157" t="s">
        <v>634</v>
      </c>
      <c r="P157" t="s">
        <v>634</v>
      </c>
      <c r="Q157">
        <v>1</v>
      </c>
      <c r="X157">
        <v>0.02</v>
      </c>
      <c r="Y157">
        <v>0</v>
      </c>
      <c r="Z157">
        <v>27.66</v>
      </c>
      <c r="AA157">
        <v>11.6</v>
      </c>
      <c r="AB157">
        <v>0</v>
      </c>
      <c r="AC157">
        <v>0</v>
      </c>
      <c r="AD157">
        <v>1</v>
      </c>
      <c r="AE157">
        <v>0</v>
      </c>
      <c r="AF157" t="s">
        <v>239</v>
      </c>
      <c r="AG157">
        <v>2.5000000000000001E-2</v>
      </c>
      <c r="AH157">
        <v>2</v>
      </c>
      <c r="AI157">
        <v>16500108</v>
      </c>
      <c r="AJ157">
        <v>139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ROW(Source!A56)</f>
        <v>56</v>
      </c>
      <c r="B158">
        <v>16500109</v>
      </c>
      <c r="C158">
        <v>16500105</v>
      </c>
      <c r="D158">
        <v>15249073</v>
      </c>
      <c r="E158">
        <v>1</v>
      </c>
      <c r="F158">
        <v>1</v>
      </c>
      <c r="G158">
        <v>1</v>
      </c>
      <c r="H158">
        <v>2</v>
      </c>
      <c r="I158" t="s">
        <v>631</v>
      </c>
      <c r="J158" t="s">
        <v>632</v>
      </c>
      <c r="K158" t="s">
        <v>633</v>
      </c>
      <c r="L158">
        <v>1368</v>
      </c>
      <c r="N158">
        <v>1011</v>
      </c>
      <c r="O158" t="s">
        <v>634</v>
      </c>
      <c r="P158" t="s">
        <v>634</v>
      </c>
      <c r="Q158">
        <v>1</v>
      </c>
      <c r="X158">
        <v>0.15</v>
      </c>
      <c r="Y158">
        <v>0</v>
      </c>
      <c r="Z158">
        <v>65.709999999999994</v>
      </c>
      <c r="AA158">
        <v>11.6</v>
      </c>
      <c r="AB158">
        <v>0</v>
      </c>
      <c r="AC158">
        <v>0</v>
      </c>
      <c r="AD158">
        <v>1</v>
      </c>
      <c r="AE158">
        <v>0</v>
      </c>
      <c r="AF158" t="s">
        <v>239</v>
      </c>
      <c r="AG158">
        <v>0.1875</v>
      </c>
      <c r="AH158">
        <v>2</v>
      </c>
      <c r="AI158">
        <v>16500109</v>
      </c>
      <c r="AJ158">
        <v>140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ROW(Source!A56)</f>
        <v>56</v>
      </c>
      <c r="B159">
        <v>16500110</v>
      </c>
      <c r="C159">
        <v>16500105</v>
      </c>
      <c r="D159">
        <v>15170682</v>
      </c>
      <c r="E159">
        <v>1</v>
      </c>
      <c r="F159">
        <v>1</v>
      </c>
      <c r="G159">
        <v>1</v>
      </c>
      <c r="H159">
        <v>3</v>
      </c>
      <c r="I159" t="s">
        <v>733</v>
      </c>
      <c r="J159" t="s">
        <v>734</v>
      </c>
      <c r="K159" t="s">
        <v>735</v>
      </c>
      <c r="L159">
        <v>1327</v>
      </c>
      <c r="N159">
        <v>1005</v>
      </c>
      <c r="O159" t="s">
        <v>277</v>
      </c>
      <c r="P159" t="s">
        <v>277</v>
      </c>
      <c r="Q159">
        <v>1</v>
      </c>
      <c r="X159">
        <v>0.84</v>
      </c>
      <c r="Y159">
        <v>72.319999999999993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224</v>
      </c>
      <c r="AG159">
        <v>0.84</v>
      </c>
      <c r="AH159">
        <v>2</v>
      </c>
      <c r="AI159">
        <v>16500110</v>
      </c>
      <c r="AJ159">
        <v>141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ROW(Source!A56)</f>
        <v>56</v>
      </c>
      <c r="B160">
        <v>16500111</v>
      </c>
      <c r="C160">
        <v>16500105</v>
      </c>
      <c r="D160">
        <v>15171018</v>
      </c>
      <c r="E160">
        <v>1</v>
      </c>
      <c r="F160">
        <v>1</v>
      </c>
      <c r="G160">
        <v>1</v>
      </c>
      <c r="H160">
        <v>3</v>
      </c>
      <c r="I160" t="s">
        <v>728</v>
      </c>
      <c r="J160" t="s">
        <v>729</v>
      </c>
      <c r="K160" t="s">
        <v>730</v>
      </c>
      <c r="L160">
        <v>1346</v>
      </c>
      <c r="N160">
        <v>1009</v>
      </c>
      <c r="O160" t="s">
        <v>303</v>
      </c>
      <c r="P160" t="s">
        <v>303</v>
      </c>
      <c r="Q160">
        <v>1</v>
      </c>
      <c r="X160">
        <v>0.31</v>
      </c>
      <c r="Y160">
        <v>1.82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224</v>
      </c>
      <c r="AG160">
        <v>0.31</v>
      </c>
      <c r="AH160">
        <v>2</v>
      </c>
      <c r="AI160">
        <v>16500111</v>
      </c>
      <c r="AJ160">
        <v>142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ROW(Source!A56)</f>
        <v>56</v>
      </c>
      <c r="B161">
        <v>16500112</v>
      </c>
      <c r="C161">
        <v>16500105</v>
      </c>
      <c r="D161">
        <v>15163055</v>
      </c>
      <c r="E161">
        <v>17</v>
      </c>
      <c r="F161">
        <v>1</v>
      </c>
      <c r="G161">
        <v>1</v>
      </c>
      <c r="H161">
        <v>3</v>
      </c>
      <c r="I161" t="s">
        <v>77</v>
      </c>
      <c r="J161" t="s">
        <v>224</v>
      </c>
      <c r="K161" t="s">
        <v>79</v>
      </c>
      <c r="L161">
        <v>1348</v>
      </c>
      <c r="N161">
        <v>1009</v>
      </c>
      <c r="O161" t="s">
        <v>288</v>
      </c>
      <c r="P161" t="s">
        <v>288</v>
      </c>
      <c r="Q161">
        <v>1000</v>
      </c>
      <c r="X161">
        <v>0.03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 t="s">
        <v>224</v>
      </c>
      <c r="AG161">
        <v>0.03</v>
      </c>
      <c r="AH161">
        <v>3</v>
      </c>
      <c r="AI161">
        <v>-1</v>
      </c>
      <c r="AJ161" t="s">
        <v>224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ROW(Source!A56)</f>
        <v>56</v>
      </c>
      <c r="B162">
        <v>16500113</v>
      </c>
      <c r="C162">
        <v>16500105</v>
      </c>
      <c r="D162">
        <v>15162572</v>
      </c>
      <c r="E162">
        <v>17</v>
      </c>
      <c r="F162">
        <v>1</v>
      </c>
      <c r="G162">
        <v>1</v>
      </c>
      <c r="H162">
        <v>3</v>
      </c>
      <c r="I162" t="s">
        <v>75</v>
      </c>
      <c r="J162" t="s">
        <v>224</v>
      </c>
      <c r="K162" t="s">
        <v>76</v>
      </c>
      <c r="L162">
        <v>1348</v>
      </c>
      <c r="N162">
        <v>1009</v>
      </c>
      <c r="O162" t="s">
        <v>288</v>
      </c>
      <c r="P162" t="s">
        <v>288</v>
      </c>
      <c r="Q162">
        <v>1000</v>
      </c>
      <c r="X162">
        <v>0.02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224</v>
      </c>
      <c r="AG162">
        <v>0.02</v>
      </c>
      <c r="AH162">
        <v>3</v>
      </c>
      <c r="AI162">
        <v>-1</v>
      </c>
      <c r="AJ162" t="s">
        <v>224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ROW(Source!A56)</f>
        <v>56</v>
      </c>
      <c r="B163">
        <v>16500114</v>
      </c>
      <c r="C163">
        <v>16500105</v>
      </c>
      <c r="D163">
        <v>15204737</v>
      </c>
      <c r="E163">
        <v>1</v>
      </c>
      <c r="F163">
        <v>1</v>
      </c>
      <c r="G163">
        <v>1</v>
      </c>
      <c r="H163">
        <v>3</v>
      </c>
      <c r="I163" t="s">
        <v>761</v>
      </c>
      <c r="J163" t="s">
        <v>762</v>
      </c>
      <c r="K163" t="s">
        <v>763</v>
      </c>
      <c r="L163">
        <v>1348</v>
      </c>
      <c r="N163">
        <v>1009</v>
      </c>
      <c r="O163" t="s">
        <v>288</v>
      </c>
      <c r="P163" t="s">
        <v>288</v>
      </c>
      <c r="Q163">
        <v>1000</v>
      </c>
      <c r="X163">
        <v>5.0999999999999997E-2</v>
      </c>
      <c r="Y163">
        <v>11397.1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224</v>
      </c>
      <c r="AG163">
        <v>5.0999999999999997E-2</v>
      </c>
      <c r="AH163">
        <v>2</v>
      </c>
      <c r="AI163">
        <v>16500114</v>
      </c>
      <c r="AJ163">
        <v>145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ROW(Source!A57)</f>
        <v>57</v>
      </c>
      <c r="B164">
        <v>16500106</v>
      </c>
      <c r="C164">
        <v>16500105</v>
      </c>
      <c r="D164">
        <v>15436014</v>
      </c>
      <c r="E164">
        <v>1</v>
      </c>
      <c r="F164">
        <v>1</v>
      </c>
      <c r="G164">
        <v>1</v>
      </c>
      <c r="H164">
        <v>1</v>
      </c>
      <c r="I164" t="s">
        <v>756</v>
      </c>
      <c r="J164" t="s">
        <v>224</v>
      </c>
      <c r="K164" t="s">
        <v>757</v>
      </c>
      <c r="L164">
        <v>1191</v>
      </c>
      <c r="N164">
        <v>1013</v>
      </c>
      <c r="O164" t="s">
        <v>628</v>
      </c>
      <c r="P164" t="s">
        <v>628</v>
      </c>
      <c r="Q164">
        <v>1</v>
      </c>
      <c r="X164">
        <v>43.56</v>
      </c>
      <c r="Y164">
        <v>0</v>
      </c>
      <c r="Z164">
        <v>0</v>
      </c>
      <c r="AA164">
        <v>0</v>
      </c>
      <c r="AB164">
        <v>8.74</v>
      </c>
      <c r="AC164">
        <v>0</v>
      </c>
      <c r="AD164">
        <v>1</v>
      </c>
      <c r="AE164">
        <v>1</v>
      </c>
      <c r="AF164" t="s">
        <v>240</v>
      </c>
      <c r="AG164">
        <v>50.094000000000001</v>
      </c>
      <c r="AH164">
        <v>2</v>
      </c>
      <c r="AI164">
        <v>16500106</v>
      </c>
      <c r="AJ164">
        <v>146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ROW(Source!A57)</f>
        <v>57</v>
      </c>
      <c r="B165">
        <v>16500107</v>
      </c>
      <c r="C165">
        <v>16500105</v>
      </c>
      <c r="D165">
        <v>15430395</v>
      </c>
      <c r="E165">
        <v>1</v>
      </c>
      <c r="F165">
        <v>1</v>
      </c>
      <c r="G165">
        <v>1</v>
      </c>
      <c r="H165">
        <v>1</v>
      </c>
      <c r="I165" t="s">
        <v>629</v>
      </c>
      <c r="J165" t="s">
        <v>224</v>
      </c>
      <c r="K165" t="s">
        <v>630</v>
      </c>
      <c r="L165">
        <v>1191</v>
      </c>
      <c r="N165">
        <v>1013</v>
      </c>
      <c r="O165" t="s">
        <v>628</v>
      </c>
      <c r="P165" t="s">
        <v>628</v>
      </c>
      <c r="Q165">
        <v>1</v>
      </c>
      <c r="X165">
        <v>0.17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2</v>
      </c>
      <c r="AF165" t="s">
        <v>239</v>
      </c>
      <c r="AG165">
        <v>0.21250000000000002</v>
      </c>
      <c r="AH165">
        <v>2</v>
      </c>
      <c r="AI165">
        <v>16500107</v>
      </c>
      <c r="AJ165">
        <v>147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ROW(Source!A57)</f>
        <v>57</v>
      </c>
      <c r="B166">
        <v>16500108</v>
      </c>
      <c r="C166">
        <v>16500105</v>
      </c>
      <c r="D166">
        <v>15247970</v>
      </c>
      <c r="E166">
        <v>1</v>
      </c>
      <c r="F166">
        <v>1</v>
      </c>
      <c r="G166">
        <v>1</v>
      </c>
      <c r="H166">
        <v>2</v>
      </c>
      <c r="I166" t="s">
        <v>758</v>
      </c>
      <c r="J166" t="s">
        <v>759</v>
      </c>
      <c r="K166" t="s">
        <v>760</v>
      </c>
      <c r="L166">
        <v>1368</v>
      </c>
      <c r="N166">
        <v>1011</v>
      </c>
      <c r="O166" t="s">
        <v>634</v>
      </c>
      <c r="P166" t="s">
        <v>634</v>
      </c>
      <c r="Q166">
        <v>1</v>
      </c>
      <c r="X166">
        <v>0.02</v>
      </c>
      <c r="Y166">
        <v>0</v>
      </c>
      <c r="Z166">
        <v>27.66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239</v>
      </c>
      <c r="AG166">
        <v>2.5000000000000001E-2</v>
      </c>
      <c r="AH166">
        <v>2</v>
      </c>
      <c r="AI166">
        <v>16500108</v>
      </c>
      <c r="AJ166">
        <v>148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ROW(Source!A57)</f>
        <v>57</v>
      </c>
      <c r="B167">
        <v>16500109</v>
      </c>
      <c r="C167">
        <v>16500105</v>
      </c>
      <c r="D167">
        <v>15249073</v>
      </c>
      <c r="E167">
        <v>1</v>
      </c>
      <c r="F167">
        <v>1</v>
      </c>
      <c r="G167">
        <v>1</v>
      </c>
      <c r="H167">
        <v>2</v>
      </c>
      <c r="I167" t="s">
        <v>631</v>
      </c>
      <c r="J167" t="s">
        <v>632</v>
      </c>
      <c r="K167" t="s">
        <v>633</v>
      </c>
      <c r="L167">
        <v>1368</v>
      </c>
      <c r="N167">
        <v>1011</v>
      </c>
      <c r="O167" t="s">
        <v>634</v>
      </c>
      <c r="P167" t="s">
        <v>634</v>
      </c>
      <c r="Q167">
        <v>1</v>
      </c>
      <c r="X167">
        <v>0.15</v>
      </c>
      <c r="Y167">
        <v>0</v>
      </c>
      <c r="Z167">
        <v>65.709999999999994</v>
      </c>
      <c r="AA167">
        <v>11.6</v>
      </c>
      <c r="AB167">
        <v>0</v>
      </c>
      <c r="AC167">
        <v>0</v>
      </c>
      <c r="AD167">
        <v>1</v>
      </c>
      <c r="AE167">
        <v>0</v>
      </c>
      <c r="AF167" t="s">
        <v>239</v>
      </c>
      <c r="AG167">
        <v>0.1875</v>
      </c>
      <c r="AH167">
        <v>2</v>
      </c>
      <c r="AI167">
        <v>16500109</v>
      </c>
      <c r="AJ167">
        <v>149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ROW(Source!A57)</f>
        <v>57</v>
      </c>
      <c r="B168">
        <v>16500110</v>
      </c>
      <c r="C168">
        <v>16500105</v>
      </c>
      <c r="D168">
        <v>15170682</v>
      </c>
      <c r="E168">
        <v>1</v>
      </c>
      <c r="F168">
        <v>1</v>
      </c>
      <c r="G168">
        <v>1</v>
      </c>
      <c r="H168">
        <v>3</v>
      </c>
      <c r="I168" t="s">
        <v>733</v>
      </c>
      <c r="J168" t="s">
        <v>734</v>
      </c>
      <c r="K168" t="s">
        <v>735</v>
      </c>
      <c r="L168">
        <v>1327</v>
      </c>
      <c r="N168">
        <v>1005</v>
      </c>
      <c r="O168" t="s">
        <v>277</v>
      </c>
      <c r="P168" t="s">
        <v>277</v>
      </c>
      <c r="Q168">
        <v>1</v>
      </c>
      <c r="X168">
        <v>0.84</v>
      </c>
      <c r="Y168">
        <v>72.319999999999993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224</v>
      </c>
      <c r="AG168">
        <v>0.84</v>
      </c>
      <c r="AH168">
        <v>2</v>
      </c>
      <c r="AI168">
        <v>16500110</v>
      </c>
      <c r="AJ168">
        <v>150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ROW(Source!A57)</f>
        <v>57</v>
      </c>
      <c r="B169">
        <v>16500111</v>
      </c>
      <c r="C169">
        <v>16500105</v>
      </c>
      <c r="D169">
        <v>15171018</v>
      </c>
      <c r="E169">
        <v>1</v>
      </c>
      <c r="F169">
        <v>1</v>
      </c>
      <c r="G169">
        <v>1</v>
      </c>
      <c r="H169">
        <v>3</v>
      </c>
      <c r="I169" t="s">
        <v>728</v>
      </c>
      <c r="J169" t="s">
        <v>729</v>
      </c>
      <c r="K169" t="s">
        <v>730</v>
      </c>
      <c r="L169">
        <v>1346</v>
      </c>
      <c r="N169">
        <v>1009</v>
      </c>
      <c r="O169" t="s">
        <v>303</v>
      </c>
      <c r="P169" t="s">
        <v>303</v>
      </c>
      <c r="Q169">
        <v>1</v>
      </c>
      <c r="X169">
        <v>0.31</v>
      </c>
      <c r="Y169">
        <v>1.82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224</v>
      </c>
      <c r="AG169">
        <v>0.31</v>
      </c>
      <c r="AH169">
        <v>2</v>
      </c>
      <c r="AI169">
        <v>16500111</v>
      </c>
      <c r="AJ169">
        <v>151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ROW(Source!A57)</f>
        <v>57</v>
      </c>
      <c r="B170">
        <v>16500112</v>
      </c>
      <c r="C170">
        <v>16500105</v>
      </c>
      <c r="D170">
        <v>15163055</v>
      </c>
      <c r="E170">
        <v>17</v>
      </c>
      <c r="F170">
        <v>1</v>
      </c>
      <c r="G170">
        <v>1</v>
      </c>
      <c r="H170">
        <v>3</v>
      </c>
      <c r="I170" t="s">
        <v>77</v>
      </c>
      <c r="J170" t="s">
        <v>224</v>
      </c>
      <c r="K170" t="s">
        <v>79</v>
      </c>
      <c r="L170">
        <v>1348</v>
      </c>
      <c r="N170">
        <v>1009</v>
      </c>
      <c r="O170" t="s">
        <v>288</v>
      </c>
      <c r="P170" t="s">
        <v>288</v>
      </c>
      <c r="Q170">
        <v>1000</v>
      </c>
      <c r="X170">
        <v>0.03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224</v>
      </c>
      <c r="AG170">
        <v>0.03</v>
      </c>
      <c r="AH170">
        <v>3</v>
      </c>
      <c r="AI170">
        <v>-1</v>
      </c>
      <c r="AJ170" t="s">
        <v>224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ROW(Source!A57)</f>
        <v>57</v>
      </c>
      <c r="B171">
        <v>16500113</v>
      </c>
      <c r="C171">
        <v>16500105</v>
      </c>
      <c r="D171">
        <v>15162572</v>
      </c>
      <c r="E171">
        <v>17</v>
      </c>
      <c r="F171">
        <v>1</v>
      </c>
      <c r="G171">
        <v>1</v>
      </c>
      <c r="H171">
        <v>3</v>
      </c>
      <c r="I171" t="s">
        <v>75</v>
      </c>
      <c r="J171" t="s">
        <v>224</v>
      </c>
      <c r="K171" t="s">
        <v>76</v>
      </c>
      <c r="L171">
        <v>1348</v>
      </c>
      <c r="N171">
        <v>1009</v>
      </c>
      <c r="O171" t="s">
        <v>288</v>
      </c>
      <c r="P171" t="s">
        <v>288</v>
      </c>
      <c r="Q171">
        <v>1000</v>
      </c>
      <c r="X171">
        <v>0.02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224</v>
      </c>
      <c r="AG171">
        <v>0.02</v>
      </c>
      <c r="AH171">
        <v>3</v>
      </c>
      <c r="AI171">
        <v>-1</v>
      </c>
      <c r="AJ171" t="s">
        <v>224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ROW(Source!A57)</f>
        <v>57</v>
      </c>
      <c r="B172">
        <v>16500114</v>
      </c>
      <c r="C172">
        <v>16500105</v>
      </c>
      <c r="D172">
        <v>15204737</v>
      </c>
      <c r="E172">
        <v>1</v>
      </c>
      <c r="F172">
        <v>1</v>
      </c>
      <c r="G172">
        <v>1</v>
      </c>
      <c r="H172">
        <v>3</v>
      </c>
      <c r="I172" t="s">
        <v>761</v>
      </c>
      <c r="J172" t="s">
        <v>762</v>
      </c>
      <c r="K172" t="s">
        <v>763</v>
      </c>
      <c r="L172">
        <v>1348</v>
      </c>
      <c r="N172">
        <v>1009</v>
      </c>
      <c r="O172" t="s">
        <v>288</v>
      </c>
      <c r="P172" t="s">
        <v>288</v>
      </c>
      <c r="Q172">
        <v>1000</v>
      </c>
      <c r="X172">
        <v>5.0999999999999997E-2</v>
      </c>
      <c r="Y172">
        <v>11397.1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224</v>
      </c>
      <c r="AG172">
        <v>5.0999999999999997E-2</v>
      </c>
      <c r="AH172">
        <v>2</v>
      </c>
      <c r="AI172">
        <v>16500114</v>
      </c>
      <c r="AJ172">
        <v>154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ROW(Source!A62)</f>
        <v>62</v>
      </c>
      <c r="B173">
        <v>16500146</v>
      </c>
      <c r="C173">
        <v>16500145</v>
      </c>
      <c r="D173">
        <v>15435721</v>
      </c>
      <c r="E173">
        <v>1</v>
      </c>
      <c r="F173">
        <v>1</v>
      </c>
      <c r="G173">
        <v>1</v>
      </c>
      <c r="H173">
        <v>1</v>
      </c>
      <c r="I173" t="s">
        <v>764</v>
      </c>
      <c r="J173" t="s">
        <v>224</v>
      </c>
      <c r="K173" t="s">
        <v>765</v>
      </c>
      <c r="L173">
        <v>1191</v>
      </c>
      <c r="N173">
        <v>1013</v>
      </c>
      <c r="O173" t="s">
        <v>628</v>
      </c>
      <c r="P173" t="s">
        <v>628</v>
      </c>
      <c r="Q173">
        <v>1</v>
      </c>
      <c r="X173">
        <v>118.65</v>
      </c>
      <c r="Y173">
        <v>0</v>
      </c>
      <c r="Z173">
        <v>0</v>
      </c>
      <c r="AA173">
        <v>0</v>
      </c>
      <c r="AB173">
        <v>9.51</v>
      </c>
      <c r="AC173">
        <v>0</v>
      </c>
      <c r="AD173">
        <v>1</v>
      </c>
      <c r="AE173">
        <v>1</v>
      </c>
      <c r="AF173" t="s">
        <v>224</v>
      </c>
      <c r="AG173">
        <v>118.65</v>
      </c>
      <c r="AH173">
        <v>2</v>
      </c>
      <c r="AI173">
        <v>16500146</v>
      </c>
      <c r="AJ173">
        <v>155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ROW(Source!A62)</f>
        <v>62</v>
      </c>
      <c r="B174">
        <v>16500147</v>
      </c>
      <c r="C174">
        <v>16500145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629</v>
      </c>
      <c r="J174" t="s">
        <v>224</v>
      </c>
      <c r="K174" t="s">
        <v>630</v>
      </c>
      <c r="L174">
        <v>1191</v>
      </c>
      <c r="N174">
        <v>1013</v>
      </c>
      <c r="O174" t="s">
        <v>628</v>
      </c>
      <c r="P174" t="s">
        <v>628</v>
      </c>
      <c r="Q174">
        <v>1</v>
      </c>
      <c r="X174">
        <v>3.62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224</v>
      </c>
      <c r="AG174">
        <v>3.62</v>
      </c>
      <c r="AH174">
        <v>2</v>
      </c>
      <c r="AI174">
        <v>16500147</v>
      </c>
      <c r="AJ174">
        <v>156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ROW(Source!A62)</f>
        <v>62</v>
      </c>
      <c r="B175">
        <v>16500148</v>
      </c>
      <c r="C175">
        <v>16500145</v>
      </c>
      <c r="D175">
        <v>15247905</v>
      </c>
      <c r="E175">
        <v>1</v>
      </c>
      <c r="F175">
        <v>1</v>
      </c>
      <c r="G175">
        <v>1</v>
      </c>
      <c r="H175">
        <v>2</v>
      </c>
      <c r="I175" t="s">
        <v>766</v>
      </c>
      <c r="J175" t="s">
        <v>767</v>
      </c>
      <c r="K175" t="s">
        <v>768</v>
      </c>
      <c r="L175">
        <v>1368</v>
      </c>
      <c r="N175">
        <v>1011</v>
      </c>
      <c r="O175" t="s">
        <v>634</v>
      </c>
      <c r="P175" t="s">
        <v>634</v>
      </c>
      <c r="Q175">
        <v>1</v>
      </c>
      <c r="X175">
        <v>0.82</v>
      </c>
      <c r="Y175">
        <v>0</v>
      </c>
      <c r="Z175">
        <v>89.99</v>
      </c>
      <c r="AA175">
        <v>10.06</v>
      </c>
      <c r="AB175">
        <v>0</v>
      </c>
      <c r="AC175">
        <v>0</v>
      </c>
      <c r="AD175">
        <v>1</v>
      </c>
      <c r="AE175">
        <v>0</v>
      </c>
      <c r="AF175" t="s">
        <v>224</v>
      </c>
      <c r="AG175">
        <v>0.82</v>
      </c>
      <c r="AH175">
        <v>2</v>
      </c>
      <c r="AI175">
        <v>16500148</v>
      </c>
      <c r="AJ175">
        <v>157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ROW(Source!A62)</f>
        <v>62</v>
      </c>
      <c r="B176">
        <v>16500149</v>
      </c>
      <c r="C176">
        <v>16500145</v>
      </c>
      <c r="D176">
        <v>15247974</v>
      </c>
      <c r="E176">
        <v>1</v>
      </c>
      <c r="F176">
        <v>1</v>
      </c>
      <c r="G176">
        <v>1</v>
      </c>
      <c r="H176">
        <v>2</v>
      </c>
      <c r="I176" t="s">
        <v>640</v>
      </c>
      <c r="J176" t="s">
        <v>641</v>
      </c>
      <c r="K176" t="s">
        <v>642</v>
      </c>
      <c r="L176">
        <v>1368</v>
      </c>
      <c r="N176">
        <v>1011</v>
      </c>
      <c r="O176" t="s">
        <v>634</v>
      </c>
      <c r="P176" t="s">
        <v>634</v>
      </c>
      <c r="Q176">
        <v>1</v>
      </c>
      <c r="X176">
        <v>0.76</v>
      </c>
      <c r="Y176">
        <v>0</v>
      </c>
      <c r="Z176">
        <v>31.26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224</v>
      </c>
      <c r="AG176">
        <v>0.76</v>
      </c>
      <c r="AH176">
        <v>2</v>
      </c>
      <c r="AI176">
        <v>16500149</v>
      </c>
      <c r="AJ176">
        <v>158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ROW(Source!A62)</f>
        <v>62</v>
      </c>
      <c r="B177">
        <v>16500150</v>
      </c>
      <c r="C177">
        <v>16500145</v>
      </c>
      <c r="D177">
        <v>15248078</v>
      </c>
      <c r="E177">
        <v>1</v>
      </c>
      <c r="F177">
        <v>1</v>
      </c>
      <c r="G177">
        <v>1</v>
      </c>
      <c r="H177">
        <v>2</v>
      </c>
      <c r="I177" t="s">
        <v>769</v>
      </c>
      <c r="J177" t="s">
        <v>770</v>
      </c>
      <c r="K177" t="s">
        <v>771</v>
      </c>
      <c r="L177">
        <v>1368</v>
      </c>
      <c r="N177">
        <v>1011</v>
      </c>
      <c r="O177" t="s">
        <v>634</v>
      </c>
      <c r="P177" t="s">
        <v>634</v>
      </c>
      <c r="Q177">
        <v>1</v>
      </c>
      <c r="X177">
        <v>1.25</v>
      </c>
      <c r="Y177">
        <v>0</v>
      </c>
      <c r="Z177">
        <v>21.64</v>
      </c>
      <c r="AA177">
        <v>10.06</v>
      </c>
      <c r="AB177">
        <v>0</v>
      </c>
      <c r="AC177">
        <v>0</v>
      </c>
      <c r="AD177">
        <v>1</v>
      </c>
      <c r="AE177">
        <v>0</v>
      </c>
      <c r="AF177" t="s">
        <v>224</v>
      </c>
      <c r="AG177">
        <v>1.25</v>
      </c>
      <c r="AH177">
        <v>2</v>
      </c>
      <c r="AI177">
        <v>16500150</v>
      </c>
      <c r="AJ177">
        <v>159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ROW(Source!A62)</f>
        <v>62</v>
      </c>
      <c r="B178">
        <v>16500151</v>
      </c>
      <c r="C178">
        <v>16500145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631</v>
      </c>
      <c r="J178" t="s">
        <v>632</v>
      </c>
      <c r="K178" t="s">
        <v>633</v>
      </c>
      <c r="L178">
        <v>1368</v>
      </c>
      <c r="N178">
        <v>1011</v>
      </c>
      <c r="O178" t="s">
        <v>634</v>
      </c>
      <c r="P178" t="s">
        <v>634</v>
      </c>
      <c r="Q178">
        <v>1</v>
      </c>
      <c r="X178">
        <v>0.28000000000000003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224</v>
      </c>
      <c r="AG178">
        <v>0.28000000000000003</v>
      </c>
      <c r="AH178">
        <v>2</v>
      </c>
      <c r="AI178">
        <v>16500151</v>
      </c>
      <c r="AJ178">
        <v>160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ROW(Source!A62)</f>
        <v>62</v>
      </c>
      <c r="B179">
        <v>16500152</v>
      </c>
      <c r="C179">
        <v>16500145</v>
      </c>
      <c r="D179">
        <v>15249397</v>
      </c>
      <c r="E179">
        <v>1</v>
      </c>
      <c r="F179">
        <v>1</v>
      </c>
      <c r="G179">
        <v>1</v>
      </c>
      <c r="H179">
        <v>2</v>
      </c>
      <c r="I179" t="s">
        <v>772</v>
      </c>
      <c r="J179" t="s">
        <v>773</v>
      </c>
      <c r="K179" t="s">
        <v>774</v>
      </c>
      <c r="L179">
        <v>1368</v>
      </c>
      <c r="N179">
        <v>1011</v>
      </c>
      <c r="O179" t="s">
        <v>634</v>
      </c>
      <c r="P179" t="s">
        <v>634</v>
      </c>
      <c r="Q179">
        <v>1</v>
      </c>
      <c r="X179">
        <v>0.51</v>
      </c>
      <c r="Y179">
        <v>0</v>
      </c>
      <c r="Z179">
        <v>90</v>
      </c>
      <c r="AA179">
        <v>10.06</v>
      </c>
      <c r="AB179">
        <v>0</v>
      </c>
      <c r="AC179">
        <v>0</v>
      </c>
      <c r="AD179">
        <v>1</v>
      </c>
      <c r="AE179">
        <v>0</v>
      </c>
      <c r="AF179" t="s">
        <v>224</v>
      </c>
      <c r="AG179">
        <v>0.51</v>
      </c>
      <c r="AH179">
        <v>2</v>
      </c>
      <c r="AI179">
        <v>16500152</v>
      </c>
      <c r="AJ179">
        <v>161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ROW(Source!A62)</f>
        <v>62</v>
      </c>
      <c r="B180">
        <v>16500153</v>
      </c>
      <c r="C180">
        <v>16500145</v>
      </c>
      <c r="D180">
        <v>15249979</v>
      </c>
      <c r="E180">
        <v>1</v>
      </c>
      <c r="F180">
        <v>1</v>
      </c>
      <c r="G180">
        <v>1</v>
      </c>
      <c r="H180">
        <v>2</v>
      </c>
      <c r="I180" t="s">
        <v>775</v>
      </c>
      <c r="J180" t="s">
        <v>776</v>
      </c>
      <c r="K180" t="s">
        <v>777</v>
      </c>
      <c r="L180">
        <v>1368</v>
      </c>
      <c r="N180">
        <v>1011</v>
      </c>
      <c r="O180" t="s">
        <v>634</v>
      </c>
      <c r="P180" t="s">
        <v>634</v>
      </c>
      <c r="Q180">
        <v>1</v>
      </c>
      <c r="X180">
        <v>32</v>
      </c>
      <c r="Y180">
        <v>0</v>
      </c>
      <c r="Z180">
        <v>1.5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224</v>
      </c>
      <c r="AG180">
        <v>32</v>
      </c>
      <c r="AH180">
        <v>2</v>
      </c>
      <c r="AI180">
        <v>16500153</v>
      </c>
      <c r="AJ180">
        <v>162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ROW(Source!A62)</f>
        <v>62</v>
      </c>
      <c r="B181">
        <v>16500154</v>
      </c>
      <c r="C181">
        <v>16500145</v>
      </c>
      <c r="D181">
        <v>15167286</v>
      </c>
      <c r="E181">
        <v>1</v>
      </c>
      <c r="F181">
        <v>1</v>
      </c>
      <c r="G181">
        <v>1</v>
      </c>
      <c r="H181">
        <v>3</v>
      </c>
      <c r="I181" t="s">
        <v>778</v>
      </c>
      <c r="J181" t="s">
        <v>779</v>
      </c>
      <c r="K181" t="s">
        <v>780</v>
      </c>
      <c r="L181">
        <v>1339</v>
      </c>
      <c r="N181">
        <v>1007</v>
      </c>
      <c r="O181" t="s">
        <v>691</v>
      </c>
      <c r="P181" t="s">
        <v>691</v>
      </c>
      <c r="Q181">
        <v>1</v>
      </c>
      <c r="X181">
        <v>0.40100000000000002</v>
      </c>
      <c r="Y181">
        <v>2.44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224</v>
      </c>
      <c r="AG181">
        <v>0.40100000000000002</v>
      </c>
      <c r="AH181">
        <v>2</v>
      </c>
      <c r="AI181">
        <v>16500154</v>
      </c>
      <c r="AJ181">
        <v>163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ROW(Source!A62)</f>
        <v>62</v>
      </c>
      <c r="B182">
        <v>16500155</v>
      </c>
      <c r="C182">
        <v>16500145</v>
      </c>
      <c r="D182">
        <v>15167719</v>
      </c>
      <c r="E182">
        <v>1</v>
      </c>
      <c r="F182">
        <v>1</v>
      </c>
      <c r="G182">
        <v>1</v>
      </c>
      <c r="H182">
        <v>3</v>
      </c>
      <c r="I182" t="s">
        <v>781</v>
      </c>
      <c r="J182" t="s">
        <v>782</v>
      </c>
      <c r="K182" t="s">
        <v>783</v>
      </c>
      <c r="L182">
        <v>1346</v>
      </c>
      <c r="N182">
        <v>1009</v>
      </c>
      <c r="O182" t="s">
        <v>303</v>
      </c>
      <c r="P182" t="s">
        <v>303</v>
      </c>
      <c r="Q182">
        <v>1</v>
      </c>
      <c r="X182">
        <v>284</v>
      </c>
      <c r="Y182">
        <v>16.600000000000001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224</v>
      </c>
      <c r="AG182">
        <v>284</v>
      </c>
      <c r="AH182">
        <v>2</v>
      </c>
      <c r="AI182">
        <v>16500155</v>
      </c>
      <c r="AJ182">
        <v>164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ROW(Source!A62)</f>
        <v>62</v>
      </c>
      <c r="B183">
        <v>16500156</v>
      </c>
      <c r="C183">
        <v>16500145</v>
      </c>
      <c r="D183">
        <v>15170537</v>
      </c>
      <c r="E183">
        <v>1</v>
      </c>
      <c r="F183">
        <v>1</v>
      </c>
      <c r="G183">
        <v>1</v>
      </c>
      <c r="H183">
        <v>3</v>
      </c>
      <c r="I183" t="s">
        <v>784</v>
      </c>
      <c r="J183" t="s">
        <v>785</v>
      </c>
      <c r="K183" t="s">
        <v>786</v>
      </c>
      <c r="L183">
        <v>1346</v>
      </c>
      <c r="N183">
        <v>1009</v>
      </c>
      <c r="O183" t="s">
        <v>303</v>
      </c>
      <c r="P183" t="s">
        <v>303</v>
      </c>
      <c r="Q183">
        <v>1</v>
      </c>
      <c r="X183">
        <v>2</v>
      </c>
      <c r="Y183">
        <v>5.71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224</v>
      </c>
      <c r="AG183">
        <v>2</v>
      </c>
      <c r="AH183">
        <v>2</v>
      </c>
      <c r="AI183">
        <v>16500156</v>
      </c>
      <c r="AJ183">
        <v>165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ROW(Source!A62)</f>
        <v>62</v>
      </c>
      <c r="B184">
        <v>16500157</v>
      </c>
      <c r="C184">
        <v>16500145</v>
      </c>
      <c r="D184">
        <v>15171651</v>
      </c>
      <c r="E184">
        <v>1</v>
      </c>
      <c r="F184">
        <v>1</v>
      </c>
      <c r="G184">
        <v>1</v>
      </c>
      <c r="H184">
        <v>3</v>
      </c>
      <c r="I184" t="s">
        <v>787</v>
      </c>
      <c r="J184" t="s">
        <v>788</v>
      </c>
      <c r="K184" t="s">
        <v>789</v>
      </c>
      <c r="L184">
        <v>1339</v>
      </c>
      <c r="N184">
        <v>1007</v>
      </c>
      <c r="O184" t="s">
        <v>691</v>
      </c>
      <c r="P184" t="s">
        <v>691</v>
      </c>
      <c r="Q184">
        <v>1</v>
      </c>
      <c r="X184">
        <v>1.39</v>
      </c>
      <c r="Y184">
        <v>96.95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224</v>
      </c>
      <c r="AG184">
        <v>1.39</v>
      </c>
      <c r="AH184">
        <v>2</v>
      </c>
      <c r="AI184">
        <v>16500157</v>
      </c>
      <c r="AJ184">
        <v>166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ROW(Source!A62)</f>
        <v>62</v>
      </c>
      <c r="B185">
        <v>16500158</v>
      </c>
      <c r="C185">
        <v>16500145</v>
      </c>
      <c r="D185">
        <v>15161580</v>
      </c>
      <c r="E185">
        <v>17</v>
      </c>
      <c r="F185">
        <v>1</v>
      </c>
      <c r="G185">
        <v>1</v>
      </c>
      <c r="H185">
        <v>3</v>
      </c>
      <c r="I185" t="s">
        <v>80</v>
      </c>
      <c r="J185" t="s">
        <v>224</v>
      </c>
      <c r="K185" t="s">
        <v>81</v>
      </c>
      <c r="L185">
        <v>1339</v>
      </c>
      <c r="N185">
        <v>1007</v>
      </c>
      <c r="O185" t="s">
        <v>691</v>
      </c>
      <c r="P185" t="s">
        <v>691</v>
      </c>
      <c r="Q185">
        <v>1</v>
      </c>
      <c r="X185">
        <v>0.8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 t="s">
        <v>224</v>
      </c>
      <c r="AG185">
        <v>0.8</v>
      </c>
      <c r="AH185">
        <v>3</v>
      </c>
      <c r="AI185">
        <v>-1</v>
      </c>
      <c r="AJ185" t="s">
        <v>224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ROW(Source!A62)</f>
        <v>62</v>
      </c>
      <c r="B186">
        <v>16500159</v>
      </c>
      <c r="C186">
        <v>16500145</v>
      </c>
      <c r="D186">
        <v>15172041</v>
      </c>
      <c r="E186">
        <v>1</v>
      </c>
      <c r="F186">
        <v>1</v>
      </c>
      <c r="G186">
        <v>1</v>
      </c>
      <c r="H186">
        <v>3</v>
      </c>
      <c r="I186" t="s">
        <v>790</v>
      </c>
      <c r="J186" t="s">
        <v>791</v>
      </c>
      <c r="K186" t="s">
        <v>792</v>
      </c>
      <c r="L186">
        <v>1348</v>
      </c>
      <c r="N186">
        <v>1009</v>
      </c>
      <c r="O186" t="s">
        <v>288</v>
      </c>
      <c r="P186" t="s">
        <v>288</v>
      </c>
      <c r="Q186">
        <v>1000</v>
      </c>
      <c r="X186">
        <v>0.90900000000000003</v>
      </c>
      <c r="Y186">
        <v>480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224</v>
      </c>
      <c r="AG186">
        <v>0.90900000000000003</v>
      </c>
      <c r="AH186">
        <v>2</v>
      </c>
      <c r="AI186">
        <v>16500159</v>
      </c>
      <c r="AJ186">
        <v>167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ROW(Source!A62)</f>
        <v>62</v>
      </c>
      <c r="B187">
        <v>16500160</v>
      </c>
      <c r="C187">
        <v>16500145</v>
      </c>
      <c r="D187">
        <v>15195806</v>
      </c>
      <c r="E187">
        <v>1</v>
      </c>
      <c r="F187">
        <v>1</v>
      </c>
      <c r="G187">
        <v>1</v>
      </c>
      <c r="H187">
        <v>3</v>
      </c>
      <c r="I187" t="s">
        <v>793</v>
      </c>
      <c r="J187" t="s">
        <v>794</v>
      </c>
      <c r="K187" t="s">
        <v>795</v>
      </c>
      <c r="L187">
        <v>1339</v>
      </c>
      <c r="N187">
        <v>1007</v>
      </c>
      <c r="O187" t="s">
        <v>691</v>
      </c>
      <c r="P187" t="s">
        <v>691</v>
      </c>
      <c r="Q187">
        <v>1</v>
      </c>
      <c r="X187">
        <v>0.01</v>
      </c>
      <c r="Y187">
        <v>1100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224</v>
      </c>
      <c r="AG187">
        <v>0.01</v>
      </c>
      <c r="AH187">
        <v>2</v>
      </c>
      <c r="AI187">
        <v>16500160</v>
      </c>
      <c r="AJ187">
        <v>168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ROW(Source!A62)</f>
        <v>62</v>
      </c>
      <c r="B188">
        <v>16500161</v>
      </c>
      <c r="C188">
        <v>16500145</v>
      </c>
      <c r="D188">
        <v>15203740</v>
      </c>
      <c r="E188">
        <v>1</v>
      </c>
      <c r="F188">
        <v>1</v>
      </c>
      <c r="G188">
        <v>1</v>
      </c>
      <c r="H188">
        <v>3</v>
      </c>
      <c r="I188" t="s">
        <v>796</v>
      </c>
      <c r="J188" t="s">
        <v>797</v>
      </c>
      <c r="K188" t="s">
        <v>798</v>
      </c>
      <c r="L188">
        <v>1348</v>
      </c>
      <c r="N188">
        <v>1009</v>
      </c>
      <c r="O188" t="s">
        <v>288</v>
      </c>
      <c r="P188" t="s">
        <v>288</v>
      </c>
      <c r="Q188">
        <v>1000</v>
      </c>
      <c r="X188">
        <v>7.0000000000000007E-2</v>
      </c>
      <c r="Y188">
        <v>15119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224</v>
      </c>
      <c r="AG188">
        <v>7.0000000000000007E-2</v>
      </c>
      <c r="AH188">
        <v>2</v>
      </c>
      <c r="AI188">
        <v>16500161</v>
      </c>
      <c r="AJ188">
        <v>169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ROW(Source!A63)</f>
        <v>63</v>
      </c>
      <c r="B189">
        <v>16500146</v>
      </c>
      <c r="C189">
        <v>16500145</v>
      </c>
      <c r="D189">
        <v>15435721</v>
      </c>
      <c r="E189">
        <v>1</v>
      </c>
      <c r="F189">
        <v>1</v>
      </c>
      <c r="G189">
        <v>1</v>
      </c>
      <c r="H189">
        <v>1</v>
      </c>
      <c r="I189" t="s">
        <v>764</v>
      </c>
      <c r="J189" t="s">
        <v>224</v>
      </c>
      <c r="K189" t="s">
        <v>765</v>
      </c>
      <c r="L189">
        <v>1191</v>
      </c>
      <c r="N189">
        <v>1013</v>
      </c>
      <c r="O189" t="s">
        <v>628</v>
      </c>
      <c r="P189" t="s">
        <v>628</v>
      </c>
      <c r="Q189">
        <v>1</v>
      </c>
      <c r="X189">
        <v>118.65</v>
      </c>
      <c r="Y189">
        <v>0</v>
      </c>
      <c r="Z189">
        <v>0</v>
      </c>
      <c r="AA189">
        <v>0</v>
      </c>
      <c r="AB189">
        <v>9.51</v>
      </c>
      <c r="AC189">
        <v>0</v>
      </c>
      <c r="AD189">
        <v>1</v>
      </c>
      <c r="AE189">
        <v>1</v>
      </c>
      <c r="AF189" t="s">
        <v>224</v>
      </c>
      <c r="AG189">
        <v>118.65</v>
      </c>
      <c r="AH189">
        <v>2</v>
      </c>
      <c r="AI189">
        <v>16500146</v>
      </c>
      <c r="AJ189">
        <v>170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ROW(Source!A63)</f>
        <v>63</v>
      </c>
      <c r="B190">
        <v>16500147</v>
      </c>
      <c r="C190">
        <v>16500145</v>
      </c>
      <c r="D190">
        <v>15430395</v>
      </c>
      <c r="E190">
        <v>1</v>
      </c>
      <c r="F190">
        <v>1</v>
      </c>
      <c r="G190">
        <v>1</v>
      </c>
      <c r="H190">
        <v>1</v>
      </c>
      <c r="I190" t="s">
        <v>629</v>
      </c>
      <c r="J190" t="s">
        <v>224</v>
      </c>
      <c r="K190" t="s">
        <v>630</v>
      </c>
      <c r="L190">
        <v>1191</v>
      </c>
      <c r="N190">
        <v>1013</v>
      </c>
      <c r="O190" t="s">
        <v>628</v>
      </c>
      <c r="P190" t="s">
        <v>628</v>
      </c>
      <c r="Q190">
        <v>1</v>
      </c>
      <c r="X190">
        <v>3.62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2</v>
      </c>
      <c r="AF190" t="s">
        <v>224</v>
      </c>
      <c r="AG190">
        <v>3.62</v>
      </c>
      <c r="AH190">
        <v>2</v>
      </c>
      <c r="AI190">
        <v>16500147</v>
      </c>
      <c r="AJ190">
        <v>171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ROW(Source!A63)</f>
        <v>63</v>
      </c>
      <c r="B191">
        <v>16500148</v>
      </c>
      <c r="C191">
        <v>16500145</v>
      </c>
      <c r="D191">
        <v>15247905</v>
      </c>
      <c r="E191">
        <v>1</v>
      </c>
      <c r="F191">
        <v>1</v>
      </c>
      <c r="G191">
        <v>1</v>
      </c>
      <c r="H191">
        <v>2</v>
      </c>
      <c r="I191" t="s">
        <v>766</v>
      </c>
      <c r="J191" t="s">
        <v>767</v>
      </c>
      <c r="K191" t="s">
        <v>768</v>
      </c>
      <c r="L191">
        <v>1368</v>
      </c>
      <c r="N191">
        <v>1011</v>
      </c>
      <c r="O191" t="s">
        <v>634</v>
      </c>
      <c r="P191" t="s">
        <v>634</v>
      </c>
      <c r="Q191">
        <v>1</v>
      </c>
      <c r="X191">
        <v>0.82</v>
      </c>
      <c r="Y191">
        <v>0</v>
      </c>
      <c r="Z191">
        <v>89.99</v>
      </c>
      <c r="AA191">
        <v>10.06</v>
      </c>
      <c r="AB191">
        <v>0</v>
      </c>
      <c r="AC191">
        <v>0</v>
      </c>
      <c r="AD191">
        <v>1</v>
      </c>
      <c r="AE191">
        <v>0</v>
      </c>
      <c r="AF191" t="s">
        <v>224</v>
      </c>
      <c r="AG191">
        <v>0.82</v>
      </c>
      <c r="AH191">
        <v>2</v>
      </c>
      <c r="AI191">
        <v>16500148</v>
      </c>
      <c r="AJ191">
        <v>172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ROW(Source!A63)</f>
        <v>63</v>
      </c>
      <c r="B192">
        <v>16500149</v>
      </c>
      <c r="C192">
        <v>16500145</v>
      </c>
      <c r="D192">
        <v>15247974</v>
      </c>
      <c r="E192">
        <v>1</v>
      </c>
      <c r="F192">
        <v>1</v>
      </c>
      <c r="G192">
        <v>1</v>
      </c>
      <c r="H192">
        <v>2</v>
      </c>
      <c r="I192" t="s">
        <v>640</v>
      </c>
      <c r="J192" t="s">
        <v>641</v>
      </c>
      <c r="K192" t="s">
        <v>642</v>
      </c>
      <c r="L192">
        <v>1368</v>
      </c>
      <c r="N192">
        <v>1011</v>
      </c>
      <c r="O192" t="s">
        <v>634</v>
      </c>
      <c r="P192" t="s">
        <v>634</v>
      </c>
      <c r="Q192">
        <v>1</v>
      </c>
      <c r="X192">
        <v>0.76</v>
      </c>
      <c r="Y192">
        <v>0</v>
      </c>
      <c r="Z192">
        <v>31.26</v>
      </c>
      <c r="AA192">
        <v>13.5</v>
      </c>
      <c r="AB192">
        <v>0</v>
      </c>
      <c r="AC192">
        <v>0</v>
      </c>
      <c r="AD192">
        <v>1</v>
      </c>
      <c r="AE192">
        <v>0</v>
      </c>
      <c r="AF192" t="s">
        <v>224</v>
      </c>
      <c r="AG192">
        <v>0.76</v>
      </c>
      <c r="AH192">
        <v>2</v>
      </c>
      <c r="AI192">
        <v>16500149</v>
      </c>
      <c r="AJ192">
        <v>173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ROW(Source!A63)</f>
        <v>63</v>
      </c>
      <c r="B193">
        <v>16500150</v>
      </c>
      <c r="C193">
        <v>16500145</v>
      </c>
      <c r="D193">
        <v>15248078</v>
      </c>
      <c r="E193">
        <v>1</v>
      </c>
      <c r="F193">
        <v>1</v>
      </c>
      <c r="G193">
        <v>1</v>
      </c>
      <c r="H193">
        <v>2</v>
      </c>
      <c r="I193" t="s">
        <v>769</v>
      </c>
      <c r="J193" t="s">
        <v>770</v>
      </c>
      <c r="K193" t="s">
        <v>771</v>
      </c>
      <c r="L193">
        <v>1368</v>
      </c>
      <c r="N193">
        <v>1011</v>
      </c>
      <c r="O193" t="s">
        <v>634</v>
      </c>
      <c r="P193" t="s">
        <v>634</v>
      </c>
      <c r="Q193">
        <v>1</v>
      </c>
      <c r="X193">
        <v>1.25</v>
      </c>
      <c r="Y193">
        <v>0</v>
      </c>
      <c r="Z193">
        <v>21.64</v>
      </c>
      <c r="AA193">
        <v>10.06</v>
      </c>
      <c r="AB193">
        <v>0</v>
      </c>
      <c r="AC193">
        <v>0</v>
      </c>
      <c r="AD193">
        <v>1</v>
      </c>
      <c r="AE193">
        <v>0</v>
      </c>
      <c r="AF193" t="s">
        <v>224</v>
      </c>
      <c r="AG193">
        <v>1.25</v>
      </c>
      <c r="AH193">
        <v>2</v>
      </c>
      <c r="AI193">
        <v>16500150</v>
      </c>
      <c r="AJ193">
        <v>174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ROW(Source!A63)</f>
        <v>63</v>
      </c>
      <c r="B194">
        <v>16500151</v>
      </c>
      <c r="C194">
        <v>16500145</v>
      </c>
      <c r="D194">
        <v>15249073</v>
      </c>
      <c r="E194">
        <v>1</v>
      </c>
      <c r="F194">
        <v>1</v>
      </c>
      <c r="G194">
        <v>1</v>
      </c>
      <c r="H194">
        <v>2</v>
      </c>
      <c r="I194" t="s">
        <v>631</v>
      </c>
      <c r="J194" t="s">
        <v>632</v>
      </c>
      <c r="K194" t="s">
        <v>633</v>
      </c>
      <c r="L194">
        <v>1368</v>
      </c>
      <c r="N194">
        <v>1011</v>
      </c>
      <c r="O194" t="s">
        <v>634</v>
      </c>
      <c r="P194" t="s">
        <v>634</v>
      </c>
      <c r="Q194">
        <v>1</v>
      </c>
      <c r="X194">
        <v>0.28000000000000003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224</v>
      </c>
      <c r="AG194">
        <v>0.28000000000000003</v>
      </c>
      <c r="AH194">
        <v>2</v>
      </c>
      <c r="AI194">
        <v>16500151</v>
      </c>
      <c r="AJ194">
        <v>175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ROW(Source!A63)</f>
        <v>63</v>
      </c>
      <c r="B195">
        <v>16500152</v>
      </c>
      <c r="C195">
        <v>16500145</v>
      </c>
      <c r="D195">
        <v>15249397</v>
      </c>
      <c r="E195">
        <v>1</v>
      </c>
      <c r="F195">
        <v>1</v>
      </c>
      <c r="G195">
        <v>1</v>
      </c>
      <c r="H195">
        <v>2</v>
      </c>
      <c r="I195" t="s">
        <v>772</v>
      </c>
      <c r="J195" t="s">
        <v>773</v>
      </c>
      <c r="K195" t="s">
        <v>774</v>
      </c>
      <c r="L195">
        <v>1368</v>
      </c>
      <c r="N195">
        <v>1011</v>
      </c>
      <c r="O195" t="s">
        <v>634</v>
      </c>
      <c r="P195" t="s">
        <v>634</v>
      </c>
      <c r="Q195">
        <v>1</v>
      </c>
      <c r="X195">
        <v>0.51</v>
      </c>
      <c r="Y195">
        <v>0</v>
      </c>
      <c r="Z195">
        <v>90</v>
      </c>
      <c r="AA195">
        <v>10.06</v>
      </c>
      <c r="AB195">
        <v>0</v>
      </c>
      <c r="AC195">
        <v>0</v>
      </c>
      <c r="AD195">
        <v>1</v>
      </c>
      <c r="AE195">
        <v>0</v>
      </c>
      <c r="AF195" t="s">
        <v>224</v>
      </c>
      <c r="AG195">
        <v>0.51</v>
      </c>
      <c r="AH195">
        <v>2</v>
      </c>
      <c r="AI195">
        <v>16500152</v>
      </c>
      <c r="AJ195">
        <v>176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ROW(Source!A63)</f>
        <v>63</v>
      </c>
      <c r="B196">
        <v>16500153</v>
      </c>
      <c r="C196">
        <v>16500145</v>
      </c>
      <c r="D196">
        <v>15249979</v>
      </c>
      <c r="E196">
        <v>1</v>
      </c>
      <c r="F196">
        <v>1</v>
      </c>
      <c r="G196">
        <v>1</v>
      </c>
      <c r="H196">
        <v>2</v>
      </c>
      <c r="I196" t="s">
        <v>775</v>
      </c>
      <c r="J196" t="s">
        <v>776</v>
      </c>
      <c r="K196" t="s">
        <v>777</v>
      </c>
      <c r="L196">
        <v>1368</v>
      </c>
      <c r="N196">
        <v>1011</v>
      </c>
      <c r="O196" t="s">
        <v>634</v>
      </c>
      <c r="P196" t="s">
        <v>634</v>
      </c>
      <c r="Q196">
        <v>1</v>
      </c>
      <c r="X196">
        <v>32</v>
      </c>
      <c r="Y196">
        <v>0</v>
      </c>
      <c r="Z196">
        <v>1.5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224</v>
      </c>
      <c r="AG196">
        <v>32</v>
      </c>
      <c r="AH196">
        <v>2</v>
      </c>
      <c r="AI196">
        <v>16500153</v>
      </c>
      <c r="AJ196">
        <v>177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ROW(Source!A63)</f>
        <v>63</v>
      </c>
      <c r="B197">
        <v>16500154</v>
      </c>
      <c r="C197">
        <v>16500145</v>
      </c>
      <c r="D197">
        <v>15167286</v>
      </c>
      <c r="E197">
        <v>1</v>
      </c>
      <c r="F197">
        <v>1</v>
      </c>
      <c r="G197">
        <v>1</v>
      </c>
      <c r="H197">
        <v>3</v>
      </c>
      <c r="I197" t="s">
        <v>778</v>
      </c>
      <c r="J197" t="s">
        <v>779</v>
      </c>
      <c r="K197" t="s">
        <v>780</v>
      </c>
      <c r="L197">
        <v>1339</v>
      </c>
      <c r="N197">
        <v>1007</v>
      </c>
      <c r="O197" t="s">
        <v>691</v>
      </c>
      <c r="P197" t="s">
        <v>691</v>
      </c>
      <c r="Q197">
        <v>1</v>
      </c>
      <c r="X197">
        <v>0.40100000000000002</v>
      </c>
      <c r="Y197">
        <v>2.44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224</v>
      </c>
      <c r="AG197">
        <v>0.40100000000000002</v>
      </c>
      <c r="AH197">
        <v>2</v>
      </c>
      <c r="AI197">
        <v>16500154</v>
      </c>
      <c r="AJ197">
        <v>178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ROW(Source!A63)</f>
        <v>63</v>
      </c>
      <c r="B198">
        <v>16500155</v>
      </c>
      <c r="C198">
        <v>16500145</v>
      </c>
      <c r="D198">
        <v>15167719</v>
      </c>
      <c r="E198">
        <v>1</v>
      </c>
      <c r="F198">
        <v>1</v>
      </c>
      <c r="G198">
        <v>1</v>
      </c>
      <c r="H198">
        <v>3</v>
      </c>
      <c r="I198" t="s">
        <v>781</v>
      </c>
      <c r="J198" t="s">
        <v>782</v>
      </c>
      <c r="K198" t="s">
        <v>783</v>
      </c>
      <c r="L198">
        <v>1346</v>
      </c>
      <c r="N198">
        <v>1009</v>
      </c>
      <c r="O198" t="s">
        <v>303</v>
      </c>
      <c r="P198" t="s">
        <v>303</v>
      </c>
      <c r="Q198">
        <v>1</v>
      </c>
      <c r="X198">
        <v>284</v>
      </c>
      <c r="Y198">
        <v>16.600000000000001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224</v>
      </c>
      <c r="AG198">
        <v>284</v>
      </c>
      <c r="AH198">
        <v>2</v>
      </c>
      <c r="AI198">
        <v>16500155</v>
      </c>
      <c r="AJ198">
        <v>179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ROW(Source!A63)</f>
        <v>63</v>
      </c>
      <c r="B199">
        <v>16500156</v>
      </c>
      <c r="C199">
        <v>16500145</v>
      </c>
      <c r="D199">
        <v>15170537</v>
      </c>
      <c r="E199">
        <v>1</v>
      </c>
      <c r="F199">
        <v>1</v>
      </c>
      <c r="G199">
        <v>1</v>
      </c>
      <c r="H199">
        <v>3</v>
      </c>
      <c r="I199" t="s">
        <v>784</v>
      </c>
      <c r="J199" t="s">
        <v>785</v>
      </c>
      <c r="K199" t="s">
        <v>786</v>
      </c>
      <c r="L199">
        <v>1346</v>
      </c>
      <c r="N199">
        <v>1009</v>
      </c>
      <c r="O199" t="s">
        <v>303</v>
      </c>
      <c r="P199" t="s">
        <v>303</v>
      </c>
      <c r="Q199">
        <v>1</v>
      </c>
      <c r="X199">
        <v>2</v>
      </c>
      <c r="Y199">
        <v>5.71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224</v>
      </c>
      <c r="AG199">
        <v>2</v>
      </c>
      <c r="AH199">
        <v>2</v>
      </c>
      <c r="AI199">
        <v>16500156</v>
      </c>
      <c r="AJ199">
        <v>180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ROW(Source!A63)</f>
        <v>63</v>
      </c>
      <c r="B200">
        <v>16500157</v>
      </c>
      <c r="C200">
        <v>16500145</v>
      </c>
      <c r="D200">
        <v>15171651</v>
      </c>
      <c r="E200">
        <v>1</v>
      </c>
      <c r="F200">
        <v>1</v>
      </c>
      <c r="G200">
        <v>1</v>
      </c>
      <c r="H200">
        <v>3</v>
      </c>
      <c r="I200" t="s">
        <v>787</v>
      </c>
      <c r="J200" t="s">
        <v>788</v>
      </c>
      <c r="K200" t="s">
        <v>789</v>
      </c>
      <c r="L200">
        <v>1339</v>
      </c>
      <c r="N200">
        <v>1007</v>
      </c>
      <c r="O200" t="s">
        <v>691</v>
      </c>
      <c r="P200" t="s">
        <v>691</v>
      </c>
      <c r="Q200">
        <v>1</v>
      </c>
      <c r="X200">
        <v>1.39</v>
      </c>
      <c r="Y200">
        <v>96.95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224</v>
      </c>
      <c r="AG200">
        <v>1.39</v>
      </c>
      <c r="AH200">
        <v>2</v>
      </c>
      <c r="AI200">
        <v>16500157</v>
      </c>
      <c r="AJ200">
        <v>181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ROW(Source!A63)</f>
        <v>63</v>
      </c>
      <c r="B201">
        <v>16500158</v>
      </c>
      <c r="C201">
        <v>16500145</v>
      </c>
      <c r="D201">
        <v>15161580</v>
      </c>
      <c r="E201">
        <v>17</v>
      </c>
      <c r="F201">
        <v>1</v>
      </c>
      <c r="G201">
        <v>1</v>
      </c>
      <c r="H201">
        <v>3</v>
      </c>
      <c r="I201" t="s">
        <v>80</v>
      </c>
      <c r="J201" t="s">
        <v>224</v>
      </c>
      <c r="K201" t="s">
        <v>81</v>
      </c>
      <c r="L201">
        <v>1339</v>
      </c>
      <c r="N201">
        <v>1007</v>
      </c>
      <c r="O201" t="s">
        <v>691</v>
      </c>
      <c r="P201" t="s">
        <v>691</v>
      </c>
      <c r="Q201">
        <v>1</v>
      </c>
      <c r="X201">
        <v>0.8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224</v>
      </c>
      <c r="AG201">
        <v>0.8</v>
      </c>
      <c r="AH201">
        <v>3</v>
      </c>
      <c r="AI201">
        <v>-1</v>
      </c>
      <c r="AJ201" t="s">
        <v>224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ROW(Source!A63)</f>
        <v>63</v>
      </c>
      <c r="B202">
        <v>16500159</v>
      </c>
      <c r="C202">
        <v>16500145</v>
      </c>
      <c r="D202">
        <v>15172041</v>
      </c>
      <c r="E202">
        <v>1</v>
      </c>
      <c r="F202">
        <v>1</v>
      </c>
      <c r="G202">
        <v>1</v>
      </c>
      <c r="H202">
        <v>3</v>
      </c>
      <c r="I202" t="s">
        <v>790</v>
      </c>
      <c r="J202" t="s">
        <v>791</v>
      </c>
      <c r="K202" t="s">
        <v>792</v>
      </c>
      <c r="L202">
        <v>1348</v>
      </c>
      <c r="N202">
        <v>1009</v>
      </c>
      <c r="O202" t="s">
        <v>288</v>
      </c>
      <c r="P202" t="s">
        <v>288</v>
      </c>
      <c r="Q202">
        <v>1000</v>
      </c>
      <c r="X202">
        <v>0.90900000000000003</v>
      </c>
      <c r="Y202">
        <v>480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224</v>
      </c>
      <c r="AG202">
        <v>0.90900000000000003</v>
      </c>
      <c r="AH202">
        <v>2</v>
      </c>
      <c r="AI202">
        <v>16500159</v>
      </c>
      <c r="AJ202">
        <v>182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ROW(Source!A63)</f>
        <v>63</v>
      </c>
      <c r="B203">
        <v>16500160</v>
      </c>
      <c r="C203">
        <v>16500145</v>
      </c>
      <c r="D203">
        <v>15195806</v>
      </c>
      <c r="E203">
        <v>1</v>
      </c>
      <c r="F203">
        <v>1</v>
      </c>
      <c r="G203">
        <v>1</v>
      </c>
      <c r="H203">
        <v>3</v>
      </c>
      <c r="I203" t="s">
        <v>793</v>
      </c>
      <c r="J203" t="s">
        <v>794</v>
      </c>
      <c r="K203" t="s">
        <v>795</v>
      </c>
      <c r="L203">
        <v>1339</v>
      </c>
      <c r="N203">
        <v>1007</v>
      </c>
      <c r="O203" t="s">
        <v>691</v>
      </c>
      <c r="P203" t="s">
        <v>691</v>
      </c>
      <c r="Q203">
        <v>1</v>
      </c>
      <c r="X203">
        <v>0.01</v>
      </c>
      <c r="Y203">
        <v>1100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224</v>
      </c>
      <c r="AG203">
        <v>0.01</v>
      </c>
      <c r="AH203">
        <v>2</v>
      </c>
      <c r="AI203">
        <v>16500160</v>
      </c>
      <c r="AJ203">
        <v>183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ROW(Source!A63)</f>
        <v>63</v>
      </c>
      <c r="B204">
        <v>16500161</v>
      </c>
      <c r="C204">
        <v>16500145</v>
      </c>
      <c r="D204">
        <v>15203740</v>
      </c>
      <c r="E204">
        <v>1</v>
      </c>
      <c r="F204">
        <v>1</v>
      </c>
      <c r="G204">
        <v>1</v>
      </c>
      <c r="H204">
        <v>3</v>
      </c>
      <c r="I204" t="s">
        <v>796</v>
      </c>
      <c r="J204" t="s">
        <v>797</v>
      </c>
      <c r="K204" t="s">
        <v>798</v>
      </c>
      <c r="L204">
        <v>1348</v>
      </c>
      <c r="N204">
        <v>1009</v>
      </c>
      <c r="O204" t="s">
        <v>288</v>
      </c>
      <c r="P204" t="s">
        <v>288</v>
      </c>
      <c r="Q204">
        <v>1000</v>
      </c>
      <c r="X204">
        <v>7.0000000000000007E-2</v>
      </c>
      <c r="Y204">
        <v>15119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224</v>
      </c>
      <c r="AG204">
        <v>7.0000000000000007E-2</v>
      </c>
      <c r="AH204">
        <v>2</v>
      </c>
      <c r="AI204">
        <v>16500161</v>
      </c>
      <c r="AJ204">
        <v>184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ROW(Source!A64)</f>
        <v>64</v>
      </c>
      <c r="B205">
        <v>16500166</v>
      </c>
      <c r="C205">
        <v>16500165</v>
      </c>
      <c r="D205">
        <v>15432356</v>
      </c>
      <c r="E205">
        <v>1</v>
      </c>
      <c r="F205">
        <v>1</v>
      </c>
      <c r="G205">
        <v>1</v>
      </c>
      <c r="H205">
        <v>1</v>
      </c>
      <c r="I205" t="s">
        <v>799</v>
      </c>
      <c r="J205" t="s">
        <v>224</v>
      </c>
      <c r="K205" t="s">
        <v>800</v>
      </c>
      <c r="L205">
        <v>1191</v>
      </c>
      <c r="N205">
        <v>1013</v>
      </c>
      <c r="O205" t="s">
        <v>628</v>
      </c>
      <c r="P205" t="s">
        <v>628</v>
      </c>
      <c r="Q205">
        <v>1</v>
      </c>
      <c r="X205">
        <v>31.41</v>
      </c>
      <c r="Y205">
        <v>0</v>
      </c>
      <c r="Z205">
        <v>0</v>
      </c>
      <c r="AA205">
        <v>0</v>
      </c>
      <c r="AB205">
        <v>8.31</v>
      </c>
      <c r="AC205">
        <v>0</v>
      </c>
      <c r="AD205">
        <v>1</v>
      </c>
      <c r="AE205">
        <v>1</v>
      </c>
      <c r="AF205" t="s">
        <v>240</v>
      </c>
      <c r="AG205">
        <v>36.121499999999997</v>
      </c>
      <c r="AH205">
        <v>2</v>
      </c>
      <c r="AI205">
        <v>16500166</v>
      </c>
      <c r="AJ205">
        <v>185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ROW(Source!A64)</f>
        <v>64</v>
      </c>
      <c r="B206">
        <v>16500167</v>
      </c>
      <c r="C206">
        <v>16500165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629</v>
      </c>
      <c r="J206" t="s">
        <v>224</v>
      </c>
      <c r="K206" t="s">
        <v>630</v>
      </c>
      <c r="L206">
        <v>1191</v>
      </c>
      <c r="N206">
        <v>1013</v>
      </c>
      <c r="O206" t="s">
        <v>628</v>
      </c>
      <c r="P206" t="s">
        <v>628</v>
      </c>
      <c r="Q206">
        <v>1</v>
      </c>
      <c r="X206">
        <v>0.82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239</v>
      </c>
      <c r="AG206">
        <v>1.0249999999999999</v>
      </c>
      <c r="AH206">
        <v>2</v>
      </c>
      <c r="AI206">
        <v>16500167</v>
      </c>
      <c r="AJ206">
        <v>186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ROW(Source!A64)</f>
        <v>64</v>
      </c>
      <c r="B207">
        <v>16500168</v>
      </c>
      <c r="C207">
        <v>16500165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640</v>
      </c>
      <c r="J207" t="s">
        <v>641</v>
      </c>
      <c r="K207" t="s">
        <v>642</v>
      </c>
      <c r="L207">
        <v>1368</v>
      </c>
      <c r="N207">
        <v>1011</v>
      </c>
      <c r="O207" t="s">
        <v>634</v>
      </c>
      <c r="P207" t="s">
        <v>634</v>
      </c>
      <c r="Q207">
        <v>1</v>
      </c>
      <c r="X207">
        <v>0.34</v>
      </c>
      <c r="Y207">
        <v>0</v>
      </c>
      <c r="Z207">
        <v>31.26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239</v>
      </c>
      <c r="AG207">
        <v>0.42500000000000004</v>
      </c>
      <c r="AH207">
        <v>2</v>
      </c>
      <c r="AI207">
        <v>16500168</v>
      </c>
      <c r="AJ207">
        <v>187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ROW(Source!A64)</f>
        <v>64</v>
      </c>
      <c r="B208">
        <v>16500169</v>
      </c>
      <c r="C208">
        <v>16500165</v>
      </c>
      <c r="D208">
        <v>15249073</v>
      </c>
      <c r="E208">
        <v>1</v>
      </c>
      <c r="F208">
        <v>1</v>
      </c>
      <c r="G208">
        <v>1</v>
      </c>
      <c r="H208">
        <v>2</v>
      </c>
      <c r="I208" t="s">
        <v>631</v>
      </c>
      <c r="J208" t="s">
        <v>632</v>
      </c>
      <c r="K208" t="s">
        <v>633</v>
      </c>
      <c r="L208">
        <v>1368</v>
      </c>
      <c r="N208">
        <v>1011</v>
      </c>
      <c r="O208" t="s">
        <v>634</v>
      </c>
      <c r="P208" t="s">
        <v>634</v>
      </c>
      <c r="Q208">
        <v>1</v>
      </c>
      <c r="X208">
        <v>0.48</v>
      </c>
      <c r="Y208">
        <v>0</v>
      </c>
      <c r="Z208">
        <v>65.709999999999994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239</v>
      </c>
      <c r="AG208">
        <v>0.6</v>
      </c>
      <c r="AH208">
        <v>2</v>
      </c>
      <c r="AI208">
        <v>16500169</v>
      </c>
      <c r="AJ208">
        <v>188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ROW(Source!A64)</f>
        <v>64</v>
      </c>
      <c r="B209">
        <v>16500170</v>
      </c>
      <c r="C209">
        <v>16500165</v>
      </c>
      <c r="D209">
        <v>15250178</v>
      </c>
      <c r="E209">
        <v>1</v>
      </c>
      <c r="F209">
        <v>1</v>
      </c>
      <c r="G209">
        <v>1</v>
      </c>
      <c r="H209">
        <v>2</v>
      </c>
      <c r="I209" t="s">
        <v>801</v>
      </c>
      <c r="J209" t="s">
        <v>802</v>
      </c>
      <c r="K209" t="s">
        <v>803</v>
      </c>
      <c r="L209">
        <v>1368</v>
      </c>
      <c r="N209">
        <v>1011</v>
      </c>
      <c r="O209" t="s">
        <v>634</v>
      </c>
      <c r="P209" t="s">
        <v>634</v>
      </c>
      <c r="Q209">
        <v>1</v>
      </c>
      <c r="X209">
        <v>5.3</v>
      </c>
      <c r="Y209">
        <v>0</v>
      </c>
      <c r="Z209">
        <v>3.4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239</v>
      </c>
      <c r="AG209">
        <v>6.625</v>
      </c>
      <c r="AH209">
        <v>2</v>
      </c>
      <c r="AI209">
        <v>16500170</v>
      </c>
      <c r="AJ209">
        <v>189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ROW(Source!A64)</f>
        <v>64</v>
      </c>
      <c r="B210">
        <v>16500171</v>
      </c>
      <c r="C210">
        <v>16500165</v>
      </c>
      <c r="D210">
        <v>15162736</v>
      </c>
      <c r="E210">
        <v>17</v>
      </c>
      <c r="F210">
        <v>1</v>
      </c>
      <c r="G210">
        <v>1</v>
      </c>
      <c r="H210">
        <v>3</v>
      </c>
      <c r="I210" t="s">
        <v>82</v>
      </c>
      <c r="J210" t="s">
        <v>224</v>
      </c>
      <c r="K210" t="s">
        <v>83</v>
      </c>
      <c r="L210">
        <v>1327</v>
      </c>
      <c r="N210">
        <v>1005</v>
      </c>
      <c r="O210" t="s">
        <v>277</v>
      </c>
      <c r="P210" t="s">
        <v>277</v>
      </c>
      <c r="Q210">
        <v>1</v>
      </c>
      <c r="X210">
        <v>102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224</v>
      </c>
      <c r="AG210">
        <v>102</v>
      </c>
      <c r="AH210">
        <v>3</v>
      </c>
      <c r="AI210">
        <v>-1</v>
      </c>
      <c r="AJ210" t="s">
        <v>224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ROW(Source!A64)</f>
        <v>64</v>
      </c>
      <c r="B211">
        <v>16500172</v>
      </c>
      <c r="C211">
        <v>16500165</v>
      </c>
      <c r="D211">
        <v>15162739</v>
      </c>
      <c r="E211">
        <v>17</v>
      </c>
      <c r="F211">
        <v>1</v>
      </c>
      <c r="G211">
        <v>1</v>
      </c>
      <c r="H211">
        <v>3</v>
      </c>
      <c r="I211" t="s">
        <v>84</v>
      </c>
      <c r="J211" t="s">
        <v>224</v>
      </c>
      <c r="K211" t="s">
        <v>85</v>
      </c>
      <c r="L211">
        <v>1308</v>
      </c>
      <c r="N211">
        <v>1003</v>
      </c>
      <c r="O211" t="s">
        <v>256</v>
      </c>
      <c r="P211" t="s">
        <v>256</v>
      </c>
      <c r="Q211">
        <v>100</v>
      </c>
      <c r="X211">
        <v>0.68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 t="s">
        <v>224</v>
      </c>
      <c r="AG211">
        <v>0.68</v>
      </c>
      <c r="AH211">
        <v>3</v>
      </c>
      <c r="AI211">
        <v>-1</v>
      </c>
      <c r="AJ211" t="s">
        <v>224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ROW(Source!A65)</f>
        <v>65</v>
      </c>
      <c r="B212">
        <v>16500166</v>
      </c>
      <c r="C212">
        <v>16500165</v>
      </c>
      <c r="D212">
        <v>15432356</v>
      </c>
      <c r="E212">
        <v>1</v>
      </c>
      <c r="F212">
        <v>1</v>
      </c>
      <c r="G212">
        <v>1</v>
      </c>
      <c r="H212">
        <v>1</v>
      </c>
      <c r="I212" t="s">
        <v>799</v>
      </c>
      <c r="J212" t="s">
        <v>224</v>
      </c>
      <c r="K212" t="s">
        <v>800</v>
      </c>
      <c r="L212">
        <v>1191</v>
      </c>
      <c r="N212">
        <v>1013</v>
      </c>
      <c r="O212" t="s">
        <v>628</v>
      </c>
      <c r="P212" t="s">
        <v>628</v>
      </c>
      <c r="Q212">
        <v>1</v>
      </c>
      <c r="X212">
        <v>31.41</v>
      </c>
      <c r="Y212">
        <v>0</v>
      </c>
      <c r="Z212">
        <v>0</v>
      </c>
      <c r="AA212">
        <v>0</v>
      </c>
      <c r="AB212">
        <v>8.31</v>
      </c>
      <c r="AC212">
        <v>0</v>
      </c>
      <c r="AD212">
        <v>1</v>
      </c>
      <c r="AE212">
        <v>1</v>
      </c>
      <c r="AF212" t="s">
        <v>240</v>
      </c>
      <c r="AG212">
        <v>36.121499999999997</v>
      </c>
      <c r="AH212">
        <v>2</v>
      </c>
      <c r="AI212">
        <v>16500166</v>
      </c>
      <c r="AJ212">
        <v>192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ROW(Source!A65)</f>
        <v>65</v>
      </c>
      <c r="B213">
        <v>16500167</v>
      </c>
      <c r="C213">
        <v>16500165</v>
      </c>
      <c r="D213">
        <v>15430395</v>
      </c>
      <c r="E213">
        <v>1</v>
      </c>
      <c r="F213">
        <v>1</v>
      </c>
      <c r="G213">
        <v>1</v>
      </c>
      <c r="H213">
        <v>1</v>
      </c>
      <c r="I213" t="s">
        <v>629</v>
      </c>
      <c r="J213" t="s">
        <v>224</v>
      </c>
      <c r="K213" t="s">
        <v>630</v>
      </c>
      <c r="L213">
        <v>1191</v>
      </c>
      <c r="N213">
        <v>1013</v>
      </c>
      <c r="O213" t="s">
        <v>628</v>
      </c>
      <c r="P213" t="s">
        <v>628</v>
      </c>
      <c r="Q213">
        <v>1</v>
      </c>
      <c r="X213">
        <v>0.82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2</v>
      </c>
      <c r="AF213" t="s">
        <v>239</v>
      </c>
      <c r="AG213">
        <v>1.0249999999999999</v>
      </c>
      <c r="AH213">
        <v>2</v>
      </c>
      <c r="AI213">
        <v>16500167</v>
      </c>
      <c r="AJ213">
        <v>193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ROW(Source!A65)</f>
        <v>65</v>
      </c>
      <c r="B214">
        <v>16500168</v>
      </c>
      <c r="C214">
        <v>16500165</v>
      </c>
      <c r="D214">
        <v>15247974</v>
      </c>
      <c r="E214">
        <v>1</v>
      </c>
      <c r="F214">
        <v>1</v>
      </c>
      <c r="G214">
        <v>1</v>
      </c>
      <c r="H214">
        <v>2</v>
      </c>
      <c r="I214" t="s">
        <v>640</v>
      </c>
      <c r="J214" t="s">
        <v>641</v>
      </c>
      <c r="K214" t="s">
        <v>642</v>
      </c>
      <c r="L214">
        <v>1368</v>
      </c>
      <c r="N214">
        <v>1011</v>
      </c>
      <c r="O214" t="s">
        <v>634</v>
      </c>
      <c r="P214" t="s">
        <v>634</v>
      </c>
      <c r="Q214">
        <v>1</v>
      </c>
      <c r="X214">
        <v>0.34</v>
      </c>
      <c r="Y214">
        <v>0</v>
      </c>
      <c r="Z214">
        <v>31.26</v>
      </c>
      <c r="AA214">
        <v>13.5</v>
      </c>
      <c r="AB214">
        <v>0</v>
      </c>
      <c r="AC214">
        <v>0</v>
      </c>
      <c r="AD214">
        <v>1</v>
      </c>
      <c r="AE214">
        <v>0</v>
      </c>
      <c r="AF214" t="s">
        <v>239</v>
      </c>
      <c r="AG214">
        <v>0.42500000000000004</v>
      </c>
      <c r="AH214">
        <v>2</v>
      </c>
      <c r="AI214">
        <v>16500168</v>
      </c>
      <c r="AJ214">
        <v>194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ROW(Source!A65)</f>
        <v>65</v>
      </c>
      <c r="B215">
        <v>16500169</v>
      </c>
      <c r="C215">
        <v>16500165</v>
      </c>
      <c r="D215">
        <v>15249073</v>
      </c>
      <c r="E215">
        <v>1</v>
      </c>
      <c r="F215">
        <v>1</v>
      </c>
      <c r="G215">
        <v>1</v>
      </c>
      <c r="H215">
        <v>2</v>
      </c>
      <c r="I215" t="s">
        <v>631</v>
      </c>
      <c r="J215" t="s">
        <v>632</v>
      </c>
      <c r="K215" t="s">
        <v>633</v>
      </c>
      <c r="L215">
        <v>1368</v>
      </c>
      <c r="N215">
        <v>1011</v>
      </c>
      <c r="O215" t="s">
        <v>634</v>
      </c>
      <c r="P215" t="s">
        <v>634</v>
      </c>
      <c r="Q215">
        <v>1</v>
      </c>
      <c r="X215">
        <v>0.48</v>
      </c>
      <c r="Y215">
        <v>0</v>
      </c>
      <c r="Z215">
        <v>65.709999999999994</v>
      </c>
      <c r="AA215">
        <v>11.6</v>
      </c>
      <c r="AB215">
        <v>0</v>
      </c>
      <c r="AC215">
        <v>0</v>
      </c>
      <c r="AD215">
        <v>1</v>
      </c>
      <c r="AE215">
        <v>0</v>
      </c>
      <c r="AF215" t="s">
        <v>239</v>
      </c>
      <c r="AG215">
        <v>0.6</v>
      </c>
      <c r="AH215">
        <v>2</v>
      </c>
      <c r="AI215">
        <v>16500169</v>
      </c>
      <c r="AJ215">
        <v>195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ROW(Source!A65)</f>
        <v>65</v>
      </c>
      <c r="B216">
        <v>16500170</v>
      </c>
      <c r="C216">
        <v>16500165</v>
      </c>
      <c r="D216">
        <v>15250178</v>
      </c>
      <c r="E216">
        <v>1</v>
      </c>
      <c r="F216">
        <v>1</v>
      </c>
      <c r="G216">
        <v>1</v>
      </c>
      <c r="H216">
        <v>2</v>
      </c>
      <c r="I216" t="s">
        <v>801</v>
      </c>
      <c r="J216" t="s">
        <v>802</v>
      </c>
      <c r="K216" t="s">
        <v>803</v>
      </c>
      <c r="L216">
        <v>1368</v>
      </c>
      <c r="N216">
        <v>1011</v>
      </c>
      <c r="O216" t="s">
        <v>634</v>
      </c>
      <c r="P216" t="s">
        <v>634</v>
      </c>
      <c r="Q216">
        <v>1</v>
      </c>
      <c r="X216">
        <v>5.3</v>
      </c>
      <c r="Y216">
        <v>0</v>
      </c>
      <c r="Z216">
        <v>3.4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239</v>
      </c>
      <c r="AG216">
        <v>6.625</v>
      </c>
      <c r="AH216">
        <v>2</v>
      </c>
      <c r="AI216">
        <v>16500170</v>
      </c>
      <c r="AJ216">
        <v>196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ROW(Source!A65)</f>
        <v>65</v>
      </c>
      <c r="B217">
        <v>16500171</v>
      </c>
      <c r="C217">
        <v>16500165</v>
      </c>
      <c r="D217">
        <v>15162736</v>
      </c>
      <c r="E217">
        <v>17</v>
      </c>
      <c r="F217">
        <v>1</v>
      </c>
      <c r="G217">
        <v>1</v>
      </c>
      <c r="H217">
        <v>3</v>
      </c>
      <c r="I217" t="s">
        <v>82</v>
      </c>
      <c r="J217" t="s">
        <v>224</v>
      </c>
      <c r="K217" t="s">
        <v>83</v>
      </c>
      <c r="L217">
        <v>1327</v>
      </c>
      <c r="N217">
        <v>1005</v>
      </c>
      <c r="O217" t="s">
        <v>277</v>
      </c>
      <c r="P217" t="s">
        <v>277</v>
      </c>
      <c r="Q217">
        <v>1</v>
      </c>
      <c r="X217">
        <v>102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 t="s">
        <v>224</v>
      </c>
      <c r="AG217">
        <v>102</v>
      </c>
      <c r="AH217">
        <v>3</v>
      </c>
      <c r="AI217">
        <v>-1</v>
      </c>
      <c r="AJ217" t="s">
        <v>224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ROW(Source!A65)</f>
        <v>65</v>
      </c>
      <c r="B218">
        <v>16500172</v>
      </c>
      <c r="C218">
        <v>16500165</v>
      </c>
      <c r="D218">
        <v>15162739</v>
      </c>
      <c r="E218">
        <v>17</v>
      </c>
      <c r="F218">
        <v>1</v>
      </c>
      <c r="G218">
        <v>1</v>
      </c>
      <c r="H218">
        <v>3</v>
      </c>
      <c r="I218" t="s">
        <v>84</v>
      </c>
      <c r="J218" t="s">
        <v>224</v>
      </c>
      <c r="K218" t="s">
        <v>85</v>
      </c>
      <c r="L218">
        <v>1308</v>
      </c>
      <c r="N218">
        <v>1003</v>
      </c>
      <c r="O218" t="s">
        <v>256</v>
      </c>
      <c r="P218" t="s">
        <v>256</v>
      </c>
      <c r="Q218">
        <v>100</v>
      </c>
      <c r="X218">
        <v>0.68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224</v>
      </c>
      <c r="AG218">
        <v>0.68</v>
      </c>
      <c r="AH218">
        <v>3</v>
      </c>
      <c r="AI218">
        <v>-1</v>
      </c>
      <c r="AJ218" t="s">
        <v>224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ROW(Source!A70)</f>
        <v>70</v>
      </c>
      <c r="B219">
        <v>16500178</v>
      </c>
      <c r="C219">
        <v>16500177</v>
      </c>
      <c r="D219">
        <v>15438286</v>
      </c>
      <c r="E219">
        <v>1</v>
      </c>
      <c r="F219">
        <v>1</v>
      </c>
      <c r="G219">
        <v>1</v>
      </c>
      <c r="H219">
        <v>1</v>
      </c>
      <c r="I219" t="s">
        <v>804</v>
      </c>
      <c r="J219" t="s">
        <v>224</v>
      </c>
      <c r="K219" t="s">
        <v>805</v>
      </c>
      <c r="L219">
        <v>1191</v>
      </c>
      <c r="N219">
        <v>1013</v>
      </c>
      <c r="O219" t="s">
        <v>628</v>
      </c>
      <c r="P219" t="s">
        <v>628</v>
      </c>
      <c r="Q219">
        <v>1</v>
      </c>
      <c r="X219">
        <v>6.68</v>
      </c>
      <c r="Y219">
        <v>0</v>
      </c>
      <c r="Z219">
        <v>0</v>
      </c>
      <c r="AA219">
        <v>0</v>
      </c>
      <c r="AB219">
        <v>9.18</v>
      </c>
      <c r="AC219">
        <v>0</v>
      </c>
      <c r="AD219">
        <v>1</v>
      </c>
      <c r="AE219">
        <v>1</v>
      </c>
      <c r="AF219" t="s">
        <v>240</v>
      </c>
      <c r="AG219">
        <v>7.6819999999999995</v>
      </c>
      <c r="AH219">
        <v>2</v>
      </c>
      <c r="AI219">
        <v>16500178</v>
      </c>
      <c r="AJ219">
        <v>199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ROW(Source!A70)</f>
        <v>70</v>
      </c>
      <c r="B220">
        <v>16500179</v>
      </c>
      <c r="C220">
        <v>16500177</v>
      </c>
      <c r="D220">
        <v>15430395</v>
      </c>
      <c r="E220">
        <v>1</v>
      </c>
      <c r="F220">
        <v>1</v>
      </c>
      <c r="G220">
        <v>1</v>
      </c>
      <c r="H220">
        <v>1</v>
      </c>
      <c r="I220" t="s">
        <v>629</v>
      </c>
      <c r="J220" t="s">
        <v>224</v>
      </c>
      <c r="K220" t="s">
        <v>630</v>
      </c>
      <c r="L220">
        <v>1191</v>
      </c>
      <c r="N220">
        <v>1013</v>
      </c>
      <c r="O220" t="s">
        <v>628</v>
      </c>
      <c r="P220" t="s">
        <v>628</v>
      </c>
      <c r="Q220">
        <v>1</v>
      </c>
      <c r="X220">
        <v>0.04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239</v>
      </c>
      <c r="AG220">
        <v>0.05</v>
      </c>
      <c r="AH220">
        <v>2</v>
      </c>
      <c r="AI220">
        <v>16500179</v>
      </c>
      <c r="AJ220">
        <v>200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ROW(Source!A70)</f>
        <v>70</v>
      </c>
      <c r="B221">
        <v>16500180</v>
      </c>
      <c r="C221">
        <v>16500177</v>
      </c>
      <c r="D221">
        <v>15247974</v>
      </c>
      <c r="E221">
        <v>1</v>
      </c>
      <c r="F221">
        <v>1</v>
      </c>
      <c r="G221">
        <v>1</v>
      </c>
      <c r="H221">
        <v>2</v>
      </c>
      <c r="I221" t="s">
        <v>640</v>
      </c>
      <c r="J221" t="s">
        <v>641</v>
      </c>
      <c r="K221" t="s">
        <v>642</v>
      </c>
      <c r="L221">
        <v>1368</v>
      </c>
      <c r="N221">
        <v>1011</v>
      </c>
      <c r="O221" t="s">
        <v>634</v>
      </c>
      <c r="P221" t="s">
        <v>634</v>
      </c>
      <c r="Q221">
        <v>1</v>
      </c>
      <c r="X221">
        <v>5.0000000000000001E-3</v>
      </c>
      <c r="Y221">
        <v>0</v>
      </c>
      <c r="Z221">
        <v>31.26</v>
      </c>
      <c r="AA221">
        <v>13.5</v>
      </c>
      <c r="AB221">
        <v>0</v>
      </c>
      <c r="AC221">
        <v>0</v>
      </c>
      <c r="AD221">
        <v>1</v>
      </c>
      <c r="AE221">
        <v>0</v>
      </c>
      <c r="AF221" t="s">
        <v>239</v>
      </c>
      <c r="AG221">
        <v>6.2500000000000003E-3</v>
      </c>
      <c r="AH221">
        <v>2</v>
      </c>
      <c r="AI221">
        <v>16500180</v>
      </c>
      <c r="AJ221">
        <v>201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ROW(Source!A70)</f>
        <v>70</v>
      </c>
      <c r="B222">
        <v>16500181</v>
      </c>
      <c r="C222">
        <v>16500177</v>
      </c>
      <c r="D222">
        <v>15249073</v>
      </c>
      <c r="E222">
        <v>1</v>
      </c>
      <c r="F222">
        <v>1</v>
      </c>
      <c r="G222">
        <v>1</v>
      </c>
      <c r="H222">
        <v>2</v>
      </c>
      <c r="I222" t="s">
        <v>631</v>
      </c>
      <c r="J222" t="s">
        <v>632</v>
      </c>
      <c r="K222" t="s">
        <v>633</v>
      </c>
      <c r="L222">
        <v>1368</v>
      </c>
      <c r="N222">
        <v>1011</v>
      </c>
      <c r="O222" t="s">
        <v>634</v>
      </c>
      <c r="P222" t="s">
        <v>634</v>
      </c>
      <c r="Q222">
        <v>1</v>
      </c>
      <c r="X222">
        <v>0.03</v>
      </c>
      <c r="Y222">
        <v>0</v>
      </c>
      <c r="Z222">
        <v>65.709999999999994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239</v>
      </c>
      <c r="AG222">
        <v>3.7499999999999999E-2</v>
      </c>
      <c r="AH222">
        <v>2</v>
      </c>
      <c r="AI222">
        <v>16500181</v>
      </c>
      <c r="AJ222">
        <v>202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ROW(Source!A70)</f>
        <v>70</v>
      </c>
      <c r="B223">
        <v>16500182</v>
      </c>
      <c r="C223">
        <v>16500177</v>
      </c>
      <c r="D223">
        <v>15169972</v>
      </c>
      <c r="E223">
        <v>1</v>
      </c>
      <c r="F223">
        <v>1</v>
      </c>
      <c r="G223">
        <v>1</v>
      </c>
      <c r="H223">
        <v>3</v>
      </c>
      <c r="I223" t="s">
        <v>806</v>
      </c>
      <c r="J223" t="s">
        <v>807</v>
      </c>
      <c r="K223" t="s">
        <v>808</v>
      </c>
      <c r="L223">
        <v>1355</v>
      </c>
      <c r="N223">
        <v>1010</v>
      </c>
      <c r="O223" t="s">
        <v>356</v>
      </c>
      <c r="P223" t="s">
        <v>356</v>
      </c>
      <c r="Q223">
        <v>100</v>
      </c>
      <c r="X223">
        <v>2.63</v>
      </c>
      <c r="Y223">
        <v>12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224</v>
      </c>
      <c r="AG223">
        <v>2.63</v>
      </c>
      <c r="AH223">
        <v>2</v>
      </c>
      <c r="AI223">
        <v>16500182</v>
      </c>
      <c r="AJ223">
        <v>203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ROW(Source!A70)</f>
        <v>70</v>
      </c>
      <c r="B224">
        <v>16500183</v>
      </c>
      <c r="C224">
        <v>16500177</v>
      </c>
      <c r="D224">
        <v>15170075</v>
      </c>
      <c r="E224">
        <v>1</v>
      </c>
      <c r="F224">
        <v>1</v>
      </c>
      <c r="G224">
        <v>1</v>
      </c>
      <c r="H224">
        <v>3</v>
      </c>
      <c r="I224" t="s">
        <v>809</v>
      </c>
      <c r="J224" t="s">
        <v>810</v>
      </c>
      <c r="K224" t="s">
        <v>811</v>
      </c>
      <c r="L224">
        <v>1356</v>
      </c>
      <c r="N224">
        <v>1010</v>
      </c>
      <c r="O224" t="s">
        <v>812</v>
      </c>
      <c r="P224" t="s">
        <v>812</v>
      </c>
      <c r="Q224">
        <v>1000</v>
      </c>
      <c r="X224">
        <v>0.26300000000000001</v>
      </c>
      <c r="Y224">
        <v>160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224</v>
      </c>
      <c r="AG224">
        <v>0.26300000000000001</v>
      </c>
      <c r="AH224">
        <v>2</v>
      </c>
      <c r="AI224">
        <v>16500183</v>
      </c>
      <c r="AJ224">
        <v>204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ROW(Source!A70)</f>
        <v>70</v>
      </c>
      <c r="B225">
        <v>16500184</v>
      </c>
      <c r="C225">
        <v>16500177</v>
      </c>
      <c r="D225">
        <v>15162756</v>
      </c>
      <c r="E225">
        <v>17</v>
      </c>
      <c r="F225">
        <v>1</v>
      </c>
      <c r="G225">
        <v>1</v>
      </c>
      <c r="H225">
        <v>3</v>
      </c>
      <c r="I225" t="s">
        <v>86</v>
      </c>
      <c r="J225" t="s">
        <v>224</v>
      </c>
      <c r="K225" t="s">
        <v>87</v>
      </c>
      <c r="L225">
        <v>1301</v>
      </c>
      <c r="N225">
        <v>1003</v>
      </c>
      <c r="O225" t="s">
        <v>351</v>
      </c>
      <c r="P225" t="s">
        <v>351</v>
      </c>
      <c r="Q225">
        <v>1</v>
      </c>
      <c r="X225">
        <v>101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224</v>
      </c>
      <c r="AG225">
        <v>101</v>
      </c>
      <c r="AH225">
        <v>3</v>
      </c>
      <c r="AI225">
        <v>-1</v>
      </c>
      <c r="AJ225" t="s">
        <v>224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ROW(Source!A70)</f>
        <v>70</v>
      </c>
      <c r="B226">
        <v>16500185</v>
      </c>
      <c r="C226">
        <v>16500177</v>
      </c>
      <c r="D226">
        <v>15162763</v>
      </c>
      <c r="E226">
        <v>17</v>
      </c>
      <c r="F226">
        <v>1</v>
      </c>
      <c r="G226">
        <v>1</v>
      </c>
      <c r="H226">
        <v>3</v>
      </c>
      <c r="I226" t="s">
        <v>88</v>
      </c>
      <c r="J226" t="s">
        <v>224</v>
      </c>
      <c r="K226" t="s">
        <v>89</v>
      </c>
      <c r="L226">
        <v>1354</v>
      </c>
      <c r="N226">
        <v>1010</v>
      </c>
      <c r="O226" t="s">
        <v>413</v>
      </c>
      <c r="P226" t="s">
        <v>413</v>
      </c>
      <c r="Q226">
        <v>1</v>
      </c>
      <c r="X226">
        <v>7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224</v>
      </c>
      <c r="AG226">
        <v>7</v>
      </c>
      <c r="AH226">
        <v>3</v>
      </c>
      <c r="AI226">
        <v>-1</v>
      </c>
      <c r="AJ226" t="s">
        <v>224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ROW(Source!A70)</f>
        <v>70</v>
      </c>
      <c r="B227">
        <v>16500186</v>
      </c>
      <c r="C227">
        <v>16500177</v>
      </c>
      <c r="D227">
        <v>15162762</v>
      </c>
      <c r="E227">
        <v>17</v>
      </c>
      <c r="F227">
        <v>1</v>
      </c>
      <c r="G227">
        <v>1</v>
      </c>
      <c r="H227">
        <v>3</v>
      </c>
      <c r="I227" t="s">
        <v>88</v>
      </c>
      <c r="J227" t="s">
        <v>224</v>
      </c>
      <c r="K227" t="s">
        <v>90</v>
      </c>
      <c r="L227">
        <v>1354</v>
      </c>
      <c r="N227">
        <v>1010</v>
      </c>
      <c r="O227" t="s">
        <v>413</v>
      </c>
      <c r="P227" t="s">
        <v>413</v>
      </c>
      <c r="Q227">
        <v>1</v>
      </c>
      <c r="X227">
        <v>7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 t="s">
        <v>224</v>
      </c>
      <c r="AG227">
        <v>7</v>
      </c>
      <c r="AH227">
        <v>3</v>
      </c>
      <c r="AI227">
        <v>-1</v>
      </c>
      <c r="AJ227" t="s">
        <v>224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ROW(Source!A70)</f>
        <v>70</v>
      </c>
      <c r="B228">
        <v>16500187</v>
      </c>
      <c r="C228">
        <v>16500177</v>
      </c>
      <c r="D228">
        <v>15162761</v>
      </c>
      <c r="E228">
        <v>17</v>
      </c>
      <c r="F228">
        <v>1</v>
      </c>
      <c r="G228">
        <v>1</v>
      </c>
      <c r="H228">
        <v>3</v>
      </c>
      <c r="I228" t="s">
        <v>88</v>
      </c>
      <c r="J228" t="s">
        <v>224</v>
      </c>
      <c r="K228" t="s">
        <v>91</v>
      </c>
      <c r="L228">
        <v>1354</v>
      </c>
      <c r="N228">
        <v>1010</v>
      </c>
      <c r="O228" t="s">
        <v>413</v>
      </c>
      <c r="P228" t="s">
        <v>413</v>
      </c>
      <c r="Q228">
        <v>1</v>
      </c>
      <c r="X228">
        <v>40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224</v>
      </c>
      <c r="AG228">
        <v>40</v>
      </c>
      <c r="AH228">
        <v>3</v>
      </c>
      <c r="AI228">
        <v>-1</v>
      </c>
      <c r="AJ228" t="s">
        <v>224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ROW(Source!A70)</f>
        <v>70</v>
      </c>
      <c r="B229">
        <v>16500188</v>
      </c>
      <c r="C229">
        <v>16500177</v>
      </c>
      <c r="D229">
        <v>15162759</v>
      </c>
      <c r="E229">
        <v>17</v>
      </c>
      <c r="F229">
        <v>1</v>
      </c>
      <c r="G229">
        <v>1</v>
      </c>
      <c r="H229">
        <v>3</v>
      </c>
      <c r="I229" t="s">
        <v>88</v>
      </c>
      <c r="J229" t="s">
        <v>224</v>
      </c>
      <c r="K229" t="s">
        <v>92</v>
      </c>
      <c r="L229">
        <v>1354</v>
      </c>
      <c r="N229">
        <v>1010</v>
      </c>
      <c r="O229" t="s">
        <v>413</v>
      </c>
      <c r="P229" t="s">
        <v>413</v>
      </c>
      <c r="Q229">
        <v>1</v>
      </c>
      <c r="X229">
        <v>8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224</v>
      </c>
      <c r="AG229">
        <v>8</v>
      </c>
      <c r="AH229">
        <v>3</v>
      </c>
      <c r="AI229">
        <v>-1</v>
      </c>
      <c r="AJ229" t="s">
        <v>224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ROW(Source!A70)</f>
        <v>70</v>
      </c>
      <c r="B230">
        <v>16500189</v>
      </c>
      <c r="C230">
        <v>16500177</v>
      </c>
      <c r="D230">
        <v>15162760</v>
      </c>
      <c r="E230">
        <v>17</v>
      </c>
      <c r="F230">
        <v>1</v>
      </c>
      <c r="G230">
        <v>1</v>
      </c>
      <c r="H230">
        <v>3</v>
      </c>
      <c r="I230" t="s">
        <v>88</v>
      </c>
      <c r="J230" t="s">
        <v>224</v>
      </c>
      <c r="K230" t="s">
        <v>93</v>
      </c>
      <c r="L230">
        <v>1354</v>
      </c>
      <c r="N230">
        <v>1010</v>
      </c>
      <c r="O230" t="s">
        <v>413</v>
      </c>
      <c r="P230" t="s">
        <v>413</v>
      </c>
      <c r="Q230">
        <v>1</v>
      </c>
      <c r="X230">
        <v>8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 t="s">
        <v>224</v>
      </c>
      <c r="AG230">
        <v>8</v>
      </c>
      <c r="AH230">
        <v>3</v>
      </c>
      <c r="AI230">
        <v>-1</v>
      </c>
      <c r="AJ230" t="s">
        <v>224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ROW(Source!A71)</f>
        <v>71</v>
      </c>
      <c r="B231">
        <v>16500178</v>
      </c>
      <c r="C231">
        <v>16500177</v>
      </c>
      <c r="D231">
        <v>15438286</v>
      </c>
      <c r="E231">
        <v>1</v>
      </c>
      <c r="F231">
        <v>1</v>
      </c>
      <c r="G231">
        <v>1</v>
      </c>
      <c r="H231">
        <v>1</v>
      </c>
      <c r="I231" t="s">
        <v>804</v>
      </c>
      <c r="J231" t="s">
        <v>224</v>
      </c>
      <c r="K231" t="s">
        <v>805</v>
      </c>
      <c r="L231">
        <v>1191</v>
      </c>
      <c r="N231">
        <v>1013</v>
      </c>
      <c r="O231" t="s">
        <v>628</v>
      </c>
      <c r="P231" t="s">
        <v>628</v>
      </c>
      <c r="Q231">
        <v>1</v>
      </c>
      <c r="X231">
        <v>6.68</v>
      </c>
      <c r="Y231">
        <v>0</v>
      </c>
      <c r="Z231">
        <v>0</v>
      </c>
      <c r="AA231">
        <v>0</v>
      </c>
      <c r="AB231">
        <v>9.18</v>
      </c>
      <c r="AC231">
        <v>0</v>
      </c>
      <c r="AD231">
        <v>1</v>
      </c>
      <c r="AE231">
        <v>1</v>
      </c>
      <c r="AF231" t="s">
        <v>240</v>
      </c>
      <c r="AG231">
        <v>7.6819999999999995</v>
      </c>
      <c r="AH231">
        <v>2</v>
      </c>
      <c r="AI231">
        <v>16500178</v>
      </c>
      <c r="AJ231">
        <v>211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ROW(Source!A71)</f>
        <v>71</v>
      </c>
      <c r="B232">
        <v>16500179</v>
      </c>
      <c r="C232">
        <v>16500177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629</v>
      </c>
      <c r="J232" t="s">
        <v>224</v>
      </c>
      <c r="K232" t="s">
        <v>630</v>
      </c>
      <c r="L232">
        <v>1191</v>
      </c>
      <c r="N232">
        <v>1013</v>
      </c>
      <c r="O232" t="s">
        <v>628</v>
      </c>
      <c r="P232" t="s">
        <v>628</v>
      </c>
      <c r="Q232">
        <v>1</v>
      </c>
      <c r="X232">
        <v>0.04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239</v>
      </c>
      <c r="AG232">
        <v>0.05</v>
      </c>
      <c r="AH232">
        <v>2</v>
      </c>
      <c r="AI232">
        <v>16500179</v>
      </c>
      <c r="AJ232">
        <v>212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ROW(Source!A71)</f>
        <v>71</v>
      </c>
      <c r="B233">
        <v>16500180</v>
      </c>
      <c r="C233">
        <v>16500177</v>
      </c>
      <c r="D233">
        <v>15247974</v>
      </c>
      <c r="E233">
        <v>1</v>
      </c>
      <c r="F233">
        <v>1</v>
      </c>
      <c r="G233">
        <v>1</v>
      </c>
      <c r="H233">
        <v>2</v>
      </c>
      <c r="I233" t="s">
        <v>640</v>
      </c>
      <c r="J233" t="s">
        <v>641</v>
      </c>
      <c r="K233" t="s">
        <v>642</v>
      </c>
      <c r="L233">
        <v>1368</v>
      </c>
      <c r="N233">
        <v>1011</v>
      </c>
      <c r="O233" t="s">
        <v>634</v>
      </c>
      <c r="P233" t="s">
        <v>634</v>
      </c>
      <c r="Q233">
        <v>1</v>
      </c>
      <c r="X233">
        <v>5.0000000000000001E-3</v>
      </c>
      <c r="Y233">
        <v>0</v>
      </c>
      <c r="Z233">
        <v>31.26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239</v>
      </c>
      <c r="AG233">
        <v>6.2500000000000003E-3</v>
      </c>
      <c r="AH233">
        <v>2</v>
      </c>
      <c r="AI233">
        <v>16500180</v>
      </c>
      <c r="AJ233">
        <v>213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ROW(Source!A71)</f>
        <v>71</v>
      </c>
      <c r="B234">
        <v>16500181</v>
      </c>
      <c r="C234">
        <v>16500177</v>
      </c>
      <c r="D234">
        <v>15249073</v>
      </c>
      <c r="E234">
        <v>1</v>
      </c>
      <c r="F234">
        <v>1</v>
      </c>
      <c r="G234">
        <v>1</v>
      </c>
      <c r="H234">
        <v>2</v>
      </c>
      <c r="I234" t="s">
        <v>631</v>
      </c>
      <c r="J234" t="s">
        <v>632</v>
      </c>
      <c r="K234" t="s">
        <v>633</v>
      </c>
      <c r="L234">
        <v>1368</v>
      </c>
      <c r="N234">
        <v>1011</v>
      </c>
      <c r="O234" t="s">
        <v>634</v>
      </c>
      <c r="P234" t="s">
        <v>634</v>
      </c>
      <c r="Q234">
        <v>1</v>
      </c>
      <c r="X234">
        <v>0.03</v>
      </c>
      <c r="Y234">
        <v>0</v>
      </c>
      <c r="Z234">
        <v>65.709999999999994</v>
      </c>
      <c r="AA234">
        <v>11.6</v>
      </c>
      <c r="AB234">
        <v>0</v>
      </c>
      <c r="AC234">
        <v>0</v>
      </c>
      <c r="AD234">
        <v>1</v>
      </c>
      <c r="AE234">
        <v>0</v>
      </c>
      <c r="AF234" t="s">
        <v>239</v>
      </c>
      <c r="AG234">
        <v>3.7499999999999999E-2</v>
      </c>
      <c r="AH234">
        <v>2</v>
      </c>
      <c r="AI234">
        <v>16500181</v>
      </c>
      <c r="AJ234">
        <v>214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ROW(Source!A71)</f>
        <v>71</v>
      </c>
      <c r="B235">
        <v>16500182</v>
      </c>
      <c r="C235">
        <v>16500177</v>
      </c>
      <c r="D235">
        <v>15169972</v>
      </c>
      <c r="E235">
        <v>1</v>
      </c>
      <c r="F235">
        <v>1</v>
      </c>
      <c r="G235">
        <v>1</v>
      </c>
      <c r="H235">
        <v>3</v>
      </c>
      <c r="I235" t="s">
        <v>806</v>
      </c>
      <c r="J235" t="s">
        <v>807</v>
      </c>
      <c r="K235" t="s">
        <v>808</v>
      </c>
      <c r="L235">
        <v>1355</v>
      </c>
      <c r="N235">
        <v>1010</v>
      </c>
      <c r="O235" t="s">
        <v>356</v>
      </c>
      <c r="P235" t="s">
        <v>356</v>
      </c>
      <c r="Q235">
        <v>100</v>
      </c>
      <c r="X235">
        <v>2.63</v>
      </c>
      <c r="Y235">
        <v>12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224</v>
      </c>
      <c r="AG235">
        <v>2.63</v>
      </c>
      <c r="AH235">
        <v>2</v>
      </c>
      <c r="AI235">
        <v>16500182</v>
      </c>
      <c r="AJ235">
        <v>215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ROW(Source!A71)</f>
        <v>71</v>
      </c>
      <c r="B236">
        <v>16500183</v>
      </c>
      <c r="C236">
        <v>16500177</v>
      </c>
      <c r="D236">
        <v>15170075</v>
      </c>
      <c r="E236">
        <v>1</v>
      </c>
      <c r="F236">
        <v>1</v>
      </c>
      <c r="G236">
        <v>1</v>
      </c>
      <c r="H236">
        <v>3</v>
      </c>
      <c r="I236" t="s">
        <v>809</v>
      </c>
      <c r="J236" t="s">
        <v>810</v>
      </c>
      <c r="K236" t="s">
        <v>811</v>
      </c>
      <c r="L236">
        <v>1356</v>
      </c>
      <c r="N236">
        <v>1010</v>
      </c>
      <c r="O236" t="s">
        <v>812</v>
      </c>
      <c r="P236" t="s">
        <v>812</v>
      </c>
      <c r="Q236">
        <v>1000</v>
      </c>
      <c r="X236">
        <v>0.26300000000000001</v>
      </c>
      <c r="Y236">
        <v>160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224</v>
      </c>
      <c r="AG236">
        <v>0.26300000000000001</v>
      </c>
      <c r="AH236">
        <v>2</v>
      </c>
      <c r="AI236">
        <v>16500183</v>
      </c>
      <c r="AJ236">
        <v>216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ROW(Source!A71)</f>
        <v>71</v>
      </c>
      <c r="B237">
        <v>16500184</v>
      </c>
      <c r="C237">
        <v>16500177</v>
      </c>
      <c r="D237">
        <v>15162756</v>
      </c>
      <c r="E237">
        <v>17</v>
      </c>
      <c r="F237">
        <v>1</v>
      </c>
      <c r="G237">
        <v>1</v>
      </c>
      <c r="H237">
        <v>3</v>
      </c>
      <c r="I237" t="s">
        <v>86</v>
      </c>
      <c r="J237" t="s">
        <v>224</v>
      </c>
      <c r="K237" t="s">
        <v>87</v>
      </c>
      <c r="L237">
        <v>1301</v>
      </c>
      <c r="N237">
        <v>1003</v>
      </c>
      <c r="O237" t="s">
        <v>351</v>
      </c>
      <c r="P237" t="s">
        <v>351</v>
      </c>
      <c r="Q237">
        <v>1</v>
      </c>
      <c r="X237">
        <v>101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 t="s">
        <v>224</v>
      </c>
      <c r="AG237">
        <v>101</v>
      </c>
      <c r="AH237">
        <v>3</v>
      </c>
      <c r="AI237">
        <v>-1</v>
      </c>
      <c r="AJ237" t="s">
        <v>224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ROW(Source!A71)</f>
        <v>71</v>
      </c>
      <c r="B238">
        <v>16500185</v>
      </c>
      <c r="C238">
        <v>16500177</v>
      </c>
      <c r="D238">
        <v>15162763</v>
      </c>
      <c r="E238">
        <v>17</v>
      </c>
      <c r="F238">
        <v>1</v>
      </c>
      <c r="G238">
        <v>1</v>
      </c>
      <c r="H238">
        <v>3</v>
      </c>
      <c r="I238" t="s">
        <v>88</v>
      </c>
      <c r="J238" t="s">
        <v>224</v>
      </c>
      <c r="K238" t="s">
        <v>89</v>
      </c>
      <c r="L238">
        <v>1354</v>
      </c>
      <c r="N238">
        <v>1010</v>
      </c>
      <c r="O238" t="s">
        <v>413</v>
      </c>
      <c r="P238" t="s">
        <v>413</v>
      </c>
      <c r="Q238">
        <v>1</v>
      </c>
      <c r="X238">
        <v>7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224</v>
      </c>
      <c r="AG238">
        <v>7</v>
      </c>
      <c r="AH238">
        <v>3</v>
      </c>
      <c r="AI238">
        <v>-1</v>
      </c>
      <c r="AJ238" t="s">
        <v>224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ROW(Source!A71)</f>
        <v>71</v>
      </c>
      <c r="B239">
        <v>16500186</v>
      </c>
      <c r="C239">
        <v>16500177</v>
      </c>
      <c r="D239">
        <v>15162762</v>
      </c>
      <c r="E239">
        <v>17</v>
      </c>
      <c r="F239">
        <v>1</v>
      </c>
      <c r="G239">
        <v>1</v>
      </c>
      <c r="H239">
        <v>3</v>
      </c>
      <c r="I239" t="s">
        <v>88</v>
      </c>
      <c r="J239" t="s">
        <v>224</v>
      </c>
      <c r="K239" t="s">
        <v>90</v>
      </c>
      <c r="L239">
        <v>1354</v>
      </c>
      <c r="N239">
        <v>1010</v>
      </c>
      <c r="O239" t="s">
        <v>413</v>
      </c>
      <c r="P239" t="s">
        <v>413</v>
      </c>
      <c r="Q239">
        <v>1</v>
      </c>
      <c r="X239">
        <v>7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 t="s">
        <v>224</v>
      </c>
      <c r="AG239">
        <v>7</v>
      </c>
      <c r="AH239">
        <v>3</v>
      </c>
      <c r="AI239">
        <v>-1</v>
      </c>
      <c r="AJ239" t="s">
        <v>224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ROW(Source!A71)</f>
        <v>71</v>
      </c>
      <c r="B240">
        <v>16500187</v>
      </c>
      <c r="C240">
        <v>16500177</v>
      </c>
      <c r="D240">
        <v>15162761</v>
      </c>
      <c r="E240">
        <v>17</v>
      </c>
      <c r="F240">
        <v>1</v>
      </c>
      <c r="G240">
        <v>1</v>
      </c>
      <c r="H240">
        <v>3</v>
      </c>
      <c r="I240" t="s">
        <v>88</v>
      </c>
      <c r="J240" t="s">
        <v>224</v>
      </c>
      <c r="K240" t="s">
        <v>91</v>
      </c>
      <c r="L240">
        <v>1354</v>
      </c>
      <c r="N240">
        <v>1010</v>
      </c>
      <c r="O240" t="s">
        <v>413</v>
      </c>
      <c r="P240" t="s">
        <v>413</v>
      </c>
      <c r="Q240">
        <v>1</v>
      </c>
      <c r="X240">
        <v>40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224</v>
      </c>
      <c r="AG240">
        <v>40</v>
      </c>
      <c r="AH240">
        <v>3</v>
      </c>
      <c r="AI240">
        <v>-1</v>
      </c>
      <c r="AJ240" t="s">
        <v>224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ROW(Source!A71)</f>
        <v>71</v>
      </c>
      <c r="B241">
        <v>16500188</v>
      </c>
      <c r="C241">
        <v>16500177</v>
      </c>
      <c r="D241">
        <v>15162759</v>
      </c>
      <c r="E241">
        <v>17</v>
      </c>
      <c r="F241">
        <v>1</v>
      </c>
      <c r="G241">
        <v>1</v>
      </c>
      <c r="H241">
        <v>3</v>
      </c>
      <c r="I241" t="s">
        <v>88</v>
      </c>
      <c r="J241" t="s">
        <v>224</v>
      </c>
      <c r="K241" t="s">
        <v>92</v>
      </c>
      <c r="L241">
        <v>1354</v>
      </c>
      <c r="N241">
        <v>1010</v>
      </c>
      <c r="O241" t="s">
        <v>413</v>
      </c>
      <c r="P241" t="s">
        <v>413</v>
      </c>
      <c r="Q241">
        <v>1</v>
      </c>
      <c r="X241">
        <v>8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224</v>
      </c>
      <c r="AG241">
        <v>8</v>
      </c>
      <c r="AH241">
        <v>3</v>
      </c>
      <c r="AI241">
        <v>-1</v>
      </c>
      <c r="AJ241" t="s">
        <v>224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ROW(Source!A71)</f>
        <v>71</v>
      </c>
      <c r="B242">
        <v>16500189</v>
      </c>
      <c r="C242">
        <v>16500177</v>
      </c>
      <c r="D242">
        <v>15162760</v>
      </c>
      <c r="E242">
        <v>17</v>
      </c>
      <c r="F242">
        <v>1</v>
      </c>
      <c r="G242">
        <v>1</v>
      </c>
      <c r="H242">
        <v>3</v>
      </c>
      <c r="I242" t="s">
        <v>88</v>
      </c>
      <c r="J242" t="s">
        <v>224</v>
      </c>
      <c r="K242" t="s">
        <v>93</v>
      </c>
      <c r="L242">
        <v>1354</v>
      </c>
      <c r="N242">
        <v>1010</v>
      </c>
      <c r="O242" t="s">
        <v>413</v>
      </c>
      <c r="P242" t="s">
        <v>413</v>
      </c>
      <c r="Q242">
        <v>1</v>
      </c>
      <c r="X242">
        <v>8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224</v>
      </c>
      <c r="AG242">
        <v>8</v>
      </c>
      <c r="AH242">
        <v>3</v>
      </c>
      <c r="AI242">
        <v>-1</v>
      </c>
      <c r="AJ242" t="s">
        <v>224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ROW(Source!A84)</f>
        <v>84</v>
      </c>
      <c r="B243">
        <v>16500209</v>
      </c>
      <c r="C243">
        <v>16500208</v>
      </c>
      <c r="D243">
        <v>15436014</v>
      </c>
      <c r="E243">
        <v>1</v>
      </c>
      <c r="F243">
        <v>1</v>
      </c>
      <c r="G243">
        <v>1</v>
      </c>
      <c r="H243">
        <v>1</v>
      </c>
      <c r="I243" t="s">
        <v>756</v>
      </c>
      <c r="J243" t="s">
        <v>224</v>
      </c>
      <c r="K243" t="s">
        <v>757</v>
      </c>
      <c r="L243">
        <v>1191</v>
      </c>
      <c r="N243">
        <v>1013</v>
      </c>
      <c r="O243" t="s">
        <v>628</v>
      </c>
      <c r="P243" t="s">
        <v>628</v>
      </c>
      <c r="Q243">
        <v>1</v>
      </c>
      <c r="X243">
        <v>16.64</v>
      </c>
      <c r="Y243">
        <v>0</v>
      </c>
      <c r="Z243">
        <v>0</v>
      </c>
      <c r="AA243">
        <v>0</v>
      </c>
      <c r="AB243">
        <v>8.74</v>
      </c>
      <c r="AC243">
        <v>0</v>
      </c>
      <c r="AD243">
        <v>1</v>
      </c>
      <c r="AE243">
        <v>1</v>
      </c>
      <c r="AF243" t="s">
        <v>240</v>
      </c>
      <c r="AG243">
        <v>19.135999999999999</v>
      </c>
      <c r="AH243">
        <v>2</v>
      </c>
      <c r="AI243">
        <v>16500209</v>
      </c>
      <c r="AJ243">
        <v>223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ROW(Source!A84)</f>
        <v>84</v>
      </c>
      <c r="B244">
        <v>16500210</v>
      </c>
      <c r="C244">
        <v>16500208</v>
      </c>
      <c r="D244">
        <v>15169972</v>
      </c>
      <c r="E244">
        <v>1</v>
      </c>
      <c r="F244">
        <v>1</v>
      </c>
      <c r="G244">
        <v>1</v>
      </c>
      <c r="H244">
        <v>3</v>
      </c>
      <c r="I244" t="s">
        <v>806</v>
      </c>
      <c r="J244" t="s">
        <v>807</v>
      </c>
      <c r="K244" t="s">
        <v>808</v>
      </c>
      <c r="L244">
        <v>1355</v>
      </c>
      <c r="N244">
        <v>1010</v>
      </c>
      <c r="O244" t="s">
        <v>356</v>
      </c>
      <c r="P244" t="s">
        <v>356</v>
      </c>
      <c r="Q244">
        <v>100</v>
      </c>
      <c r="X244">
        <v>6.7</v>
      </c>
      <c r="Y244">
        <v>12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224</v>
      </c>
      <c r="AG244">
        <v>6.7</v>
      </c>
      <c r="AH244">
        <v>2</v>
      </c>
      <c r="AI244">
        <v>16500210</v>
      </c>
      <c r="AJ244">
        <v>224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ROW(Source!A84)</f>
        <v>84</v>
      </c>
      <c r="B245">
        <v>16500211</v>
      </c>
      <c r="C245">
        <v>16500208</v>
      </c>
      <c r="D245">
        <v>15162775</v>
      </c>
      <c r="E245">
        <v>17</v>
      </c>
      <c r="F245">
        <v>1</v>
      </c>
      <c r="G245">
        <v>1</v>
      </c>
      <c r="H245">
        <v>3</v>
      </c>
      <c r="I245" t="s">
        <v>94</v>
      </c>
      <c r="J245" t="s">
        <v>224</v>
      </c>
      <c r="K245" t="s">
        <v>95</v>
      </c>
      <c r="L245">
        <v>1301</v>
      </c>
      <c r="N245">
        <v>1003</v>
      </c>
      <c r="O245" t="s">
        <v>351</v>
      </c>
      <c r="P245" t="s">
        <v>351</v>
      </c>
      <c r="Q245">
        <v>1</v>
      </c>
      <c r="X245">
        <v>105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224</v>
      </c>
      <c r="AG245">
        <v>105</v>
      </c>
      <c r="AH245">
        <v>3</v>
      </c>
      <c r="AI245">
        <v>-1</v>
      </c>
      <c r="AJ245" t="s">
        <v>224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ROW(Source!A85)</f>
        <v>85</v>
      </c>
      <c r="B246">
        <v>16500209</v>
      </c>
      <c r="C246">
        <v>16500208</v>
      </c>
      <c r="D246">
        <v>15436014</v>
      </c>
      <c r="E246">
        <v>1</v>
      </c>
      <c r="F246">
        <v>1</v>
      </c>
      <c r="G246">
        <v>1</v>
      </c>
      <c r="H246">
        <v>1</v>
      </c>
      <c r="I246" t="s">
        <v>756</v>
      </c>
      <c r="J246" t="s">
        <v>224</v>
      </c>
      <c r="K246" t="s">
        <v>757</v>
      </c>
      <c r="L246">
        <v>1191</v>
      </c>
      <c r="N246">
        <v>1013</v>
      </c>
      <c r="O246" t="s">
        <v>628</v>
      </c>
      <c r="P246" t="s">
        <v>628</v>
      </c>
      <c r="Q246">
        <v>1</v>
      </c>
      <c r="X246">
        <v>16.64</v>
      </c>
      <c r="Y246">
        <v>0</v>
      </c>
      <c r="Z246">
        <v>0</v>
      </c>
      <c r="AA246">
        <v>0</v>
      </c>
      <c r="AB246">
        <v>8.74</v>
      </c>
      <c r="AC246">
        <v>0</v>
      </c>
      <c r="AD246">
        <v>1</v>
      </c>
      <c r="AE246">
        <v>1</v>
      </c>
      <c r="AF246" t="s">
        <v>240</v>
      </c>
      <c r="AG246">
        <v>19.135999999999999</v>
      </c>
      <c r="AH246">
        <v>2</v>
      </c>
      <c r="AI246">
        <v>16500209</v>
      </c>
      <c r="AJ246">
        <v>226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ROW(Source!A85)</f>
        <v>85</v>
      </c>
      <c r="B247">
        <v>16500210</v>
      </c>
      <c r="C247">
        <v>16500208</v>
      </c>
      <c r="D247">
        <v>15169972</v>
      </c>
      <c r="E247">
        <v>1</v>
      </c>
      <c r="F247">
        <v>1</v>
      </c>
      <c r="G247">
        <v>1</v>
      </c>
      <c r="H247">
        <v>3</v>
      </c>
      <c r="I247" t="s">
        <v>806</v>
      </c>
      <c r="J247" t="s">
        <v>807</v>
      </c>
      <c r="K247" t="s">
        <v>808</v>
      </c>
      <c r="L247">
        <v>1355</v>
      </c>
      <c r="N247">
        <v>1010</v>
      </c>
      <c r="O247" t="s">
        <v>356</v>
      </c>
      <c r="P247" t="s">
        <v>356</v>
      </c>
      <c r="Q247">
        <v>100</v>
      </c>
      <c r="X247">
        <v>6.7</v>
      </c>
      <c r="Y247">
        <v>12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224</v>
      </c>
      <c r="AG247">
        <v>6.7</v>
      </c>
      <c r="AH247">
        <v>2</v>
      </c>
      <c r="AI247">
        <v>16500210</v>
      </c>
      <c r="AJ247">
        <v>227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ROW(Source!A85)</f>
        <v>85</v>
      </c>
      <c r="B248">
        <v>16500211</v>
      </c>
      <c r="C248">
        <v>16500208</v>
      </c>
      <c r="D248">
        <v>15162775</v>
      </c>
      <c r="E248">
        <v>17</v>
      </c>
      <c r="F248">
        <v>1</v>
      </c>
      <c r="G248">
        <v>1</v>
      </c>
      <c r="H248">
        <v>3</v>
      </c>
      <c r="I248" t="s">
        <v>94</v>
      </c>
      <c r="J248" t="s">
        <v>224</v>
      </c>
      <c r="K248" t="s">
        <v>95</v>
      </c>
      <c r="L248">
        <v>1301</v>
      </c>
      <c r="N248">
        <v>1003</v>
      </c>
      <c r="O248" t="s">
        <v>351</v>
      </c>
      <c r="P248" t="s">
        <v>351</v>
      </c>
      <c r="Q248">
        <v>1</v>
      </c>
      <c r="X248">
        <v>105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 t="s">
        <v>224</v>
      </c>
      <c r="AG248">
        <v>105</v>
      </c>
      <c r="AH248">
        <v>3</v>
      </c>
      <c r="AI248">
        <v>-1</v>
      </c>
      <c r="AJ248" t="s">
        <v>224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ROW(Source!A88)</f>
        <v>88</v>
      </c>
      <c r="B249">
        <v>16500239</v>
      </c>
      <c r="C249">
        <v>16500238</v>
      </c>
      <c r="D249">
        <v>15430397</v>
      </c>
      <c r="E249">
        <v>1</v>
      </c>
      <c r="F249">
        <v>1</v>
      </c>
      <c r="G249">
        <v>1</v>
      </c>
      <c r="H249">
        <v>1</v>
      </c>
      <c r="I249" t="s">
        <v>739</v>
      </c>
      <c r="J249" t="s">
        <v>224</v>
      </c>
      <c r="K249" t="s">
        <v>740</v>
      </c>
      <c r="L249">
        <v>1191</v>
      </c>
      <c r="N249">
        <v>1013</v>
      </c>
      <c r="O249" t="s">
        <v>628</v>
      </c>
      <c r="P249" t="s">
        <v>628</v>
      </c>
      <c r="Q249">
        <v>1</v>
      </c>
      <c r="X249">
        <v>173.87</v>
      </c>
      <c r="Y249">
        <v>0</v>
      </c>
      <c r="Z249">
        <v>0</v>
      </c>
      <c r="AA249">
        <v>0</v>
      </c>
      <c r="AB249">
        <v>9.4</v>
      </c>
      <c r="AC249">
        <v>0</v>
      </c>
      <c r="AD249">
        <v>1</v>
      </c>
      <c r="AE249">
        <v>1</v>
      </c>
      <c r="AF249" t="s">
        <v>240</v>
      </c>
      <c r="AG249">
        <v>199.95049999999998</v>
      </c>
      <c r="AH249">
        <v>2</v>
      </c>
      <c r="AI249">
        <v>16500239</v>
      </c>
      <c r="AJ249">
        <v>229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ROW(Source!A88)</f>
        <v>88</v>
      </c>
      <c r="B250">
        <v>16500240</v>
      </c>
      <c r="C250">
        <v>16500238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629</v>
      </c>
      <c r="J250" t="s">
        <v>224</v>
      </c>
      <c r="K250" t="s">
        <v>630</v>
      </c>
      <c r="L250">
        <v>1191</v>
      </c>
      <c r="N250">
        <v>1013</v>
      </c>
      <c r="O250" t="s">
        <v>628</v>
      </c>
      <c r="P250" t="s">
        <v>628</v>
      </c>
      <c r="Q250">
        <v>1</v>
      </c>
      <c r="X250">
        <v>3.21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2</v>
      </c>
      <c r="AF250" t="s">
        <v>239</v>
      </c>
      <c r="AG250">
        <v>4.0125000000000002</v>
      </c>
      <c r="AH250">
        <v>2</v>
      </c>
      <c r="AI250">
        <v>16500240</v>
      </c>
      <c r="AJ250">
        <v>230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ROW(Source!A88)</f>
        <v>88</v>
      </c>
      <c r="B251">
        <v>16500241</v>
      </c>
      <c r="C251">
        <v>16500238</v>
      </c>
      <c r="D251">
        <v>15247680</v>
      </c>
      <c r="E251">
        <v>1</v>
      </c>
      <c r="F251">
        <v>1</v>
      </c>
      <c r="G251">
        <v>1</v>
      </c>
      <c r="H251">
        <v>2</v>
      </c>
      <c r="I251" t="s">
        <v>670</v>
      </c>
      <c r="J251" t="s">
        <v>671</v>
      </c>
      <c r="K251" t="s">
        <v>672</v>
      </c>
      <c r="L251">
        <v>1368</v>
      </c>
      <c r="N251">
        <v>1011</v>
      </c>
      <c r="O251" t="s">
        <v>634</v>
      </c>
      <c r="P251" t="s">
        <v>634</v>
      </c>
      <c r="Q251">
        <v>1</v>
      </c>
      <c r="X251">
        <v>1.68</v>
      </c>
      <c r="Y251">
        <v>0</v>
      </c>
      <c r="Z251">
        <v>111.99</v>
      </c>
      <c r="AA251">
        <v>13.5</v>
      </c>
      <c r="AB251">
        <v>0</v>
      </c>
      <c r="AC251">
        <v>0</v>
      </c>
      <c r="AD251">
        <v>1</v>
      </c>
      <c r="AE251">
        <v>0</v>
      </c>
      <c r="AF251" t="s">
        <v>239</v>
      </c>
      <c r="AG251">
        <v>2.1</v>
      </c>
      <c r="AH251">
        <v>2</v>
      </c>
      <c r="AI251">
        <v>16500241</v>
      </c>
      <c r="AJ251">
        <v>231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ROW(Source!A88)</f>
        <v>88</v>
      </c>
      <c r="B252">
        <v>16500242</v>
      </c>
      <c r="C252">
        <v>16500238</v>
      </c>
      <c r="D252">
        <v>15249073</v>
      </c>
      <c r="E252">
        <v>1</v>
      </c>
      <c r="F252">
        <v>1</v>
      </c>
      <c r="G252">
        <v>1</v>
      </c>
      <c r="H252">
        <v>2</v>
      </c>
      <c r="I252" t="s">
        <v>631</v>
      </c>
      <c r="J252" t="s">
        <v>632</v>
      </c>
      <c r="K252" t="s">
        <v>633</v>
      </c>
      <c r="L252">
        <v>1368</v>
      </c>
      <c r="N252">
        <v>1011</v>
      </c>
      <c r="O252" t="s">
        <v>634</v>
      </c>
      <c r="P252" t="s">
        <v>634</v>
      </c>
      <c r="Q252">
        <v>1</v>
      </c>
      <c r="X252">
        <v>1.53</v>
      </c>
      <c r="Y252">
        <v>0</v>
      </c>
      <c r="Z252">
        <v>65.709999999999994</v>
      </c>
      <c r="AA252">
        <v>11.6</v>
      </c>
      <c r="AB252">
        <v>0</v>
      </c>
      <c r="AC252">
        <v>0</v>
      </c>
      <c r="AD252">
        <v>1</v>
      </c>
      <c r="AE252">
        <v>0</v>
      </c>
      <c r="AF252" t="s">
        <v>239</v>
      </c>
      <c r="AG252">
        <v>1.9125000000000001</v>
      </c>
      <c r="AH252">
        <v>2</v>
      </c>
      <c r="AI252">
        <v>16500242</v>
      </c>
      <c r="AJ252">
        <v>232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ROW(Source!A88)</f>
        <v>88</v>
      </c>
      <c r="B253">
        <v>16500243</v>
      </c>
      <c r="C253">
        <v>16500238</v>
      </c>
      <c r="D253">
        <v>15250017</v>
      </c>
      <c r="E253">
        <v>1</v>
      </c>
      <c r="F253">
        <v>1</v>
      </c>
      <c r="G253">
        <v>1</v>
      </c>
      <c r="H253">
        <v>2</v>
      </c>
      <c r="I253" t="s">
        <v>813</v>
      </c>
      <c r="J253" t="s">
        <v>814</v>
      </c>
      <c r="K253" t="s">
        <v>815</v>
      </c>
      <c r="L253">
        <v>1368</v>
      </c>
      <c r="N253">
        <v>1011</v>
      </c>
      <c r="O253" t="s">
        <v>634</v>
      </c>
      <c r="P253" t="s">
        <v>634</v>
      </c>
      <c r="Q253">
        <v>1</v>
      </c>
      <c r="X253">
        <v>9.26</v>
      </c>
      <c r="Y253">
        <v>0</v>
      </c>
      <c r="Z253">
        <v>33.590000000000003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239</v>
      </c>
      <c r="AG253">
        <v>11.574999999999999</v>
      </c>
      <c r="AH253">
        <v>2</v>
      </c>
      <c r="AI253">
        <v>16500243</v>
      </c>
      <c r="AJ253">
        <v>233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ROW(Source!A88)</f>
        <v>88</v>
      </c>
      <c r="B254">
        <v>16500244</v>
      </c>
      <c r="C254">
        <v>16500238</v>
      </c>
      <c r="D254">
        <v>15169965</v>
      </c>
      <c r="E254">
        <v>1</v>
      </c>
      <c r="F254">
        <v>1</v>
      </c>
      <c r="G254">
        <v>1</v>
      </c>
      <c r="H254">
        <v>3</v>
      </c>
      <c r="I254" t="s">
        <v>816</v>
      </c>
      <c r="J254" t="s">
        <v>817</v>
      </c>
      <c r="K254" t="s">
        <v>818</v>
      </c>
      <c r="L254">
        <v>1348</v>
      </c>
      <c r="N254">
        <v>1009</v>
      </c>
      <c r="O254" t="s">
        <v>288</v>
      </c>
      <c r="P254" t="s">
        <v>288</v>
      </c>
      <c r="Q254">
        <v>1000</v>
      </c>
      <c r="X254">
        <v>1.4E-3</v>
      </c>
      <c r="Y254">
        <v>25100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224</v>
      </c>
      <c r="AG254">
        <v>1.4E-3</v>
      </c>
      <c r="AH254">
        <v>2</v>
      </c>
      <c r="AI254">
        <v>16500244</v>
      </c>
      <c r="AJ254">
        <v>234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ROW(Source!A88)</f>
        <v>88</v>
      </c>
      <c r="B255">
        <v>16500245</v>
      </c>
      <c r="C255">
        <v>16500238</v>
      </c>
      <c r="D255">
        <v>15170031</v>
      </c>
      <c r="E255">
        <v>1</v>
      </c>
      <c r="F255">
        <v>1</v>
      </c>
      <c r="G255">
        <v>1</v>
      </c>
      <c r="H255">
        <v>3</v>
      </c>
      <c r="I255" t="s">
        <v>819</v>
      </c>
      <c r="J255" t="s">
        <v>820</v>
      </c>
      <c r="K255" t="s">
        <v>821</v>
      </c>
      <c r="L255">
        <v>1348</v>
      </c>
      <c r="N255">
        <v>1009</v>
      </c>
      <c r="O255" t="s">
        <v>288</v>
      </c>
      <c r="P255" t="s">
        <v>288</v>
      </c>
      <c r="Q255">
        <v>1000</v>
      </c>
      <c r="X255">
        <v>1.12E-2</v>
      </c>
      <c r="Y255">
        <v>15275.94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224</v>
      </c>
      <c r="AG255">
        <v>1.12E-2</v>
      </c>
      <c r="AH255">
        <v>2</v>
      </c>
      <c r="AI255">
        <v>16500245</v>
      </c>
      <c r="AJ255">
        <v>235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ROW(Source!A88)</f>
        <v>88</v>
      </c>
      <c r="B256">
        <v>16500246</v>
      </c>
      <c r="C256">
        <v>16500238</v>
      </c>
      <c r="D256">
        <v>15170059</v>
      </c>
      <c r="E256">
        <v>1</v>
      </c>
      <c r="F256">
        <v>1</v>
      </c>
      <c r="G256">
        <v>1</v>
      </c>
      <c r="H256">
        <v>3</v>
      </c>
      <c r="I256" t="s">
        <v>822</v>
      </c>
      <c r="J256" t="s">
        <v>823</v>
      </c>
      <c r="K256" t="s">
        <v>824</v>
      </c>
      <c r="L256">
        <v>1348</v>
      </c>
      <c r="N256">
        <v>1009</v>
      </c>
      <c r="O256" t="s">
        <v>288</v>
      </c>
      <c r="P256" t="s">
        <v>288</v>
      </c>
      <c r="Q256">
        <v>1000</v>
      </c>
      <c r="X256">
        <v>4.4999999999999999E-4</v>
      </c>
      <c r="Y256">
        <v>8475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224</v>
      </c>
      <c r="AG256">
        <v>4.4999999999999999E-4</v>
      </c>
      <c r="AH256">
        <v>2</v>
      </c>
      <c r="AI256">
        <v>16500246</v>
      </c>
      <c r="AJ256">
        <v>236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ROW(Source!A88)</f>
        <v>88</v>
      </c>
      <c r="B257">
        <v>16500247</v>
      </c>
      <c r="C257">
        <v>16500238</v>
      </c>
      <c r="D257">
        <v>15170392</v>
      </c>
      <c r="E257">
        <v>1</v>
      </c>
      <c r="F257">
        <v>1</v>
      </c>
      <c r="G257">
        <v>1</v>
      </c>
      <c r="H257">
        <v>3</v>
      </c>
      <c r="I257" t="s">
        <v>825</v>
      </c>
      <c r="J257" t="s">
        <v>826</v>
      </c>
      <c r="K257" t="s">
        <v>827</v>
      </c>
      <c r="L257">
        <v>1355</v>
      </c>
      <c r="N257">
        <v>1010</v>
      </c>
      <c r="O257" t="s">
        <v>356</v>
      </c>
      <c r="P257" t="s">
        <v>356</v>
      </c>
      <c r="Q257">
        <v>100</v>
      </c>
      <c r="X257">
        <v>0.66700000000000004</v>
      </c>
      <c r="Y257">
        <v>72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224</v>
      </c>
      <c r="AG257">
        <v>0.66700000000000004</v>
      </c>
      <c r="AH257">
        <v>2</v>
      </c>
      <c r="AI257">
        <v>16500247</v>
      </c>
      <c r="AJ257">
        <v>237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ROW(Source!A88)</f>
        <v>88</v>
      </c>
      <c r="B258">
        <v>16500248</v>
      </c>
      <c r="C258">
        <v>16500238</v>
      </c>
      <c r="D258">
        <v>15170411</v>
      </c>
      <c r="E258">
        <v>1</v>
      </c>
      <c r="F258">
        <v>1</v>
      </c>
      <c r="G258">
        <v>1</v>
      </c>
      <c r="H258">
        <v>3</v>
      </c>
      <c r="I258" t="s">
        <v>828</v>
      </c>
      <c r="J258" t="s">
        <v>829</v>
      </c>
      <c r="K258" t="s">
        <v>830</v>
      </c>
      <c r="L258">
        <v>1358</v>
      </c>
      <c r="N258">
        <v>1010</v>
      </c>
      <c r="O258" t="s">
        <v>831</v>
      </c>
      <c r="P258" t="s">
        <v>831</v>
      </c>
      <c r="Q258">
        <v>10</v>
      </c>
      <c r="X258">
        <v>100.8</v>
      </c>
      <c r="Y258">
        <v>58.51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224</v>
      </c>
      <c r="AG258">
        <v>100.8</v>
      </c>
      <c r="AH258">
        <v>2</v>
      </c>
      <c r="AI258">
        <v>16500248</v>
      </c>
      <c r="AJ258">
        <v>238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ROW(Source!A88)</f>
        <v>88</v>
      </c>
      <c r="B259">
        <v>16500249</v>
      </c>
      <c r="C259">
        <v>16500238</v>
      </c>
      <c r="D259">
        <v>15162846</v>
      </c>
      <c r="E259">
        <v>17</v>
      </c>
      <c r="F259">
        <v>1</v>
      </c>
      <c r="G259">
        <v>1</v>
      </c>
      <c r="H259">
        <v>3</v>
      </c>
      <c r="I259" t="s">
        <v>96</v>
      </c>
      <c r="J259" t="s">
        <v>224</v>
      </c>
      <c r="K259" t="s">
        <v>97</v>
      </c>
      <c r="L259">
        <v>1354</v>
      </c>
      <c r="N259">
        <v>1010</v>
      </c>
      <c r="O259" t="s">
        <v>413</v>
      </c>
      <c r="P259" t="s">
        <v>413</v>
      </c>
      <c r="Q259">
        <v>1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1</v>
      </c>
      <c r="AD259">
        <v>0</v>
      </c>
      <c r="AE259">
        <v>0</v>
      </c>
      <c r="AF259" t="s">
        <v>224</v>
      </c>
      <c r="AG259">
        <v>0</v>
      </c>
      <c r="AH259">
        <v>3</v>
      </c>
      <c r="AI259">
        <v>-1</v>
      </c>
      <c r="AJ259" t="s">
        <v>224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ROW(Source!A88)</f>
        <v>88</v>
      </c>
      <c r="B260">
        <v>16500250</v>
      </c>
      <c r="C260">
        <v>16500238</v>
      </c>
      <c r="D260">
        <v>15195779</v>
      </c>
      <c r="E260">
        <v>1</v>
      </c>
      <c r="F260">
        <v>1</v>
      </c>
      <c r="G260">
        <v>1</v>
      </c>
      <c r="H260">
        <v>3</v>
      </c>
      <c r="I260" t="s">
        <v>832</v>
      </c>
      <c r="J260" t="s">
        <v>833</v>
      </c>
      <c r="K260" t="s">
        <v>834</v>
      </c>
      <c r="L260">
        <v>1339</v>
      </c>
      <c r="N260">
        <v>1007</v>
      </c>
      <c r="O260" t="s">
        <v>691</v>
      </c>
      <c r="P260" t="s">
        <v>691</v>
      </c>
      <c r="Q260">
        <v>1</v>
      </c>
      <c r="X260">
        <v>0.46</v>
      </c>
      <c r="Y260">
        <v>1631.22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224</v>
      </c>
      <c r="AG260">
        <v>0.46</v>
      </c>
      <c r="AH260">
        <v>2</v>
      </c>
      <c r="AI260">
        <v>16500250</v>
      </c>
      <c r="AJ260">
        <v>239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ROW(Source!A88)</f>
        <v>88</v>
      </c>
      <c r="B261">
        <v>16500251</v>
      </c>
      <c r="C261">
        <v>16500238</v>
      </c>
      <c r="D261">
        <v>15195942</v>
      </c>
      <c r="E261">
        <v>1</v>
      </c>
      <c r="F261">
        <v>1</v>
      </c>
      <c r="G261">
        <v>1</v>
      </c>
      <c r="H261">
        <v>3</v>
      </c>
      <c r="I261" t="s">
        <v>835</v>
      </c>
      <c r="J261" t="s">
        <v>836</v>
      </c>
      <c r="K261" t="s">
        <v>837</v>
      </c>
      <c r="L261">
        <v>1339</v>
      </c>
      <c r="N261">
        <v>1007</v>
      </c>
      <c r="O261" t="s">
        <v>691</v>
      </c>
      <c r="P261" t="s">
        <v>691</v>
      </c>
      <c r="Q261">
        <v>1</v>
      </c>
      <c r="X261">
        <v>1.47</v>
      </c>
      <c r="Y261">
        <v>1611.84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224</v>
      </c>
      <c r="AG261">
        <v>1.47</v>
      </c>
      <c r="AH261">
        <v>2</v>
      </c>
      <c r="AI261">
        <v>16500251</v>
      </c>
      <c r="AJ261">
        <v>240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ROW(Source!A88)</f>
        <v>88</v>
      </c>
      <c r="B262">
        <v>16500252</v>
      </c>
      <c r="C262">
        <v>16500238</v>
      </c>
      <c r="D262">
        <v>15198028</v>
      </c>
      <c r="E262">
        <v>1</v>
      </c>
      <c r="F262">
        <v>1</v>
      </c>
      <c r="G262">
        <v>1</v>
      </c>
      <c r="H262">
        <v>3</v>
      </c>
      <c r="I262" t="s">
        <v>838</v>
      </c>
      <c r="J262" t="s">
        <v>839</v>
      </c>
      <c r="K262" t="s">
        <v>840</v>
      </c>
      <c r="L262">
        <v>1327</v>
      </c>
      <c r="N262">
        <v>1005</v>
      </c>
      <c r="O262" t="s">
        <v>277</v>
      </c>
      <c r="P262" t="s">
        <v>277</v>
      </c>
      <c r="Q262">
        <v>1</v>
      </c>
      <c r="X262">
        <v>116</v>
      </c>
      <c r="Y262">
        <v>12.37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224</v>
      </c>
      <c r="AG262">
        <v>116</v>
      </c>
      <c r="AH262">
        <v>2</v>
      </c>
      <c r="AI262">
        <v>16500252</v>
      </c>
      <c r="AJ262">
        <v>241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ROW(Source!A88)</f>
        <v>88</v>
      </c>
      <c r="B263">
        <v>16500253</v>
      </c>
      <c r="C263">
        <v>16500238</v>
      </c>
      <c r="D263">
        <v>15198456</v>
      </c>
      <c r="E263">
        <v>1</v>
      </c>
      <c r="F263">
        <v>1</v>
      </c>
      <c r="G263">
        <v>1</v>
      </c>
      <c r="H263">
        <v>3</v>
      </c>
      <c r="I263" t="s">
        <v>841</v>
      </c>
      <c r="J263" t="s">
        <v>842</v>
      </c>
      <c r="K263" t="s">
        <v>843</v>
      </c>
      <c r="L263">
        <v>1327</v>
      </c>
      <c r="N263">
        <v>1005</v>
      </c>
      <c r="O263" t="s">
        <v>277</v>
      </c>
      <c r="P263" t="s">
        <v>277</v>
      </c>
      <c r="Q263">
        <v>1</v>
      </c>
      <c r="X263">
        <v>3.62</v>
      </c>
      <c r="Y263">
        <v>6.22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224</v>
      </c>
      <c r="AG263">
        <v>3.62</v>
      </c>
      <c r="AH263">
        <v>2</v>
      </c>
      <c r="AI263">
        <v>16500253</v>
      </c>
      <c r="AJ263">
        <v>242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ROW(Source!A88)</f>
        <v>88</v>
      </c>
      <c r="B264">
        <v>16500254</v>
      </c>
      <c r="C264">
        <v>16500238</v>
      </c>
      <c r="D264">
        <v>15162849</v>
      </c>
      <c r="E264">
        <v>17</v>
      </c>
      <c r="F264">
        <v>1</v>
      </c>
      <c r="G264">
        <v>1</v>
      </c>
      <c r="H264">
        <v>3</v>
      </c>
      <c r="I264" t="s">
        <v>98</v>
      </c>
      <c r="J264" t="s">
        <v>224</v>
      </c>
      <c r="K264" t="s">
        <v>99</v>
      </c>
      <c r="L264">
        <v>1327</v>
      </c>
      <c r="N264">
        <v>1005</v>
      </c>
      <c r="O264" t="s">
        <v>277</v>
      </c>
      <c r="P264" t="s">
        <v>277</v>
      </c>
      <c r="Q264">
        <v>1</v>
      </c>
      <c r="X264">
        <v>126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 t="s">
        <v>224</v>
      </c>
      <c r="AG264">
        <v>126</v>
      </c>
      <c r="AH264">
        <v>3</v>
      </c>
      <c r="AI264">
        <v>-1</v>
      </c>
      <c r="AJ264" t="s">
        <v>224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ROW(Source!A88)</f>
        <v>88</v>
      </c>
      <c r="B265">
        <v>16500255</v>
      </c>
      <c r="C265">
        <v>16500238</v>
      </c>
      <c r="D265">
        <v>15198820</v>
      </c>
      <c r="E265">
        <v>1</v>
      </c>
      <c r="F265">
        <v>1</v>
      </c>
      <c r="G265">
        <v>1</v>
      </c>
      <c r="H265">
        <v>3</v>
      </c>
      <c r="I265" t="s">
        <v>844</v>
      </c>
      <c r="J265" t="s">
        <v>0</v>
      </c>
      <c r="K265" t="s">
        <v>1</v>
      </c>
      <c r="L265">
        <v>1339</v>
      </c>
      <c r="N265">
        <v>1007</v>
      </c>
      <c r="O265" t="s">
        <v>691</v>
      </c>
      <c r="P265" t="s">
        <v>691</v>
      </c>
      <c r="Q265">
        <v>1</v>
      </c>
      <c r="X265">
        <v>0.31</v>
      </c>
      <c r="Y265">
        <v>200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224</v>
      </c>
      <c r="AG265">
        <v>0.31</v>
      </c>
      <c r="AH265">
        <v>2</v>
      </c>
      <c r="AI265">
        <v>16500255</v>
      </c>
      <c r="AJ265">
        <v>244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ROW(Source!A88)</f>
        <v>88</v>
      </c>
      <c r="B266">
        <v>16500256</v>
      </c>
      <c r="C266">
        <v>16500238</v>
      </c>
      <c r="D266">
        <v>15203713</v>
      </c>
      <c r="E266">
        <v>1</v>
      </c>
      <c r="F266">
        <v>1</v>
      </c>
      <c r="G266">
        <v>1</v>
      </c>
      <c r="H266">
        <v>3</v>
      </c>
      <c r="I266" t="s">
        <v>2</v>
      </c>
      <c r="J266" t="s">
        <v>3</v>
      </c>
      <c r="K266" t="s">
        <v>4</v>
      </c>
      <c r="L266">
        <v>1348</v>
      </c>
      <c r="N266">
        <v>1009</v>
      </c>
      <c r="O266" t="s">
        <v>288</v>
      </c>
      <c r="P266" t="s">
        <v>288</v>
      </c>
      <c r="Q266">
        <v>1000</v>
      </c>
      <c r="X266">
        <v>2.7000000000000001E-3</v>
      </c>
      <c r="Y266">
        <v>15707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224</v>
      </c>
      <c r="AG266">
        <v>2.7000000000000001E-3</v>
      </c>
      <c r="AH266">
        <v>2</v>
      </c>
      <c r="AI266">
        <v>16500256</v>
      </c>
      <c r="AJ266">
        <v>245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ROW(Source!A88)</f>
        <v>88</v>
      </c>
      <c r="B267">
        <v>16500257</v>
      </c>
      <c r="C267">
        <v>16500238</v>
      </c>
      <c r="D267">
        <v>15204294</v>
      </c>
      <c r="E267">
        <v>1</v>
      </c>
      <c r="F267">
        <v>1</v>
      </c>
      <c r="G267">
        <v>1</v>
      </c>
      <c r="H267">
        <v>3</v>
      </c>
      <c r="I267" t="s">
        <v>5</v>
      </c>
      <c r="J267" t="s">
        <v>6</v>
      </c>
      <c r="K267" t="s">
        <v>7</v>
      </c>
      <c r="L267">
        <v>1296</v>
      </c>
      <c r="N267">
        <v>1002</v>
      </c>
      <c r="O267" t="s">
        <v>8</v>
      </c>
      <c r="P267" t="s">
        <v>8</v>
      </c>
      <c r="Q267">
        <v>1</v>
      </c>
      <c r="X267">
        <v>0.75</v>
      </c>
      <c r="Y267">
        <v>76.8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224</v>
      </c>
      <c r="AG267">
        <v>0.75</v>
      </c>
      <c r="AH267">
        <v>2</v>
      </c>
      <c r="AI267">
        <v>16500257</v>
      </c>
      <c r="AJ267">
        <v>246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ROW(Source!A89)</f>
        <v>89</v>
      </c>
      <c r="B268">
        <v>16500239</v>
      </c>
      <c r="C268">
        <v>16500238</v>
      </c>
      <c r="D268">
        <v>15430397</v>
      </c>
      <c r="E268">
        <v>1</v>
      </c>
      <c r="F268">
        <v>1</v>
      </c>
      <c r="G268">
        <v>1</v>
      </c>
      <c r="H268">
        <v>1</v>
      </c>
      <c r="I268" t="s">
        <v>739</v>
      </c>
      <c r="J268" t="s">
        <v>224</v>
      </c>
      <c r="K268" t="s">
        <v>740</v>
      </c>
      <c r="L268">
        <v>1191</v>
      </c>
      <c r="N268">
        <v>1013</v>
      </c>
      <c r="O268" t="s">
        <v>628</v>
      </c>
      <c r="P268" t="s">
        <v>628</v>
      </c>
      <c r="Q268">
        <v>1</v>
      </c>
      <c r="X268">
        <v>173.87</v>
      </c>
      <c r="Y268">
        <v>0</v>
      </c>
      <c r="Z268">
        <v>0</v>
      </c>
      <c r="AA268">
        <v>0</v>
      </c>
      <c r="AB268">
        <v>9.4</v>
      </c>
      <c r="AC268">
        <v>0</v>
      </c>
      <c r="AD268">
        <v>1</v>
      </c>
      <c r="AE268">
        <v>1</v>
      </c>
      <c r="AF268" t="s">
        <v>240</v>
      </c>
      <c r="AG268">
        <v>199.95049999999998</v>
      </c>
      <c r="AH268">
        <v>2</v>
      </c>
      <c r="AI268">
        <v>16500239</v>
      </c>
      <c r="AJ268">
        <v>247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ROW(Source!A89)</f>
        <v>89</v>
      </c>
      <c r="B269">
        <v>16500240</v>
      </c>
      <c r="C269">
        <v>16500238</v>
      </c>
      <c r="D269">
        <v>15430395</v>
      </c>
      <c r="E269">
        <v>1</v>
      </c>
      <c r="F269">
        <v>1</v>
      </c>
      <c r="G269">
        <v>1</v>
      </c>
      <c r="H269">
        <v>1</v>
      </c>
      <c r="I269" t="s">
        <v>629</v>
      </c>
      <c r="J269" t="s">
        <v>224</v>
      </c>
      <c r="K269" t="s">
        <v>630</v>
      </c>
      <c r="L269">
        <v>1191</v>
      </c>
      <c r="N269">
        <v>1013</v>
      </c>
      <c r="O269" t="s">
        <v>628</v>
      </c>
      <c r="P269" t="s">
        <v>628</v>
      </c>
      <c r="Q269">
        <v>1</v>
      </c>
      <c r="X269">
        <v>3.21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2</v>
      </c>
      <c r="AF269" t="s">
        <v>239</v>
      </c>
      <c r="AG269">
        <v>4.0125000000000002</v>
      </c>
      <c r="AH269">
        <v>2</v>
      </c>
      <c r="AI269">
        <v>16500240</v>
      </c>
      <c r="AJ269">
        <v>248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ROW(Source!A89)</f>
        <v>89</v>
      </c>
      <c r="B270">
        <v>16500241</v>
      </c>
      <c r="C270">
        <v>16500238</v>
      </c>
      <c r="D270">
        <v>15247680</v>
      </c>
      <c r="E270">
        <v>1</v>
      </c>
      <c r="F270">
        <v>1</v>
      </c>
      <c r="G270">
        <v>1</v>
      </c>
      <c r="H270">
        <v>2</v>
      </c>
      <c r="I270" t="s">
        <v>670</v>
      </c>
      <c r="J270" t="s">
        <v>671</v>
      </c>
      <c r="K270" t="s">
        <v>672</v>
      </c>
      <c r="L270">
        <v>1368</v>
      </c>
      <c r="N270">
        <v>1011</v>
      </c>
      <c r="O270" t="s">
        <v>634</v>
      </c>
      <c r="P270" t="s">
        <v>634</v>
      </c>
      <c r="Q270">
        <v>1</v>
      </c>
      <c r="X270">
        <v>1.68</v>
      </c>
      <c r="Y270">
        <v>0</v>
      </c>
      <c r="Z270">
        <v>111.99</v>
      </c>
      <c r="AA270">
        <v>13.5</v>
      </c>
      <c r="AB270">
        <v>0</v>
      </c>
      <c r="AC270">
        <v>0</v>
      </c>
      <c r="AD270">
        <v>1</v>
      </c>
      <c r="AE270">
        <v>0</v>
      </c>
      <c r="AF270" t="s">
        <v>239</v>
      </c>
      <c r="AG270">
        <v>2.1</v>
      </c>
      <c r="AH270">
        <v>2</v>
      </c>
      <c r="AI270">
        <v>16500241</v>
      </c>
      <c r="AJ270">
        <v>249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ROW(Source!A89)</f>
        <v>89</v>
      </c>
      <c r="B271">
        <v>16500242</v>
      </c>
      <c r="C271">
        <v>16500238</v>
      </c>
      <c r="D271">
        <v>15249073</v>
      </c>
      <c r="E271">
        <v>1</v>
      </c>
      <c r="F271">
        <v>1</v>
      </c>
      <c r="G271">
        <v>1</v>
      </c>
      <c r="H271">
        <v>2</v>
      </c>
      <c r="I271" t="s">
        <v>631</v>
      </c>
      <c r="J271" t="s">
        <v>632</v>
      </c>
      <c r="K271" t="s">
        <v>633</v>
      </c>
      <c r="L271">
        <v>1368</v>
      </c>
      <c r="N271">
        <v>1011</v>
      </c>
      <c r="O271" t="s">
        <v>634</v>
      </c>
      <c r="P271" t="s">
        <v>634</v>
      </c>
      <c r="Q271">
        <v>1</v>
      </c>
      <c r="X271">
        <v>1.53</v>
      </c>
      <c r="Y271">
        <v>0</v>
      </c>
      <c r="Z271">
        <v>65.709999999999994</v>
      </c>
      <c r="AA271">
        <v>11.6</v>
      </c>
      <c r="AB271">
        <v>0</v>
      </c>
      <c r="AC271">
        <v>0</v>
      </c>
      <c r="AD271">
        <v>1</v>
      </c>
      <c r="AE271">
        <v>0</v>
      </c>
      <c r="AF271" t="s">
        <v>239</v>
      </c>
      <c r="AG271">
        <v>1.9125000000000001</v>
      </c>
      <c r="AH271">
        <v>2</v>
      </c>
      <c r="AI271">
        <v>16500242</v>
      </c>
      <c r="AJ271">
        <v>250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ROW(Source!A89)</f>
        <v>89</v>
      </c>
      <c r="B272">
        <v>16500243</v>
      </c>
      <c r="C272">
        <v>16500238</v>
      </c>
      <c r="D272">
        <v>15250017</v>
      </c>
      <c r="E272">
        <v>1</v>
      </c>
      <c r="F272">
        <v>1</v>
      </c>
      <c r="G272">
        <v>1</v>
      </c>
      <c r="H272">
        <v>2</v>
      </c>
      <c r="I272" t="s">
        <v>813</v>
      </c>
      <c r="J272" t="s">
        <v>814</v>
      </c>
      <c r="K272" t="s">
        <v>815</v>
      </c>
      <c r="L272">
        <v>1368</v>
      </c>
      <c r="N272">
        <v>1011</v>
      </c>
      <c r="O272" t="s">
        <v>634</v>
      </c>
      <c r="P272" t="s">
        <v>634</v>
      </c>
      <c r="Q272">
        <v>1</v>
      </c>
      <c r="X272">
        <v>9.26</v>
      </c>
      <c r="Y272">
        <v>0</v>
      </c>
      <c r="Z272">
        <v>33.590000000000003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239</v>
      </c>
      <c r="AG272">
        <v>11.574999999999999</v>
      </c>
      <c r="AH272">
        <v>2</v>
      </c>
      <c r="AI272">
        <v>16500243</v>
      </c>
      <c r="AJ272">
        <v>251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ROW(Source!A89)</f>
        <v>89</v>
      </c>
      <c r="B273">
        <v>16500244</v>
      </c>
      <c r="C273">
        <v>16500238</v>
      </c>
      <c r="D273">
        <v>15169965</v>
      </c>
      <c r="E273">
        <v>1</v>
      </c>
      <c r="F273">
        <v>1</v>
      </c>
      <c r="G273">
        <v>1</v>
      </c>
      <c r="H273">
        <v>3</v>
      </c>
      <c r="I273" t="s">
        <v>816</v>
      </c>
      <c r="J273" t="s">
        <v>817</v>
      </c>
      <c r="K273" t="s">
        <v>818</v>
      </c>
      <c r="L273">
        <v>1348</v>
      </c>
      <c r="N273">
        <v>1009</v>
      </c>
      <c r="O273" t="s">
        <v>288</v>
      </c>
      <c r="P273" t="s">
        <v>288</v>
      </c>
      <c r="Q273">
        <v>1000</v>
      </c>
      <c r="X273">
        <v>1.4E-3</v>
      </c>
      <c r="Y273">
        <v>25100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224</v>
      </c>
      <c r="AG273">
        <v>1.4E-3</v>
      </c>
      <c r="AH273">
        <v>2</v>
      </c>
      <c r="AI273">
        <v>16500244</v>
      </c>
      <c r="AJ273">
        <v>252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ROW(Source!A89)</f>
        <v>89</v>
      </c>
      <c r="B274">
        <v>16500245</v>
      </c>
      <c r="C274">
        <v>16500238</v>
      </c>
      <c r="D274">
        <v>15170031</v>
      </c>
      <c r="E274">
        <v>1</v>
      </c>
      <c r="F274">
        <v>1</v>
      </c>
      <c r="G274">
        <v>1</v>
      </c>
      <c r="H274">
        <v>3</v>
      </c>
      <c r="I274" t="s">
        <v>819</v>
      </c>
      <c r="J274" t="s">
        <v>820</v>
      </c>
      <c r="K274" t="s">
        <v>821</v>
      </c>
      <c r="L274">
        <v>1348</v>
      </c>
      <c r="N274">
        <v>1009</v>
      </c>
      <c r="O274" t="s">
        <v>288</v>
      </c>
      <c r="P274" t="s">
        <v>288</v>
      </c>
      <c r="Q274">
        <v>1000</v>
      </c>
      <c r="X274">
        <v>1.12E-2</v>
      </c>
      <c r="Y274">
        <v>15275.94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224</v>
      </c>
      <c r="AG274">
        <v>1.12E-2</v>
      </c>
      <c r="AH274">
        <v>2</v>
      </c>
      <c r="AI274">
        <v>16500245</v>
      </c>
      <c r="AJ274">
        <v>253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ROW(Source!A89)</f>
        <v>89</v>
      </c>
      <c r="B275">
        <v>16500246</v>
      </c>
      <c r="C275">
        <v>16500238</v>
      </c>
      <c r="D275">
        <v>15170059</v>
      </c>
      <c r="E275">
        <v>1</v>
      </c>
      <c r="F275">
        <v>1</v>
      </c>
      <c r="G275">
        <v>1</v>
      </c>
      <c r="H275">
        <v>3</v>
      </c>
      <c r="I275" t="s">
        <v>822</v>
      </c>
      <c r="J275" t="s">
        <v>823</v>
      </c>
      <c r="K275" t="s">
        <v>824</v>
      </c>
      <c r="L275">
        <v>1348</v>
      </c>
      <c r="N275">
        <v>1009</v>
      </c>
      <c r="O275" t="s">
        <v>288</v>
      </c>
      <c r="P275" t="s">
        <v>288</v>
      </c>
      <c r="Q275">
        <v>1000</v>
      </c>
      <c r="X275">
        <v>4.4999999999999999E-4</v>
      </c>
      <c r="Y275">
        <v>8475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224</v>
      </c>
      <c r="AG275">
        <v>4.4999999999999999E-4</v>
      </c>
      <c r="AH275">
        <v>2</v>
      </c>
      <c r="AI275">
        <v>16500246</v>
      </c>
      <c r="AJ275">
        <v>254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ROW(Source!A89)</f>
        <v>89</v>
      </c>
      <c r="B276">
        <v>16500247</v>
      </c>
      <c r="C276">
        <v>16500238</v>
      </c>
      <c r="D276">
        <v>15170392</v>
      </c>
      <c r="E276">
        <v>1</v>
      </c>
      <c r="F276">
        <v>1</v>
      </c>
      <c r="G276">
        <v>1</v>
      </c>
      <c r="H276">
        <v>3</v>
      </c>
      <c r="I276" t="s">
        <v>825</v>
      </c>
      <c r="J276" t="s">
        <v>826</v>
      </c>
      <c r="K276" t="s">
        <v>827</v>
      </c>
      <c r="L276">
        <v>1355</v>
      </c>
      <c r="N276">
        <v>1010</v>
      </c>
      <c r="O276" t="s">
        <v>356</v>
      </c>
      <c r="P276" t="s">
        <v>356</v>
      </c>
      <c r="Q276">
        <v>100</v>
      </c>
      <c r="X276">
        <v>0.66700000000000004</v>
      </c>
      <c r="Y276">
        <v>72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224</v>
      </c>
      <c r="AG276">
        <v>0.66700000000000004</v>
      </c>
      <c r="AH276">
        <v>2</v>
      </c>
      <c r="AI276">
        <v>16500247</v>
      </c>
      <c r="AJ276">
        <v>255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ROW(Source!A89)</f>
        <v>89</v>
      </c>
      <c r="B277">
        <v>16500248</v>
      </c>
      <c r="C277">
        <v>16500238</v>
      </c>
      <c r="D277">
        <v>15170411</v>
      </c>
      <c r="E277">
        <v>1</v>
      </c>
      <c r="F277">
        <v>1</v>
      </c>
      <c r="G277">
        <v>1</v>
      </c>
      <c r="H277">
        <v>3</v>
      </c>
      <c r="I277" t="s">
        <v>828</v>
      </c>
      <c r="J277" t="s">
        <v>829</v>
      </c>
      <c r="K277" t="s">
        <v>830</v>
      </c>
      <c r="L277">
        <v>1358</v>
      </c>
      <c r="N277">
        <v>1010</v>
      </c>
      <c r="O277" t="s">
        <v>831</v>
      </c>
      <c r="P277" t="s">
        <v>831</v>
      </c>
      <c r="Q277">
        <v>10</v>
      </c>
      <c r="X277">
        <v>100.8</v>
      </c>
      <c r="Y277">
        <v>58.51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224</v>
      </c>
      <c r="AG277">
        <v>100.8</v>
      </c>
      <c r="AH277">
        <v>2</v>
      </c>
      <c r="AI277">
        <v>16500248</v>
      </c>
      <c r="AJ277">
        <v>256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ROW(Source!A89)</f>
        <v>89</v>
      </c>
      <c r="B278">
        <v>16500249</v>
      </c>
      <c r="C278">
        <v>16500238</v>
      </c>
      <c r="D278">
        <v>15162846</v>
      </c>
      <c r="E278">
        <v>17</v>
      </c>
      <c r="F278">
        <v>1</v>
      </c>
      <c r="G278">
        <v>1</v>
      </c>
      <c r="H278">
        <v>3</v>
      </c>
      <c r="I278" t="s">
        <v>96</v>
      </c>
      <c r="J278" t="s">
        <v>224</v>
      </c>
      <c r="K278" t="s">
        <v>97</v>
      </c>
      <c r="L278">
        <v>1354</v>
      </c>
      <c r="N278">
        <v>1010</v>
      </c>
      <c r="O278" t="s">
        <v>413</v>
      </c>
      <c r="P278" t="s">
        <v>413</v>
      </c>
      <c r="Q278">
        <v>1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1</v>
      </c>
      <c r="AD278">
        <v>0</v>
      </c>
      <c r="AE278">
        <v>0</v>
      </c>
      <c r="AF278" t="s">
        <v>224</v>
      </c>
      <c r="AG278">
        <v>0</v>
      </c>
      <c r="AH278">
        <v>3</v>
      </c>
      <c r="AI278">
        <v>-1</v>
      </c>
      <c r="AJ278" t="s">
        <v>224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ROW(Source!A89)</f>
        <v>89</v>
      </c>
      <c r="B279">
        <v>16500250</v>
      </c>
      <c r="C279">
        <v>16500238</v>
      </c>
      <c r="D279">
        <v>15195779</v>
      </c>
      <c r="E279">
        <v>1</v>
      </c>
      <c r="F279">
        <v>1</v>
      </c>
      <c r="G279">
        <v>1</v>
      </c>
      <c r="H279">
        <v>3</v>
      </c>
      <c r="I279" t="s">
        <v>832</v>
      </c>
      <c r="J279" t="s">
        <v>833</v>
      </c>
      <c r="K279" t="s">
        <v>834</v>
      </c>
      <c r="L279">
        <v>1339</v>
      </c>
      <c r="N279">
        <v>1007</v>
      </c>
      <c r="O279" t="s">
        <v>691</v>
      </c>
      <c r="P279" t="s">
        <v>691</v>
      </c>
      <c r="Q279">
        <v>1</v>
      </c>
      <c r="X279">
        <v>0.46</v>
      </c>
      <c r="Y279">
        <v>1631.22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224</v>
      </c>
      <c r="AG279">
        <v>0.46</v>
      </c>
      <c r="AH279">
        <v>2</v>
      </c>
      <c r="AI279">
        <v>16500250</v>
      </c>
      <c r="AJ279">
        <v>257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ROW(Source!A89)</f>
        <v>89</v>
      </c>
      <c r="B280">
        <v>16500251</v>
      </c>
      <c r="C280">
        <v>16500238</v>
      </c>
      <c r="D280">
        <v>15195942</v>
      </c>
      <c r="E280">
        <v>1</v>
      </c>
      <c r="F280">
        <v>1</v>
      </c>
      <c r="G280">
        <v>1</v>
      </c>
      <c r="H280">
        <v>3</v>
      </c>
      <c r="I280" t="s">
        <v>835</v>
      </c>
      <c r="J280" t="s">
        <v>836</v>
      </c>
      <c r="K280" t="s">
        <v>837</v>
      </c>
      <c r="L280">
        <v>1339</v>
      </c>
      <c r="N280">
        <v>1007</v>
      </c>
      <c r="O280" t="s">
        <v>691</v>
      </c>
      <c r="P280" t="s">
        <v>691</v>
      </c>
      <c r="Q280">
        <v>1</v>
      </c>
      <c r="X280">
        <v>1.47</v>
      </c>
      <c r="Y280">
        <v>1611.84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224</v>
      </c>
      <c r="AG280">
        <v>1.47</v>
      </c>
      <c r="AH280">
        <v>2</v>
      </c>
      <c r="AI280">
        <v>16500251</v>
      </c>
      <c r="AJ280">
        <v>258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ROW(Source!A89)</f>
        <v>89</v>
      </c>
      <c r="B281">
        <v>16500252</v>
      </c>
      <c r="C281">
        <v>16500238</v>
      </c>
      <c r="D281">
        <v>15198028</v>
      </c>
      <c r="E281">
        <v>1</v>
      </c>
      <c r="F281">
        <v>1</v>
      </c>
      <c r="G281">
        <v>1</v>
      </c>
      <c r="H281">
        <v>3</v>
      </c>
      <c r="I281" t="s">
        <v>838</v>
      </c>
      <c r="J281" t="s">
        <v>839</v>
      </c>
      <c r="K281" t="s">
        <v>840</v>
      </c>
      <c r="L281">
        <v>1327</v>
      </c>
      <c r="N281">
        <v>1005</v>
      </c>
      <c r="O281" t="s">
        <v>277</v>
      </c>
      <c r="P281" t="s">
        <v>277</v>
      </c>
      <c r="Q281">
        <v>1</v>
      </c>
      <c r="X281">
        <v>116</v>
      </c>
      <c r="Y281">
        <v>12.37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224</v>
      </c>
      <c r="AG281">
        <v>116</v>
      </c>
      <c r="AH281">
        <v>2</v>
      </c>
      <c r="AI281">
        <v>16500252</v>
      </c>
      <c r="AJ281">
        <v>259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ROW(Source!A89)</f>
        <v>89</v>
      </c>
      <c r="B282">
        <v>16500253</v>
      </c>
      <c r="C282">
        <v>16500238</v>
      </c>
      <c r="D282">
        <v>15198456</v>
      </c>
      <c r="E282">
        <v>1</v>
      </c>
      <c r="F282">
        <v>1</v>
      </c>
      <c r="G282">
        <v>1</v>
      </c>
      <c r="H282">
        <v>3</v>
      </c>
      <c r="I282" t="s">
        <v>841</v>
      </c>
      <c r="J282" t="s">
        <v>842</v>
      </c>
      <c r="K282" t="s">
        <v>843</v>
      </c>
      <c r="L282">
        <v>1327</v>
      </c>
      <c r="N282">
        <v>1005</v>
      </c>
      <c r="O282" t="s">
        <v>277</v>
      </c>
      <c r="P282" t="s">
        <v>277</v>
      </c>
      <c r="Q282">
        <v>1</v>
      </c>
      <c r="X282">
        <v>3.62</v>
      </c>
      <c r="Y282">
        <v>6.22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224</v>
      </c>
      <c r="AG282">
        <v>3.62</v>
      </c>
      <c r="AH282">
        <v>2</v>
      </c>
      <c r="AI282">
        <v>16500253</v>
      </c>
      <c r="AJ282">
        <v>260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ROW(Source!A89)</f>
        <v>89</v>
      </c>
      <c r="B283">
        <v>16500254</v>
      </c>
      <c r="C283">
        <v>16500238</v>
      </c>
      <c r="D283">
        <v>15162849</v>
      </c>
      <c r="E283">
        <v>17</v>
      </c>
      <c r="F283">
        <v>1</v>
      </c>
      <c r="G283">
        <v>1</v>
      </c>
      <c r="H283">
        <v>3</v>
      </c>
      <c r="I283" t="s">
        <v>98</v>
      </c>
      <c r="J283" t="s">
        <v>224</v>
      </c>
      <c r="K283" t="s">
        <v>99</v>
      </c>
      <c r="L283">
        <v>1327</v>
      </c>
      <c r="N283">
        <v>1005</v>
      </c>
      <c r="O283" t="s">
        <v>277</v>
      </c>
      <c r="P283" t="s">
        <v>277</v>
      </c>
      <c r="Q283">
        <v>1</v>
      </c>
      <c r="X283">
        <v>126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 t="s">
        <v>224</v>
      </c>
      <c r="AG283">
        <v>126</v>
      </c>
      <c r="AH283">
        <v>3</v>
      </c>
      <c r="AI283">
        <v>-1</v>
      </c>
      <c r="AJ283" t="s">
        <v>224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ROW(Source!A89)</f>
        <v>89</v>
      </c>
      <c r="B284">
        <v>16500255</v>
      </c>
      <c r="C284">
        <v>16500238</v>
      </c>
      <c r="D284">
        <v>15198820</v>
      </c>
      <c r="E284">
        <v>1</v>
      </c>
      <c r="F284">
        <v>1</v>
      </c>
      <c r="G284">
        <v>1</v>
      </c>
      <c r="H284">
        <v>3</v>
      </c>
      <c r="I284" t="s">
        <v>844</v>
      </c>
      <c r="J284" t="s">
        <v>0</v>
      </c>
      <c r="K284" t="s">
        <v>1</v>
      </c>
      <c r="L284">
        <v>1339</v>
      </c>
      <c r="N284">
        <v>1007</v>
      </c>
      <c r="O284" t="s">
        <v>691</v>
      </c>
      <c r="P284" t="s">
        <v>691</v>
      </c>
      <c r="Q284">
        <v>1</v>
      </c>
      <c r="X284">
        <v>0.31</v>
      </c>
      <c r="Y284">
        <v>200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224</v>
      </c>
      <c r="AG284">
        <v>0.31</v>
      </c>
      <c r="AH284">
        <v>2</v>
      </c>
      <c r="AI284">
        <v>16500255</v>
      </c>
      <c r="AJ284">
        <v>262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ROW(Source!A89)</f>
        <v>89</v>
      </c>
      <c r="B285">
        <v>16500256</v>
      </c>
      <c r="C285">
        <v>16500238</v>
      </c>
      <c r="D285">
        <v>15203713</v>
      </c>
      <c r="E285">
        <v>1</v>
      </c>
      <c r="F285">
        <v>1</v>
      </c>
      <c r="G285">
        <v>1</v>
      </c>
      <c r="H285">
        <v>3</v>
      </c>
      <c r="I285" t="s">
        <v>2</v>
      </c>
      <c r="J285" t="s">
        <v>3</v>
      </c>
      <c r="K285" t="s">
        <v>4</v>
      </c>
      <c r="L285">
        <v>1348</v>
      </c>
      <c r="N285">
        <v>1009</v>
      </c>
      <c r="O285" t="s">
        <v>288</v>
      </c>
      <c r="P285" t="s">
        <v>288</v>
      </c>
      <c r="Q285">
        <v>1000</v>
      </c>
      <c r="X285">
        <v>2.7000000000000001E-3</v>
      </c>
      <c r="Y285">
        <v>15707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224</v>
      </c>
      <c r="AG285">
        <v>2.7000000000000001E-3</v>
      </c>
      <c r="AH285">
        <v>2</v>
      </c>
      <c r="AI285">
        <v>16500256</v>
      </c>
      <c r="AJ285">
        <v>263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ROW(Source!A89)</f>
        <v>89</v>
      </c>
      <c r="B286">
        <v>16500257</v>
      </c>
      <c r="C286">
        <v>16500238</v>
      </c>
      <c r="D286">
        <v>15204294</v>
      </c>
      <c r="E286">
        <v>1</v>
      </c>
      <c r="F286">
        <v>1</v>
      </c>
      <c r="G286">
        <v>1</v>
      </c>
      <c r="H286">
        <v>3</v>
      </c>
      <c r="I286" t="s">
        <v>5</v>
      </c>
      <c r="J286" t="s">
        <v>6</v>
      </c>
      <c r="K286" t="s">
        <v>7</v>
      </c>
      <c r="L286">
        <v>1296</v>
      </c>
      <c r="N286">
        <v>1002</v>
      </c>
      <c r="O286" t="s">
        <v>8</v>
      </c>
      <c r="P286" t="s">
        <v>8</v>
      </c>
      <c r="Q286">
        <v>1</v>
      </c>
      <c r="X286">
        <v>0.75</v>
      </c>
      <c r="Y286">
        <v>76.8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224</v>
      </c>
      <c r="AG286">
        <v>0.75</v>
      </c>
      <c r="AH286">
        <v>2</v>
      </c>
      <c r="AI286">
        <v>16500257</v>
      </c>
      <c r="AJ286">
        <v>264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ROW(Source!A92)</f>
        <v>92</v>
      </c>
      <c r="B287">
        <v>16500601</v>
      </c>
      <c r="C287">
        <v>16500600</v>
      </c>
      <c r="D287">
        <v>15430767</v>
      </c>
      <c r="E287">
        <v>1</v>
      </c>
      <c r="F287">
        <v>1</v>
      </c>
      <c r="G287">
        <v>1</v>
      </c>
      <c r="H287">
        <v>1</v>
      </c>
      <c r="I287" t="s">
        <v>9</v>
      </c>
      <c r="J287" t="s">
        <v>224</v>
      </c>
      <c r="K287" t="s">
        <v>10</v>
      </c>
      <c r="L287">
        <v>1191</v>
      </c>
      <c r="N287">
        <v>1013</v>
      </c>
      <c r="O287" t="s">
        <v>628</v>
      </c>
      <c r="P287" t="s">
        <v>628</v>
      </c>
      <c r="Q287">
        <v>1</v>
      </c>
      <c r="X287">
        <v>84.75</v>
      </c>
      <c r="Y287">
        <v>0</v>
      </c>
      <c r="Z287">
        <v>0</v>
      </c>
      <c r="AA287">
        <v>0</v>
      </c>
      <c r="AB287">
        <v>8.5299999999999994</v>
      </c>
      <c r="AC287">
        <v>0</v>
      </c>
      <c r="AD287">
        <v>1</v>
      </c>
      <c r="AE287">
        <v>1</v>
      </c>
      <c r="AF287" t="s">
        <v>224</v>
      </c>
      <c r="AG287">
        <v>84.75</v>
      </c>
      <c r="AH287">
        <v>2</v>
      </c>
      <c r="AI287">
        <v>16500601</v>
      </c>
      <c r="AJ287">
        <v>265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ROW(Source!A92)</f>
        <v>92</v>
      </c>
      <c r="B288">
        <v>16500602</v>
      </c>
      <c r="C288">
        <v>16500600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629</v>
      </c>
      <c r="J288" t="s">
        <v>224</v>
      </c>
      <c r="K288" t="s">
        <v>630</v>
      </c>
      <c r="L288">
        <v>1191</v>
      </c>
      <c r="N288">
        <v>1013</v>
      </c>
      <c r="O288" t="s">
        <v>628</v>
      </c>
      <c r="P288" t="s">
        <v>628</v>
      </c>
      <c r="Q288">
        <v>1</v>
      </c>
      <c r="X288">
        <v>3.19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224</v>
      </c>
      <c r="AG288">
        <v>3.19</v>
      </c>
      <c r="AH288">
        <v>2</v>
      </c>
      <c r="AI288">
        <v>16500602</v>
      </c>
      <c r="AJ288">
        <v>266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ROW(Source!A92)</f>
        <v>92</v>
      </c>
      <c r="B289">
        <v>16500603</v>
      </c>
      <c r="C289">
        <v>16500600</v>
      </c>
      <c r="D289">
        <v>15247578</v>
      </c>
      <c r="E289">
        <v>1</v>
      </c>
      <c r="F289">
        <v>1</v>
      </c>
      <c r="G289">
        <v>1</v>
      </c>
      <c r="H289">
        <v>2</v>
      </c>
      <c r="I289" t="s">
        <v>11</v>
      </c>
      <c r="J289" t="s">
        <v>12</v>
      </c>
      <c r="K289" t="s">
        <v>13</v>
      </c>
      <c r="L289">
        <v>1368</v>
      </c>
      <c r="N289">
        <v>1011</v>
      </c>
      <c r="O289" t="s">
        <v>634</v>
      </c>
      <c r="P289" t="s">
        <v>634</v>
      </c>
      <c r="Q289">
        <v>1</v>
      </c>
      <c r="X289">
        <v>1.34</v>
      </c>
      <c r="Y289">
        <v>0</v>
      </c>
      <c r="Z289">
        <v>86.4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224</v>
      </c>
      <c r="AG289">
        <v>1.34</v>
      </c>
      <c r="AH289">
        <v>2</v>
      </c>
      <c r="AI289">
        <v>16500603</v>
      </c>
      <c r="AJ289">
        <v>267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ROW(Source!A92)</f>
        <v>92</v>
      </c>
      <c r="B290">
        <v>16500604</v>
      </c>
      <c r="C290">
        <v>16500600</v>
      </c>
      <c r="D290">
        <v>15247680</v>
      </c>
      <c r="E290">
        <v>1</v>
      </c>
      <c r="F290">
        <v>1</v>
      </c>
      <c r="G290">
        <v>1</v>
      </c>
      <c r="H290">
        <v>2</v>
      </c>
      <c r="I290" t="s">
        <v>670</v>
      </c>
      <c r="J290" t="s">
        <v>671</v>
      </c>
      <c r="K290" t="s">
        <v>672</v>
      </c>
      <c r="L290">
        <v>1368</v>
      </c>
      <c r="N290">
        <v>1011</v>
      </c>
      <c r="O290" t="s">
        <v>634</v>
      </c>
      <c r="P290" t="s">
        <v>634</v>
      </c>
      <c r="Q290">
        <v>1</v>
      </c>
      <c r="X290">
        <v>0.77</v>
      </c>
      <c r="Y290">
        <v>0</v>
      </c>
      <c r="Z290">
        <v>111.99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224</v>
      </c>
      <c r="AG290">
        <v>0.77</v>
      </c>
      <c r="AH290">
        <v>2</v>
      </c>
      <c r="AI290">
        <v>16500604</v>
      </c>
      <c r="AJ290">
        <v>268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ROW(Source!A92)</f>
        <v>92</v>
      </c>
      <c r="B291">
        <v>16500605</v>
      </c>
      <c r="C291">
        <v>16500600</v>
      </c>
      <c r="D291">
        <v>15249073</v>
      </c>
      <c r="E291">
        <v>1</v>
      </c>
      <c r="F291">
        <v>1</v>
      </c>
      <c r="G291">
        <v>1</v>
      </c>
      <c r="H291">
        <v>2</v>
      </c>
      <c r="I291" t="s">
        <v>631</v>
      </c>
      <c r="J291" t="s">
        <v>632</v>
      </c>
      <c r="K291" t="s">
        <v>633</v>
      </c>
      <c r="L291">
        <v>1368</v>
      </c>
      <c r="N291">
        <v>1011</v>
      </c>
      <c r="O291" t="s">
        <v>634</v>
      </c>
      <c r="P291" t="s">
        <v>634</v>
      </c>
      <c r="Q291">
        <v>1</v>
      </c>
      <c r="X291">
        <v>1.08</v>
      </c>
      <c r="Y291">
        <v>0</v>
      </c>
      <c r="Z291">
        <v>65.709999999999994</v>
      </c>
      <c r="AA291">
        <v>11.6</v>
      </c>
      <c r="AB291">
        <v>0</v>
      </c>
      <c r="AC291">
        <v>0</v>
      </c>
      <c r="AD291">
        <v>1</v>
      </c>
      <c r="AE291">
        <v>0</v>
      </c>
      <c r="AF291" t="s">
        <v>224</v>
      </c>
      <c r="AG291">
        <v>1.08</v>
      </c>
      <c r="AH291">
        <v>2</v>
      </c>
      <c r="AI291">
        <v>16500605</v>
      </c>
      <c r="AJ291">
        <v>269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ROW(Source!A92)</f>
        <v>92</v>
      </c>
      <c r="B292">
        <v>16500606</v>
      </c>
      <c r="C292">
        <v>16500600</v>
      </c>
      <c r="D292">
        <v>15170033</v>
      </c>
      <c r="E292">
        <v>1</v>
      </c>
      <c r="F292">
        <v>1</v>
      </c>
      <c r="G292">
        <v>1</v>
      </c>
      <c r="H292">
        <v>3</v>
      </c>
      <c r="I292" t="s">
        <v>14</v>
      </c>
      <c r="J292" t="s">
        <v>15</v>
      </c>
      <c r="K292" t="s">
        <v>16</v>
      </c>
      <c r="L292">
        <v>1348</v>
      </c>
      <c r="N292">
        <v>1009</v>
      </c>
      <c r="O292" t="s">
        <v>288</v>
      </c>
      <c r="P292" t="s">
        <v>288</v>
      </c>
      <c r="Q292">
        <v>1000</v>
      </c>
      <c r="X292">
        <v>1.14E-2</v>
      </c>
      <c r="Y292">
        <v>11978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224</v>
      </c>
      <c r="AG292">
        <v>1.14E-2</v>
      </c>
      <c r="AH292">
        <v>2</v>
      </c>
      <c r="AI292">
        <v>16500606</v>
      </c>
      <c r="AJ292">
        <v>270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ROW(Source!A92)</f>
        <v>92</v>
      </c>
      <c r="B293">
        <v>16500607</v>
      </c>
      <c r="C293">
        <v>16500600</v>
      </c>
      <c r="D293">
        <v>15170059</v>
      </c>
      <c r="E293">
        <v>1</v>
      </c>
      <c r="F293">
        <v>1</v>
      </c>
      <c r="G293">
        <v>1</v>
      </c>
      <c r="H293">
        <v>3</v>
      </c>
      <c r="I293" t="s">
        <v>822</v>
      </c>
      <c r="J293" t="s">
        <v>823</v>
      </c>
      <c r="K293" t="s">
        <v>824</v>
      </c>
      <c r="L293">
        <v>1348</v>
      </c>
      <c r="N293">
        <v>1009</v>
      </c>
      <c r="O293" t="s">
        <v>288</v>
      </c>
      <c r="P293" t="s">
        <v>288</v>
      </c>
      <c r="Q293">
        <v>1000</v>
      </c>
      <c r="X293">
        <v>2.5000000000000001E-3</v>
      </c>
      <c r="Y293">
        <v>8475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224</v>
      </c>
      <c r="AG293">
        <v>2.5000000000000001E-3</v>
      </c>
      <c r="AH293">
        <v>2</v>
      </c>
      <c r="AI293">
        <v>16500607</v>
      </c>
      <c r="AJ293">
        <v>271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ROW(Source!A92)</f>
        <v>92</v>
      </c>
      <c r="B294">
        <v>16500608</v>
      </c>
      <c r="C294">
        <v>16500600</v>
      </c>
      <c r="D294">
        <v>15189804</v>
      </c>
      <c r="E294">
        <v>1</v>
      </c>
      <c r="F294">
        <v>1</v>
      </c>
      <c r="G294">
        <v>1</v>
      </c>
      <c r="H294">
        <v>3</v>
      </c>
      <c r="I294" t="s">
        <v>17</v>
      </c>
      <c r="J294" t="s">
        <v>18</v>
      </c>
      <c r="K294" t="s">
        <v>19</v>
      </c>
      <c r="L294">
        <v>1348</v>
      </c>
      <c r="N294">
        <v>1009</v>
      </c>
      <c r="O294" t="s">
        <v>288</v>
      </c>
      <c r="P294" t="s">
        <v>288</v>
      </c>
      <c r="Q294">
        <v>1000</v>
      </c>
      <c r="X294">
        <v>0.1</v>
      </c>
      <c r="Y294">
        <v>7977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224</v>
      </c>
      <c r="AG294">
        <v>0.1</v>
      </c>
      <c r="AH294">
        <v>2</v>
      </c>
      <c r="AI294">
        <v>16500608</v>
      </c>
      <c r="AJ294">
        <v>272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ROW(Source!A92)</f>
        <v>92</v>
      </c>
      <c r="B295">
        <v>16500609</v>
      </c>
      <c r="C295">
        <v>16500600</v>
      </c>
      <c r="D295">
        <v>15191387</v>
      </c>
      <c r="E295">
        <v>1</v>
      </c>
      <c r="F295">
        <v>1</v>
      </c>
      <c r="G295">
        <v>1</v>
      </c>
      <c r="H295">
        <v>3</v>
      </c>
      <c r="I295" t="s">
        <v>20</v>
      </c>
      <c r="J295" t="s">
        <v>21</v>
      </c>
      <c r="K295" t="s">
        <v>22</v>
      </c>
      <c r="L295">
        <v>1348</v>
      </c>
      <c r="N295">
        <v>1009</v>
      </c>
      <c r="O295" t="s">
        <v>288</v>
      </c>
      <c r="P295" t="s">
        <v>288</v>
      </c>
      <c r="Q295">
        <v>1000</v>
      </c>
      <c r="X295">
        <v>1.1100000000000001</v>
      </c>
      <c r="Y295">
        <v>11200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224</v>
      </c>
      <c r="AG295">
        <v>1.1100000000000001</v>
      </c>
      <c r="AH295">
        <v>2</v>
      </c>
      <c r="AI295">
        <v>16500609</v>
      </c>
      <c r="AJ295">
        <v>273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ROW(Source!A92)</f>
        <v>92</v>
      </c>
      <c r="B296">
        <v>16500610</v>
      </c>
      <c r="C296">
        <v>16500600</v>
      </c>
      <c r="D296">
        <v>15196000</v>
      </c>
      <c r="E296">
        <v>1</v>
      </c>
      <c r="F296">
        <v>1</v>
      </c>
      <c r="G296">
        <v>1</v>
      </c>
      <c r="H296">
        <v>3</v>
      </c>
      <c r="I296" t="s">
        <v>23</v>
      </c>
      <c r="J296" t="s">
        <v>24</v>
      </c>
      <c r="K296" t="s">
        <v>25</v>
      </c>
      <c r="L296">
        <v>1339</v>
      </c>
      <c r="N296">
        <v>1007</v>
      </c>
      <c r="O296" t="s">
        <v>691</v>
      </c>
      <c r="P296" t="s">
        <v>691</v>
      </c>
      <c r="Q296">
        <v>1</v>
      </c>
      <c r="X296">
        <v>4.45</v>
      </c>
      <c r="Y296">
        <v>968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224</v>
      </c>
      <c r="AG296">
        <v>4.45</v>
      </c>
      <c r="AH296">
        <v>2</v>
      </c>
      <c r="AI296">
        <v>16500610</v>
      </c>
      <c r="AJ296">
        <v>274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ROW(Source!A92)</f>
        <v>92</v>
      </c>
      <c r="B297">
        <v>16500611</v>
      </c>
      <c r="C297">
        <v>16500600</v>
      </c>
      <c r="D297">
        <v>15198456</v>
      </c>
      <c r="E297">
        <v>1</v>
      </c>
      <c r="F297">
        <v>1</v>
      </c>
      <c r="G297">
        <v>1</v>
      </c>
      <c r="H297">
        <v>3</v>
      </c>
      <c r="I297" t="s">
        <v>841</v>
      </c>
      <c r="J297" t="s">
        <v>842</v>
      </c>
      <c r="K297" t="s">
        <v>843</v>
      </c>
      <c r="L297">
        <v>1327</v>
      </c>
      <c r="N297">
        <v>1005</v>
      </c>
      <c r="O297" t="s">
        <v>277</v>
      </c>
      <c r="P297" t="s">
        <v>277</v>
      </c>
      <c r="Q297">
        <v>1</v>
      </c>
      <c r="X297">
        <v>20.100000000000001</v>
      </c>
      <c r="Y297">
        <v>6.22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224</v>
      </c>
      <c r="AG297">
        <v>20.100000000000001</v>
      </c>
      <c r="AH297">
        <v>2</v>
      </c>
      <c r="AI297">
        <v>16500611</v>
      </c>
      <c r="AJ297">
        <v>275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ROW(Source!A92)</f>
        <v>92</v>
      </c>
      <c r="B298">
        <v>16500612</v>
      </c>
      <c r="C298">
        <v>16500600</v>
      </c>
      <c r="D298">
        <v>15202950</v>
      </c>
      <c r="E298">
        <v>1</v>
      </c>
      <c r="F298">
        <v>1</v>
      </c>
      <c r="G298">
        <v>1</v>
      </c>
      <c r="H298">
        <v>3</v>
      </c>
      <c r="I298" t="s">
        <v>26</v>
      </c>
      <c r="J298" t="s">
        <v>27</v>
      </c>
      <c r="K298" t="s">
        <v>28</v>
      </c>
      <c r="L298">
        <v>1348</v>
      </c>
      <c r="N298">
        <v>1009</v>
      </c>
      <c r="O298" t="s">
        <v>288</v>
      </c>
      <c r="P298" t="s">
        <v>288</v>
      </c>
      <c r="Q298">
        <v>1000</v>
      </c>
      <c r="X298">
        <v>6.7000000000000004E-2</v>
      </c>
      <c r="Y298">
        <v>1695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224</v>
      </c>
      <c r="AG298">
        <v>6.7000000000000004E-2</v>
      </c>
      <c r="AH298">
        <v>2</v>
      </c>
      <c r="AI298">
        <v>16500612</v>
      </c>
      <c r="AJ298">
        <v>276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ROW(Source!A93)</f>
        <v>93</v>
      </c>
      <c r="B299">
        <v>16500601</v>
      </c>
      <c r="C299">
        <v>16500600</v>
      </c>
      <c r="D299">
        <v>15430767</v>
      </c>
      <c r="E299">
        <v>1</v>
      </c>
      <c r="F299">
        <v>1</v>
      </c>
      <c r="G299">
        <v>1</v>
      </c>
      <c r="H299">
        <v>1</v>
      </c>
      <c r="I299" t="s">
        <v>9</v>
      </c>
      <c r="J299" t="s">
        <v>224</v>
      </c>
      <c r="K299" t="s">
        <v>10</v>
      </c>
      <c r="L299">
        <v>1191</v>
      </c>
      <c r="N299">
        <v>1013</v>
      </c>
      <c r="O299" t="s">
        <v>628</v>
      </c>
      <c r="P299" t="s">
        <v>628</v>
      </c>
      <c r="Q299">
        <v>1</v>
      </c>
      <c r="X299">
        <v>84.75</v>
      </c>
      <c r="Y299">
        <v>0</v>
      </c>
      <c r="Z299">
        <v>0</v>
      </c>
      <c r="AA299">
        <v>0</v>
      </c>
      <c r="AB299">
        <v>8.5299999999999994</v>
      </c>
      <c r="AC299">
        <v>0</v>
      </c>
      <c r="AD299">
        <v>1</v>
      </c>
      <c r="AE299">
        <v>1</v>
      </c>
      <c r="AF299" t="s">
        <v>224</v>
      </c>
      <c r="AG299">
        <v>84.75</v>
      </c>
      <c r="AH299">
        <v>2</v>
      </c>
      <c r="AI299">
        <v>16500601</v>
      </c>
      <c r="AJ299">
        <v>277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ROW(Source!A93)</f>
        <v>93</v>
      </c>
      <c r="B300">
        <v>16500602</v>
      </c>
      <c r="C300">
        <v>16500600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629</v>
      </c>
      <c r="J300" t="s">
        <v>224</v>
      </c>
      <c r="K300" t="s">
        <v>630</v>
      </c>
      <c r="L300">
        <v>1191</v>
      </c>
      <c r="N300">
        <v>1013</v>
      </c>
      <c r="O300" t="s">
        <v>628</v>
      </c>
      <c r="P300" t="s">
        <v>628</v>
      </c>
      <c r="Q300">
        <v>1</v>
      </c>
      <c r="X300">
        <v>3.19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224</v>
      </c>
      <c r="AG300">
        <v>3.19</v>
      </c>
      <c r="AH300">
        <v>2</v>
      </c>
      <c r="AI300">
        <v>16500602</v>
      </c>
      <c r="AJ300">
        <v>278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ROW(Source!A93)</f>
        <v>93</v>
      </c>
      <c r="B301">
        <v>16500603</v>
      </c>
      <c r="C301">
        <v>16500600</v>
      </c>
      <c r="D301">
        <v>15247578</v>
      </c>
      <c r="E301">
        <v>1</v>
      </c>
      <c r="F301">
        <v>1</v>
      </c>
      <c r="G301">
        <v>1</v>
      </c>
      <c r="H301">
        <v>2</v>
      </c>
      <c r="I301" t="s">
        <v>11</v>
      </c>
      <c r="J301" t="s">
        <v>12</v>
      </c>
      <c r="K301" t="s">
        <v>13</v>
      </c>
      <c r="L301">
        <v>1368</v>
      </c>
      <c r="N301">
        <v>1011</v>
      </c>
      <c r="O301" t="s">
        <v>634</v>
      </c>
      <c r="P301" t="s">
        <v>634</v>
      </c>
      <c r="Q301">
        <v>1</v>
      </c>
      <c r="X301">
        <v>1.34</v>
      </c>
      <c r="Y301">
        <v>0</v>
      </c>
      <c r="Z301">
        <v>86.4</v>
      </c>
      <c r="AA301">
        <v>13.5</v>
      </c>
      <c r="AB301">
        <v>0</v>
      </c>
      <c r="AC301">
        <v>0</v>
      </c>
      <c r="AD301">
        <v>1</v>
      </c>
      <c r="AE301">
        <v>0</v>
      </c>
      <c r="AF301" t="s">
        <v>224</v>
      </c>
      <c r="AG301">
        <v>1.34</v>
      </c>
      <c r="AH301">
        <v>2</v>
      </c>
      <c r="AI301">
        <v>16500603</v>
      </c>
      <c r="AJ301">
        <v>279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ROW(Source!A93)</f>
        <v>93</v>
      </c>
      <c r="B302">
        <v>16500604</v>
      </c>
      <c r="C302">
        <v>16500600</v>
      </c>
      <c r="D302">
        <v>15247680</v>
      </c>
      <c r="E302">
        <v>1</v>
      </c>
      <c r="F302">
        <v>1</v>
      </c>
      <c r="G302">
        <v>1</v>
      </c>
      <c r="H302">
        <v>2</v>
      </c>
      <c r="I302" t="s">
        <v>670</v>
      </c>
      <c r="J302" t="s">
        <v>671</v>
      </c>
      <c r="K302" t="s">
        <v>672</v>
      </c>
      <c r="L302">
        <v>1368</v>
      </c>
      <c r="N302">
        <v>1011</v>
      </c>
      <c r="O302" t="s">
        <v>634</v>
      </c>
      <c r="P302" t="s">
        <v>634</v>
      </c>
      <c r="Q302">
        <v>1</v>
      </c>
      <c r="X302">
        <v>0.77</v>
      </c>
      <c r="Y302">
        <v>0</v>
      </c>
      <c r="Z302">
        <v>111.99</v>
      </c>
      <c r="AA302">
        <v>13.5</v>
      </c>
      <c r="AB302">
        <v>0</v>
      </c>
      <c r="AC302">
        <v>0</v>
      </c>
      <c r="AD302">
        <v>1</v>
      </c>
      <c r="AE302">
        <v>0</v>
      </c>
      <c r="AF302" t="s">
        <v>224</v>
      </c>
      <c r="AG302">
        <v>0.77</v>
      </c>
      <c r="AH302">
        <v>2</v>
      </c>
      <c r="AI302">
        <v>16500604</v>
      </c>
      <c r="AJ302">
        <v>280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ROW(Source!A93)</f>
        <v>93</v>
      </c>
      <c r="B303">
        <v>16500605</v>
      </c>
      <c r="C303">
        <v>16500600</v>
      </c>
      <c r="D303">
        <v>15249073</v>
      </c>
      <c r="E303">
        <v>1</v>
      </c>
      <c r="F303">
        <v>1</v>
      </c>
      <c r="G303">
        <v>1</v>
      </c>
      <c r="H303">
        <v>2</v>
      </c>
      <c r="I303" t="s">
        <v>631</v>
      </c>
      <c r="J303" t="s">
        <v>632</v>
      </c>
      <c r="K303" t="s">
        <v>633</v>
      </c>
      <c r="L303">
        <v>1368</v>
      </c>
      <c r="N303">
        <v>1011</v>
      </c>
      <c r="O303" t="s">
        <v>634</v>
      </c>
      <c r="P303" t="s">
        <v>634</v>
      </c>
      <c r="Q303">
        <v>1</v>
      </c>
      <c r="X303">
        <v>1.08</v>
      </c>
      <c r="Y303">
        <v>0</v>
      </c>
      <c r="Z303">
        <v>65.709999999999994</v>
      </c>
      <c r="AA303">
        <v>11.6</v>
      </c>
      <c r="AB303">
        <v>0</v>
      </c>
      <c r="AC303">
        <v>0</v>
      </c>
      <c r="AD303">
        <v>1</v>
      </c>
      <c r="AE303">
        <v>0</v>
      </c>
      <c r="AF303" t="s">
        <v>224</v>
      </c>
      <c r="AG303">
        <v>1.08</v>
      </c>
      <c r="AH303">
        <v>2</v>
      </c>
      <c r="AI303">
        <v>16500605</v>
      </c>
      <c r="AJ303">
        <v>281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ROW(Source!A93)</f>
        <v>93</v>
      </c>
      <c r="B304">
        <v>16500606</v>
      </c>
      <c r="C304">
        <v>16500600</v>
      </c>
      <c r="D304">
        <v>15170033</v>
      </c>
      <c r="E304">
        <v>1</v>
      </c>
      <c r="F304">
        <v>1</v>
      </c>
      <c r="G304">
        <v>1</v>
      </c>
      <c r="H304">
        <v>3</v>
      </c>
      <c r="I304" t="s">
        <v>14</v>
      </c>
      <c r="J304" t="s">
        <v>15</v>
      </c>
      <c r="K304" t="s">
        <v>16</v>
      </c>
      <c r="L304">
        <v>1348</v>
      </c>
      <c r="N304">
        <v>1009</v>
      </c>
      <c r="O304" t="s">
        <v>288</v>
      </c>
      <c r="P304" t="s">
        <v>288</v>
      </c>
      <c r="Q304">
        <v>1000</v>
      </c>
      <c r="X304">
        <v>1.14E-2</v>
      </c>
      <c r="Y304">
        <v>11978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224</v>
      </c>
      <c r="AG304">
        <v>1.14E-2</v>
      </c>
      <c r="AH304">
        <v>2</v>
      </c>
      <c r="AI304">
        <v>16500606</v>
      </c>
      <c r="AJ304">
        <v>282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ROW(Source!A93)</f>
        <v>93</v>
      </c>
      <c r="B305">
        <v>16500607</v>
      </c>
      <c r="C305">
        <v>16500600</v>
      </c>
      <c r="D305">
        <v>15170059</v>
      </c>
      <c r="E305">
        <v>1</v>
      </c>
      <c r="F305">
        <v>1</v>
      </c>
      <c r="G305">
        <v>1</v>
      </c>
      <c r="H305">
        <v>3</v>
      </c>
      <c r="I305" t="s">
        <v>822</v>
      </c>
      <c r="J305" t="s">
        <v>823</v>
      </c>
      <c r="K305" t="s">
        <v>824</v>
      </c>
      <c r="L305">
        <v>1348</v>
      </c>
      <c r="N305">
        <v>1009</v>
      </c>
      <c r="O305" t="s">
        <v>288</v>
      </c>
      <c r="P305" t="s">
        <v>288</v>
      </c>
      <c r="Q305">
        <v>1000</v>
      </c>
      <c r="X305">
        <v>2.5000000000000001E-3</v>
      </c>
      <c r="Y305">
        <v>8475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224</v>
      </c>
      <c r="AG305">
        <v>2.5000000000000001E-3</v>
      </c>
      <c r="AH305">
        <v>2</v>
      </c>
      <c r="AI305">
        <v>16500607</v>
      </c>
      <c r="AJ305">
        <v>283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ROW(Source!A93)</f>
        <v>93</v>
      </c>
      <c r="B306">
        <v>16500608</v>
      </c>
      <c r="C306">
        <v>16500600</v>
      </c>
      <c r="D306">
        <v>15189804</v>
      </c>
      <c r="E306">
        <v>1</v>
      </c>
      <c r="F306">
        <v>1</v>
      </c>
      <c r="G306">
        <v>1</v>
      </c>
      <c r="H306">
        <v>3</v>
      </c>
      <c r="I306" t="s">
        <v>17</v>
      </c>
      <c r="J306" t="s">
        <v>18</v>
      </c>
      <c r="K306" t="s">
        <v>19</v>
      </c>
      <c r="L306">
        <v>1348</v>
      </c>
      <c r="N306">
        <v>1009</v>
      </c>
      <c r="O306" t="s">
        <v>288</v>
      </c>
      <c r="P306" t="s">
        <v>288</v>
      </c>
      <c r="Q306">
        <v>1000</v>
      </c>
      <c r="X306">
        <v>0.1</v>
      </c>
      <c r="Y306">
        <v>7977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224</v>
      </c>
      <c r="AG306">
        <v>0.1</v>
      </c>
      <c r="AH306">
        <v>2</v>
      </c>
      <c r="AI306">
        <v>16500608</v>
      </c>
      <c r="AJ306">
        <v>284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ROW(Source!A93)</f>
        <v>93</v>
      </c>
      <c r="B307">
        <v>16500609</v>
      </c>
      <c r="C307">
        <v>16500600</v>
      </c>
      <c r="D307">
        <v>15191387</v>
      </c>
      <c r="E307">
        <v>1</v>
      </c>
      <c r="F307">
        <v>1</v>
      </c>
      <c r="G307">
        <v>1</v>
      </c>
      <c r="H307">
        <v>3</v>
      </c>
      <c r="I307" t="s">
        <v>20</v>
      </c>
      <c r="J307" t="s">
        <v>21</v>
      </c>
      <c r="K307" t="s">
        <v>22</v>
      </c>
      <c r="L307">
        <v>1348</v>
      </c>
      <c r="N307">
        <v>1009</v>
      </c>
      <c r="O307" t="s">
        <v>288</v>
      </c>
      <c r="P307" t="s">
        <v>288</v>
      </c>
      <c r="Q307">
        <v>1000</v>
      </c>
      <c r="X307">
        <v>1.1100000000000001</v>
      </c>
      <c r="Y307">
        <v>11200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224</v>
      </c>
      <c r="AG307">
        <v>1.1100000000000001</v>
      </c>
      <c r="AH307">
        <v>2</v>
      </c>
      <c r="AI307">
        <v>16500609</v>
      </c>
      <c r="AJ307">
        <v>285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ROW(Source!A93)</f>
        <v>93</v>
      </c>
      <c r="B308">
        <v>16500610</v>
      </c>
      <c r="C308">
        <v>16500600</v>
      </c>
      <c r="D308">
        <v>15196000</v>
      </c>
      <c r="E308">
        <v>1</v>
      </c>
      <c r="F308">
        <v>1</v>
      </c>
      <c r="G308">
        <v>1</v>
      </c>
      <c r="H308">
        <v>3</v>
      </c>
      <c r="I308" t="s">
        <v>23</v>
      </c>
      <c r="J308" t="s">
        <v>24</v>
      </c>
      <c r="K308" t="s">
        <v>25</v>
      </c>
      <c r="L308">
        <v>1339</v>
      </c>
      <c r="N308">
        <v>1007</v>
      </c>
      <c r="O308" t="s">
        <v>691</v>
      </c>
      <c r="P308" t="s">
        <v>691</v>
      </c>
      <c r="Q308">
        <v>1</v>
      </c>
      <c r="X308">
        <v>4.45</v>
      </c>
      <c r="Y308">
        <v>968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224</v>
      </c>
      <c r="AG308">
        <v>4.45</v>
      </c>
      <c r="AH308">
        <v>2</v>
      </c>
      <c r="AI308">
        <v>16500610</v>
      </c>
      <c r="AJ308">
        <v>286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ROW(Source!A93)</f>
        <v>93</v>
      </c>
      <c r="B309">
        <v>16500611</v>
      </c>
      <c r="C309">
        <v>16500600</v>
      </c>
      <c r="D309">
        <v>15198456</v>
      </c>
      <c r="E309">
        <v>1</v>
      </c>
      <c r="F309">
        <v>1</v>
      </c>
      <c r="G309">
        <v>1</v>
      </c>
      <c r="H309">
        <v>3</v>
      </c>
      <c r="I309" t="s">
        <v>841</v>
      </c>
      <c r="J309" t="s">
        <v>842</v>
      </c>
      <c r="K309" t="s">
        <v>843</v>
      </c>
      <c r="L309">
        <v>1327</v>
      </c>
      <c r="N309">
        <v>1005</v>
      </c>
      <c r="O309" t="s">
        <v>277</v>
      </c>
      <c r="P309" t="s">
        <v>277</v>
      </c>
      <c r="Q309">
        <v>1</v>
      </c>
      <c r="X309">
        <v>20.100000000000001</v>
      </c>
      <c r="Y309">
        <v>6.22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224</v>
      </c>
      <c r="AG309">
        <v>20.100000000000001</v>
      </c>
      <c r="AH309">
        <v>2</v>
      </c>
      <c r="AI309">
        <v>16500611</v>
      </c>
      <c r="AJ309">
        <v>287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ROW(Source!A93)</f>
        <v>93</v>
      </c>
      <c r="B310">
        <v>16500612</v>
      </c>
      <c r="C310">
        <v>16500600</v>
      </c>
      <c r="D310">
        <v>15202950</v>
      </c>
      <c r="E310">
        <v>1</v>
      </c>
      <c r="F310">
        <v>1</v>
      </c>
      <c r="G310">
        <v>1</v>
      </c>
      <c r="H310">
        <v>3</v>
      </c>
      <c r="I310" t="s">
        <v>26</v>
      </c>
      <c r="J310" t="s">
        <v>27</v>
      </c>
      <c r="K310" t="s">
        <v>28</v>
      </c>
      <c r="L310">
        <v>1348</v>
      </c>
      <c r="N310">
        <v>1009</v>
      </c>
      <c r="O310" t="s">
        <v>288</v>
      </c>
      <c r="P310" t="s">
        <v>288</v>
      </c>
      <c r="Q310">
        <v>1000</v>
      </c>
      <c r="X310">
        <v>6.7000000000000004E-2</v>
      </c>
      <c r="Y310">
        <v>1695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224</v>
      </c>
      <c r="AG310">
        <v>6.7000000000000004E-2</v>
      </c>
      <c r="AH310">
        <v>2</v>
      </c>
      <c r="AI310">
        <v>16500612</v>
      </c>
      <c r="AJ310">
        <v>288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ROW(Source!A94)</f>
        <v>94</v>
      </c>
      <c r="B311">
        <v>16500614</v>
      </c>
      <c r="C311">
        <v>16500613</v>
      </c>
      <c r="D311">
        <v>15430397</v>
      </c>
      <c r="E311">
        <v>1</v>
      </c>
      <c r="F311">
        <v>1</v>
      </c>
      <c r="G311">
        <v>1</v>
      </c>
      <c r="H311">
        <v>1</v>
      </c>
      <c r="I311" t="s">
        <v>739</v>
      </c>
      <c r="J311" t="s">
        <v>224</v>
      </c>
      <c r="K311" t="s">
        <v>740</v>
      </c>
      <c r="L311">
        <v>1191</v>
      </c>
      <c r="N311">
        <v>1013</v>
      </c>
      <c r="O311" t="s">
        <v>628</v>
      </c>
      <c r="P311" t="s">
        <v>628</v>
      </c>
      <c r="Q311">
        <v>1</v>
      </c>
      <c r="X311">
        <v>14.36</v>
      </c>
      <c r="Y311">
        <v>0</v>
      </c>
      <c r="Z311">
        <v>0</v>
      </c>
      <c r="AA311">
        <v>0</v>
      </c>
      <c r="AB311">
        <v>9.4</v>
      </c>
      <c r="AC311">
        <v>0</v>
      </c>
      <c r="AD311">
        <v>1</v>
      </c>
      <c r="AE311">
        <v>1</v>
      </c>
      <c r="AF311" t="s">
        <v>240</v>
      </c>
      <c r="AG311">
        <v>16.513999999999999</v>
      </c>
      <c r="AH311">
        <v>2</v>
      </c>
      <c r="AI311">
        <v>16500614</v>
      </c>
      <c r="AJ311">
        <v>289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ROW(Source!A94)</f>
        <v>94</v>
      </c>
      <c r="B312">
        <v>16500615</v>
      </c>
      <c r="C312">
        <v>16500613</v>
      </c>
      <c r="D312">
        <v>15430395</v>
      </c>
      <c r="E312">
        <v>1</v>
      </c>
      <c r="F312">
        <v>1</v>
      </c>
      <c r="G312">
        <v>1</v>
      </c>
      <c r="H312">
        <v>1</v>
      </c>
      <c r="I312" t="s">
        <v>629</v>
      </c>
      <c r="J312" t="s">
        <v>224</v>
      </c>
      <c r="K312" t="s">
        <v>630</v>
      </c>
      <c r="L312">
        <v>1191</v>
      </c>
      <c r="N312">
        <v>1013</v>
      </c>
      <c r="O312" t="s">
        <v>628</v>
      </c>
      <c r="P312" t="s">
        <v>628</v>
      </c>
      <c r="Q312">
        <v>1</v>
      </c>
      <c r="X312">
        <v>0.28999999999999998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2</v>
      </c>
      <c r="AF312" t="s">
        <v>239</v>
      </c>
      <c r="AG312">
        <v>0.36249999999999999</v>
      </c>
      <c r="AH312">
        <v>2</v>
      </c>
      <c r="AI312">
        <v>16500615</v>
      </c>
      <c r="AJ312">
        <v>290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ROW(Source!A94)</f>
        <v>94</v>
      </c>
      <c r="B313">
        <v>16500616</v>
      </c>
      <c r="C313">
        <v>16500613</v>
      </c>
      <c r="D313">
        <v>15247578</v>
      </c>
      <c r="E313">
        <v>1</v>
      </c>
      <c r="F313">
        <v>1</v>
      </c>
      <c r="G313">
        <v>1</v>
      </c>
      <c r="H313">
        <v>2</v>
      </c>
      <c r="I313" t="s">
        <v>11</v>
      </c>
      <c r="J313" t="s">
        <v>12</v>
      </c>
      <c r="K313" t="s">
        <v>13</v>
      </c>
      <c r="L313">
        <v>1368</v>
      </c>
      <c r="N313">
        <v>1011</v>
      </c>
      <c r="O313" t="s">
        <v>634</v>
      </c>
      <c r="P313" t="s">
        <v>634</v>
      </c>
      <c r="Q313">
        <v>1</v>
      </c>
      <c r="X313">
        <v>0.15</v>
      </c>
      <c r="Y313">
        <v>0</v>
      </c>
      <c r="Z313">
        <v>86.4</v>
      </c>
      <c r="AA313">
        <v>13.5</v>
      </c>
      <c r="AB313">
        <v>0</v>
      </c>
      <c r="AC313">
        <v>0</v>
      </c>
      <c r="AD313">
        <v>1</v>
      </c>
      <c r="AE313">
        <v>0</v>
      </c>
      <c r="AF313" t="s">
        <v>239</v>
      </c>
      <c r="AG313">
        <v>0.1875</v>
      </c>
      <c r="AH313">
        <v>2</v>
      </c>
      <c r="AI313">
        <v>16500616</v>
      </c>
      <c r="AJ313">
        <v>291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ROW(Source!A94)</f>
        <v>94</v>
      </c>
      <c r="B314">
        <v>16500617</v>
      </c>
      <c r="C314">
        <v>16500613</v>
      </c>
      <c r="D314">
        <v>15247680</v>
      </c>
      <c r="E314">
        <v>1</v>
      </c>
      <c r="F314">
        <v>1</v>
      </c>
      <c r="G314">
        <v>1</v>
      </c>
      <c r="H314">
        <v>2</v>
      </c>
      <c r="I314" t="s">
        <v>670</v>
      </c>
      <c r="J314" t="s">
        <v>671</v>
      </c>
      <c r="K314" t="s">
        <v>672</v>
      </c>
      <c r="L314">
        <v>1368</v>
      </c>
      <c r="N314">
        <v>1011</v>
      </c>
      <c r="O314" t="s">
        <v>634</v>
      </c>
      <c r="P314" t="s">
        <v>634</v>
      </c>
      <c r="Q314">
        <v>1</v>
      </c>
      <c r="X314">
        <v>0.05</v>
      </c>
      <c r="Y314">
        <v>0</v>
      </c>
      <c r="Z314">
        <v>111.99</v>
      </c>
      <c r="AA314">
        <v>13.5</v>
      </c>
      <c r="AB314">
        <v>0</v>
      </c>
      <c r="AC314">
        <v>0</v>
      </c>
      <c r="AD314">
        <v>1</v>
      </c>
      <c r="AE314">
        <v>0</v>
      </c>
      <c r="AF314" t="s">
        <v>239</v>
      </c>
      <c r="AG314">
        <v>6.25E-2</v>
      </c>
      <c r="AH314">
        <v>2</v>
      </c>
      <c r="AI314">
        <v>16500617</v>
      </c>
      <c r="AJ314">
        <v>292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ROW(Source!A94)</f>
        <v>94</v>
      </c>
      <c r="B315">
        <v>16500618</v>
      </c>
      <c r="C315">
        <v>16500613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631</v>
      </c>
      <c r="J315" t="s">
        <v>632</v>
      </c>
      <c r="K315" t="s">
        <v>633</v>
      </c>
      <c r="L315">
        <v>1368</v>
      </c>
      <c r="N315">
        <v>1011</v>
      </c>
      <c r="O315" t="s">
        <v>634</v>
      </c>
      <c r="P315" t="s">
        <v>634</v>
      </c>
      <c r="Q315">
        <v>1</v>
      </c>
      <c r="X315">
        <v>0.09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239</v>
      </c>
      <c r="AG315">
        <v>0.11249999999999999</v>
      </c>
      <c r="AH315">
        <v>2</v>
      </c>
      <c r="AI315">
        <v>16500618</v>
      </c>
      <c r="AJ315">
        <v>293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ROW(Source!A94)</f>
        <v>94</v>
      </c>
      <c r="B316">
        <v>16500619</v>
      </c>
      <c r="C316">
        <v>16500613</v>
      </c>
      <c r="D316">
        <v>15165660</v>
      </c>
      <c r="E316">
        <v>1</v>
      </c>
      <c r="F316">
        <v>1</v>
      </c>
      <c r="G316">
        <v>1</v>
      </c>
      <c r="H316">
        <v>3</v>
      </c>
      <c r="I316" t="s">
        <v>692</v>
      </c>
      <c r="J316" t="s">
        <v>693</v>
      </c>
      <c r="K316" t="s">
        <v>694</v>
      </c>
      <c r="L316">
        <v>1346</v>
      </c>
      <c r="N316">
        <v>1009</v>
      </c>
      <c r="O316" t="s">
        <v>303</v>
      </c>
      <c r="P316" t="s">
        <v>303</v>
      </c>
      <c r="Q316">
        <v>1</v>
      </c>
      <c r="X316">
        <v>29.94</v>
      </c>
      <c r="Y316">
        <v>6.09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224</v>
      </c>
      <c r="AG316">
        <v>29.94</v>
      </c>
      <c r="AH316">
        <v>2</v>
      </c>
      <c r="AI316">
        <v>16500619</v>
      </c>
      <c r="AJ316">
        <v>294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ROW(Source!A94)</f>
        <v>94</v>
      </c>
      <c r="B317">
        <v>16500620</v>
      </c>
      <c r="C317">
        <v>16500613</v>
      </c>
      <c r="D317">
        <v>15162791</v>
      </c>
      <c r="E317">
        <v>17</v>
      </c>
      <c r="F317">
        <v>1</v>
      </c>
      <c r="G317">
        <v>1</v>
      </c>
      <c r="H317">
        <v>3</v>
      </c>
      <c r="I317" t="s">
        <v>100</v>
      </c>
      <c r="J317" t="s">
        <v>224</v>
      </c>
      <c r="K317" t="s">
        <v>101</v>
      </c>
      <c r="L317">
        <v>1327</v>
      </c>
      <c r="N317">
        <v>1005</v>
      </c>
      <c r="O317" t="s">
        <v>277</v>
      </c>
      <c r="P317" t="s">
        <v>277</v>
      </c>
      <c r="Q317">
        <v>1</v>
      </c>
      <c r="X317">
        <v>114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 t="s">
        <v>224</v>
      </c>
      <c r="AG317">
        <v>114</v>
      </c>
      <c r="AH317">
        <v>3</v>
      </c>
      <c r="AI317">
        <v>-1</v>
      </c>
      <c r="AJ317" t="s">
        <v>224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ROW(Source!A94)</f>
        <v>94</v>
      </c>
      <c r="B318">
        <v>16500621</v>
      </c>
      <c r="C318">
        <v>16500613</v>
      </c>
      <c r="D318">
        <v>15162792</v>
      </c>
      <c r="E318">
        <v>17</v>
      </c>
      <c r="F318">
        <v>1</v>
      </c>
      <c r="G318">
        <v>1</v>
      </c>
      <c r="H318">
        <v>3</v>
      </c>
      <c r="I318" t="s">
        <v>100</v>
      </c>
      <c r="J318" t="s">
        <v>224</v>
      </c>
      <c r="K318" t="s">
        <v>102</v>
      </c>
      <c r="L318">
        <v>1327</v>
      </c>
      <c r="N318">
        <v>1005</v>
      </c>
      <c r="O318" t="s">
        <v>277</v>
      </c>
      <c r="P318" t="s">
        <v>277</v>
      </c>
      <c r="Q318">
        <v>1</v>
      </c>
      <c r="X318">
        <v>116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224</v>
      </c>
      <c r="AG318">
        <v>116</v>
      </c>
      <c r="AH318">
        <v>3</v>
      </c>
      <c r="AI318">
        <v>-1</v>
      </c>
      <c r="AJ318" t="s">
        <v>224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ROW(Source!A95)</f>
        <v>95</v>
      </c>
      <c r="B319">
        <v>16500614</v>
      </c>
      <c r="C319">
        <v>16500613</v>
      </c>
      <c r="D319">
        <v>15430397</v>
      </c>
      <c r="E319">
        <v>1</v>
      </c>
      <c r="F319">
        <v>1</v>
      </c>
      <c r="G319">
        <v>1</v>
      </c>
      <c r="H319">
        <v>1</v>
      </c>
      <c r="I319" t="s">
        <v>739</v>
      </c>
      <c r="J319" t="s">
        <v>224</v>
      </c>
      <c r="K319" t="s">
        <v>740</v>
      </c>
      <c r="L319">
        <v>1191</v>
      </c>
      <c r="N319">
        <v>1013</v>
      </c>
      <c r="O319" t="s">
        <v>628</v>
      </c>
      <c r="P319" t="s">
        <v>628</v>
      </c>
      <c r="Q319">
        <v>1</v>
      </c>
      <c r="X319">
        <v>14.36</v>
      </c>
      <c r="Y319">
        <v>0</v>
      </c>
      <c r="Z319">
        <v>0</v>
      </c>
      <c r="AA319">
        <v>0</v>
      </c>
      <c r="AB319">
        <v>9.4</v>
      </c>
      <c r="AC319">
        <v>0</v>
      </c>
      <c r="AD319">
        <v>1</v>
      </c>
      <c r="AE319">
        <v>1</v>
      </c>
      <c r="AF319" t="s">
        <v>240</v>
      </c>
      <c r="AG319">
        <v>16.513999999999999</v>
      </c>
      <c r="AH319">
        <v>2</v>
      </c>
      <c r="AI319">
        <v>16500614</v>
      </c>
      <c r="AJ319">
        <v>297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ROW(Source!A95)</f>
        <v>95</v>
      </c>
      <c r="B320">
        <v>16500615</v>
      </c>
      <c r="C320">
        <v>16500613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629</v>
      </c>
      <c r="J320" t="s">
        <v>224</v>
      </c>
      <c r="K320" t="s">
        <v>630</v>
      </c>
      <c r="L320">
        <v>1191</v>
      </c>
      <c r="N320">
        <v>1013</v>
      </c>
      <c r="O320" t="s">
        <v>628</v>
      </c>
      <c r="P320" t="s">
        <v>628</v>
      </c>
      <c r="Q320">
        <v>1</v>
      </c>
      <c r="X320">
        <v>0.28999999999999998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239</v>
      </c>
      <c r="AG320">
        <v>0.36249999999999999</v>
      </c>
      <c r="AH320">
        <v>2</v>
      </c>
      <c r="AI320">
        <v>16500615</v>
      </c>
      <c r="AJ320">
        <v>298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ROW(Source!A95)</f>
        <v>95</v>
      </c>
      <c r="B321">
        <v>16500616</v>
      </c>
      <c r="C321">
        <v>16500613</v>
      </c>
      <c r="D321">
        <v>15247578</v>
      </c>
      <c r="E321">
        <v>1</v>
      </c>
      <c r="F321">
        <v>1</v>
      </c>
      <c r="G321">
        <v>1</v>
      </c>
      <c r="H321">
        <v>2</v>
      </c>
      <c r="I321" t="s">
        <v>11</v>
      </c>
      <c r="J321" t="s">
        <v>12</v>
      </c>
      <c r="K321" t="s">
        <v>13</v>
      </c>
      <c r="L321">
        <v>1368</v>
      </c>
      <c r="N321">
        <v>1011</v>
      </c>
      <c r="O321" t="s">
        <v>634</v>
      </c>
      <c r="P321" t="s">
        <v>634</v>
      </c>
      <c r="Q321">
        <v>1</v>
      </c>
      <c r="X321">
        <v>0.15</v>
      </c>
      <c r="Y321">
        <v>0</v>
      </c>
      <c r="Z321">
        <v>86.4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239</v>
      </c>
      <c r="AG321">
        <v>0.1875</v>
      </c>
      <c r="AH321">
        <v>2</v>
      </c>
      <c r="AI321">
        <v>16500616</v>
      </c>
      <c r="AJ321">
        <v>299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ROW(Source!A95)</f>
        <v>95</v>
      </c>
      <c r="B322">
        <v>16500617</v>
      </c>
      <c r="C322">
        <v>16500613</v>
      </c>
      <c r="D322">
        <v>15247680</v>
      </c>
      <c r="E322">
        <v>1</v>
      </c>
      <c r="F322">
        <v>1</v>
      </c>
      <c r="G322">
        <v>1</v>
      </c>
      <c r="H322">
        <v>2</v>
      </c>
      <c r="I322" t="s">
        <v>670</v>
      </c>
      <c r="J322" t="s">
        <v>671</v>
      </c>
      <c r="K322" t="s">
        <v>672</v>
      </c>
      <c r="L322">
        <v>1368</v>
      </c>
      <c r="N322">
        <v>1011</v>
      </c>
      <c r="O322" t="s">
        <v>634</v>
      </c>
      <c r="P322" t="s">
        <v>634</v>
      </c>
      <c r="Q322">
        <v>1</v>
      </c>
      <c r="X322">
        <v>0.05</v>
      </c>
      <c r="Y322">
        <v>0</v>
      </c>
      <c r="Z322">
        <v>111.99</v>
      </c>
      <c r="AA322">
        <v>13.5</v>
      </c>
      <c r="AB322">
        <v>0</v>
      </c>
      <c r="AC322">
        <v>0</v>
      </c>
      <c r="AD322">
        <v>1</v>
      </c>
      <c r="AE322">
        <v>0</v>
      </c>
      <c r="AF322" t="s">
        <v>239</v>
      </c>
      <c r="AG322">
        <v>6.25E-2</v>
      </c>
      <c r="AH322">
        <v>2</v>
      </c>
      <c r="AI322">
        <v>16500617</v>
      </c>
      <c r="AJ322">
        <v>300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ROW(Source!A95)</f>
        <v>95</v>
      </c>
      <c r="B323">
        <v>16500618</v>
      </c>
      <c r="C323">
        <v>16500613</v>
      </c>
      <c r="D323">
        <v>15249073</v>
      </c>
      <c r="E323">
        <v>1</v>
      </c>
      <c r="F323">
        <v>1</v>
      </c>
      <c r="G323">
        <v>1</v>
      </c>
      <c r="H323">
        <v>2</v>
      </c>
      <c r="I323" t="s">
        <v>631</v>
      </c>
      <c r="J323" t="s">
        <v>632</v>
      </c>
      <c r="K323" t="s">
        <v>633</v>
      </c>
      <c r="L323">
        <v>1368</v>
      </c>
      <c r="N323">
        <v>1011</v>
      </c>
      <c r="O323" t="s">
        <v>634</v>
      </c>
      <c r="P323" t="s">
        <v>634</v>
      </c>
      <c r="Q323">
        <v>1</v>
      </c>
      <c r="X323">
        <v>0.09</v>
      </c>
      <c r="Y323">
        <v>0</v>
      </c>
      <c r="Z323">
        <v>65.709999999999994</v>
      </c>
      <c r="AA323">
        <v>11.6</v>
      </c>
      <c r="AB323">
        <v>0</v>
      </c>
      <c r="AC323">
        <v>0</v>
      </c>
      <c r="AD323">
        <v>1</v>
      </c>
      <c r="AE323">
        <v>0</v>
      </c>
      <c r="AF323" t="s">
        <v>239</v>
      </c>
      <c r="AG323">
        <v>0.11249999999999999</v>
      </c>
      <c r="AH323">
        <v>2</v>
      </c>
      <c r="AI323">
        <v>16500618</v>
      </c>
      <c r="AJ323">
        <v>301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ROW(Source!A95)</f>
        <v>95</v>
      </c>
      <c r="B324">
        <v>16500619</v>
      </c>
      <c r="C324">
        <v>16500613</v>
      </c>
      <c r="D324">
        <v>15165660</v>
      </c>
      <c r="E324">
        <v>1</v>
      </c>
      <c r="F324">
        <v>1</v>
      </c>
      <c r="G324">
        <v>1</v>
      </c>
      <c r="H324">
        <v>3</v>
      </c>
      <c r="I324" t="s">
        <v>692</v>
      </c>
      <c r="J324" t="s">
        <v>693</v>
      </c>
      <c r="K324" t="s">
        <v>694</v>
      </c>
      <c r="L324">
        <v>1346</v>
      </c>
      <c r="N324">
        <v>1009</v>
      </c>
      <c r="O324" t="s">
        <v>303</v>
      </c>
      <c r="P324" t="s">
        <v>303</v>
      </c>
      <c r="Q324">
        <v>1</v>
      </c>
      <c r="X324">
        <v>29.94</v>
      </c>
      <c r="Y324">
        <v>6.09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224</v>
      </c>
      <c r="AG324">
        <v>29.94</v>
      </c>
      <c r="AH324">
        <v>2</v>
      </c>
      <c r="AI324">
        <v>16500619</v>
      </c>
      <c r="AJ324">
        <v>302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ROW(Source!A95)</f>
        <v>95</v>
      </c>
      <c r="B325">
        <v>16500620</v>
      </c>
      <c r="C325">
        <v>16500613</v>
      </c>
      <c r="D325">
        <v>15162791</v>
      </c>
      <c r="E325">
        <v>17</v>
      </c>
      <c r="F325">
        <v>1</v>
      </c>
      <c r="G325">
        <v>1</v>
      </c>
      <c r="H325">
        <v>3</v>
      </c>
      <c r="I325" t="s">
        <v>100</v>
      </c>
      <c r="J325" t="s">
        <v>224</v>
      </c>
      <c r="K325" t="s">
        <v>101</v>
      </c>
      <c r="L325">
        <v>1327</v>
      </c>
      <c r="N325">
        <v>1005</v>
      </c>
      <c r="O325" t="s">
        <v>277</v>
      </c>
      <c r="P325" t="s">
        <v>277</v>
      </c>
      <c r="Q325">
        <v>1</v>
      </c>
      <c r="X325">
        <v>114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 t="s">
        <v>224</v>
      </c>
      <c r="AG325">
        <v>114</v>
      </c>
      <c r="AH325">
        <v>3</v>
      </c>
      <c r="AI325">
        <v>-1</v>
      </c>
      <c r="AJ325" t="s">
        <v>224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ROW(Source!A95)</f>
        <v>95</v>
      </c>
      <c r="B326">
        <v>16500621</v>
      </c>
      <c r="C326">
        <v>16500613</v>
      </c>
      <c r="D326">
        <v>15162792</v>
      </c>
      <c r="E326">
        <v>17</v>
      </c>
      <c r="F326">
        <v>1</v>
      </c>
      <c r="G326">
        <v>1</v>
      </c>
      <c r="H326">
        <v>3</v>
      </c>
      <c r="I326" t="s">
        <v>100</v>
      </c>
      <c r="J326" t="s">
        <v>224</v>
      </c>
      <c r="K326" t="s">
        <v>102</v>
      </c>
      <c r="L326">
        <v>1327</v>
      </c>
      <c r="N326">
        <v>1005</v>
      </c>
      <c r="O326" t="s">
        <v>277</v>
      </c>
      <c r="P326" t="s">
        <v>277</v>
      </c>
      <c r="Q326">
        <v>1</v>
      </c>
      <c r="X326">
        <v>116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224</v>
      </c>
      <c r="AG326">
        <v>116</v>
      </c>
      <c r="AH326">
        <v>3</v>
      </c>
      <c r="AI326">
        <v>-1</v>
      </c>
      <c r="AJ326" t="s">
        <v>224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ROW(Source!A100)</f>
        <v>100</v>
      </c>
      <c r="B327">
        <v>16500316</v>
      </c>
      <c r="C327">
        <v>16500315</v>
      </c>
      <c r="D327">
        <v>15441047</v>
      </c>
      <c r="E327">
        <v>1</v>
      </c>
      <c r="F327">
        <v>1</v>
      </c>
      <c r="G327">
        <v>1</v>
      </c>
      <c r="H327">
        <v>1</v>
      </c>
      <c r="I327" t="s">
        <v>665</v>
      </c>
      <c r="J327" t="s">
        <v>224</v>
      </c>
      <c r="K327" t="s">
        <v>666</v>
      </c>
      <c r="L327">
        <v>1191</v>
      </c>
      <c r="N327">
        <v>1013</v>
      </c>
      <c r="O327" t="s">
        <v>628</v>
      </c>
      <c r="P327" t="s">
        <v>628</v>
      </c>
      <c r="Q327">
        <v>1</v>
      </c>
      <c r="X327">
        <v>46.37</v>
      </c>
      <c r="Y327">
        <v>0</v>
      </c>
      <c r="Z327">
        <v>0</v>
      </c>
      <c r="AA327">
        <v>0</v>
      </c>
      <c r="AB327">
        <v>10.06</v>
      </c>
      <c r="AC327">
        <v>0</v>
      </c>
      <c r="AD327">
        <v>1</v>
      </c>
      <c r="AE327">
        <v>1</v>
      </c>
      <c r="AF327" t="s">
        <v>240</v>
      </c>
      <c r="AG327">
        <v>53.325499999999991</v>
      </c>
      <c r="AH327">
        <v>2</v>
      </c>
      <c r="AI327">
        <v>16500316</v>
      </c>
      <c r="AJ327">
        <v>305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ROW(Source!A100)</f>
        <v>100</v>
      </c>
      <c r="B328">
        <v>16500317</v>
      </c>
      <c r="C328">
        <v>16500315</v>
      </c>
      <c r="D328">
        <v>15430395</v>
      </c>
      <c r="E328">
        <v>1</v>
      </c>
      <c r="F328">
        <v>1</v>
      </c>
      <c r="G328">
        <v>1</v>
      </c>
      <c r="H328">
        <v>1</v>
      </c>
      <c r="I328" t="s">
        <v>629</v>
      </c>
      <c r="J328" t="s">
        <v>224</v>
      </c>
      <c r="K328" t="s">
        <v>630</v>
      </c>
      <c r="L328">
        <v>1191</v>
      </c>
      <c r="N328">
        <v>1013</v>
      </c>
      <c r="O328" t="s">
        <v>628</v>
      </c>
      <c r="P328" t="s">
        <v>628</v>
      </c>
      <c r="Q328">
        <v>1</v>
      </c>
      <c r="X328">
        <v>8.8699999999999992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239</v>
      </c>
      <c r="AG328">
        <v>11.087499999999999</v>
      </c>
      <c r="AH328">
        <v>2</v>
      </c>
      <c r="AI328">
        <v>16500317</v>
      </c>
      <c r="AJ328">
        <v>306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ROW(Source!A100)</f>
        <v>100</v>
      </c>
      <c r="B329">
        <v>16500318</v>
      </c>
      <c r="C329">
        <v>16500315</v>
      </c>
      <c r="D329">
        <v>15247600</v>
      </c>
      <c r="E329">
        <v>1</v>
      </c>
      <c r="F329">
        <v>1</v>
      </c>
      <c r="G329">
        <v>1</v>
      </c>
      <c r="H329">
        <v>2</v>
      </c>
      <c r="I329" t="s">
        <v>667</v>
      </c>
      <c r="J329" t="s">
        <v>668</v>
      </c>
      <c r="K329" t="s">
        <v>669</v>
      </c>
      <c r="L329">
        <v>1368</v>
      </c>
      <c r="N329">
        <v>1011</v>
      </c>
      <c r="O329" t="s">
        <v>634</v>
      </c>
      <c r="P329" t="s">
        <v>634</v>
      </c>
      <c r="Q329">
        <v>1</v>
      </c>
      <c r="X329">
        <v>0.42</v>
      </c>
      <c r="Y329">
        <v>0</v>
      </c>
      <c r="Z329">
        <v>120.24</v>
      </c>
      <c r="AA329">
        <v>15.42</v>
      </c>
      <c r="AB329">
        <v>0</v>
      </c>
      <c r="AC329">
        <v>0</v>
      </c>
      <c r="AD329">
        <v>1</v>
      </c>
      <c r="AE329">
        <v>0</v>
      </c>
      <c r="AF329" t="s">
        <v>239</v>
      </c>
      <c r="AG329">
        <v>0.52500000000000002</v>
      </c>
      <c r="AH329">
        <v>2</v>
      </c>
      <c r="AI329">
        <v>16500318</v>
      </c>
      <c r="AJ329">
        <v>307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ROW(Source!A100)</f>
        <v>100</v>
      </c>
      <c r="B330">
        <v>16500319</v>
      </c>
      <c r="C330">
        <v>16500315</v>
      </c>
      <c r="D330">
        <v>15247680</v>
      </c>
      <c r="E330">
        <v>1</v>
      </c>
      <c r="F330">
        <v>1</v>
      </c>
      <c r="G330">
        <v>1</v>
      </c>
      <c r="H330">
        <v>2</v>
      </c>
      <c r="I330" t="s">
        <v>670</v>
      </c>
      <c r="J330" t="s">
        <v>671</v>
      </c>
      <c r="K330" t="s">
        <v>672</v>
      </c>
      <c r="L330">
        <v>1368</v>
      </c>
      <c r="N330">
        <v>1011</v>
      </c>
      <c r="O330" t="s">
        <v>634</v>
      </c>
      <c r="P330" t="s">
        <v>634</v>
      </c>
      <c r="Q330">
        <v>1</v>
      </c>
      <c r="X330">
        <v>0.12</v>
      </c>
      <c r="Y330">
        <v>0</v>
      </c>
      <c r="Z330">
        <v>111.99</v>
      </c>
      <c r="AA330">
        <v>13.5</v>
      </c>
      <c r="AB330">
        <v>0</v>
      </c>
      <c r="AC330">
        <v>0</v>
      </c>
      <c r="AD330">
        <v>1</v>
      </c>
      <c r="AE330">
        <v>0</v>
      </c>
      <c r="AF330" t="s">
        <v>239</v>
      </c>
      <c r="AG330">
        <v>0.15</v>
      </c>
      <c r="AH330">
        <v>2</v>
      </c>
      <c r="AI330">
        <v>16500319</v>
      </c>
      <c r="AJ330">
        <v>308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ROW(Source!A100)</f>
        <v>100</v>
      </c>
      <c r="B331">
        <v>16500320</v>
      </c>
      <c r="C331">
        <v>16500315</v>
      </c>
      <c r="D331">
        <v>15247698</v>
      </c>
      <c r="E331">
        <v>1</v>
      </c>
      <c r="F331">
        <v>1</v>
      </c>
      <c r="G331">
        <v>1</v>
      </c>
      <c r="H331">
        <v>2</v>
      </c>
      <c r="I331" t="s">
        <v>673</v>
      </c>
      <c r="J331" t="s">
        <v>674</v>
      </c>
      <c r="K331" t="s">
        <v>675</v>
      </c>
      <c r="L331">
        <v>1368</v>
      </c>
      <c r="N331">
        <v>1011</v>
      </c>
      <c r="O331" t="s">
        <v>634</v>
      </c>
      <c r="P331" t="s">
        <v>634</v>
      </c>
      <c r="Q331">
        <v>1</v>
      </c>
      <c r="X331">
        <v>4.07</v>
      </c>
      <c r="Y331">
        <v>0</v>
      </c>
      <c r="Z331">
        <v>533.27</v>
      </c>
      <c r="AA331">
        <v>27.9</v>
      </c>
      <c r="AB331">
        <v>0</v>
      </c>
      <c r="AC331">
        <v>0</v>
      </c>
      <c r="AD331">
        <v>1</v>
      </c>
      <c r="AE331">
        <v>0</v>
      </c>
      <c r="AF331" t="s">
        <v>239</v>
      </c>
      <c r="AG331">
        <v>5.0875000000000004</v>
      </c>
      <c r="AH331">
        <v>2</v>
      </c>
      <c r="AI331">
        <v>16500320</v>
      </c>
      <c r="AJ331">
        <v>309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ROW(Source!A100)</f>
        <v>100</v>
      </c>
      <c r="B332">
        <v>16500321</v>
      </c>
      <c r="C332">
        <v>16500315</v>
      </c>
      <c r="D332">
        <v>15247814</v>
      </c>
      <c r="E332">
        <v>1</v>
      </c>
      <c r="F332">
        <v>1</v>
      </c>
      <c r="G332">
        <v>1</v>
      </c>
      <c r="H332">
        <v>2</v>
      </c>
      <c r="I332" t="s">
        <v>676</v>
      </c>
      <c r="J332" t="s">
        <v>677</v>
      </c>
      <c r="K332" t="s">
        <v>678</v>
      </c>
      <c r="L332">
        <v>1368</v>
      </c>
      <c r="N332">
        <v>1011</v>
      </c>
      <c r="O332" t="s">
        <v>634</v>
      </c>
      <c r="P332" t="s">
        <v>634</v>
      </c>
      <c r="Q332">
        <v>1</v>
      </c>
      <c r="X332">
        <v>0.1</v>
      </c>
      <c r="Y332">
        <v>0</v>
      </c>
      <c r="Z332">
        <v>0.9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239</v>
      </c>
      <c r="AG332">
        <v>0.125</v>
      </c>
      <c r="AH332">
        <v>2</v>
      </c>
      <c r="AI332">
        <v>16500321</v>
      </c>
      <c r="AJ332">
        <v>310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ROW(Source!A100)</f>
        <v>100</v>
      </c>
      <c r="B333">
        <v>16500322</v>
      </c>
      <c r="C333">
        <v>16500315</v>
      </c>
      <c r="D333">
        <v>15247878</v>
      </c>
      <c r="E333">
        <v>1</v>
      </c>
      <c r="F333">
        <v>1</v>
      </c>
      <c r="G333">
        <v>1</v>
      </c>
      <c r="H333">
        <v>2</v>
      </c>
      <c r="I333" t="s">
        <v>646</v>
      </c>
      <c r="J333" t="s">
        <v>647</v>
      </c>
      <c r="K333" t="s">
        <v>648</v>
      </c>
      <c r="L333">
        <v>1368</v>
      </c>
      <c r="N333">
        <v>1011</v>
      </c>
      <c r="O333" t="s">
        <v>634</v>
      </c>
      <c r="P333" t="s">
        <v>634</v>
      </c>
      <c r="Q333">
        <v>1</v>
      </c>
      <c r="X333">
        <v>0.34</v>
      </c>
      <c r="Y333">
        <v>0</v>
      </c>
      <c r="Z333">
        <v>1.7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239</v>
      </c>
      <c r="AG333">
        <v>0.42500000000000004</v>
      </c>
      <c r="AH333">
        <v>2</v>
      </c>
      <c r="AI333">
        <v>16500322</v>
      </c>
      <c r="AJ333">
        <v>311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ROW(Source!A100)</f>
        <v>100</v>
      </c>
      <c r="B334">
        <v>16500323</v>
      </c>
      <c r="C334">
        <v>16500315</v>
      </c>
      <c r="D334">
        <v>15247880</v>
      </c>
      <c r="E334">
        <v>1</v>
      </c>
      <c r="F334">
        <v>1</v>
      </c>
      <c r="G334">
        <v>1</v>
      </c>
      <c r="H334">
        <v>2</v>
      </c>
      <c r="I334" t="s">
        <v>679</v>
      </c>
      <c r="J334" t="s">
        <v>680</v>
      </c>
      <c r="K334" t="s">
        <v>681</v>
      </c>
      <c r="L334">
        <v>1368</v>
      </c>
      <c r="N334">
        <v>1011</v>
      </c>
      <c r="O334" t="s">
        <v>634</v>
      </c>
      <c r="P334" t="s">
        <v>634</v>
      </c>
      <c r="Q334">
        <v>1</v>
      </c>
      <c r="X334">
        <v>0.09</v>
      </c>
      <c r="Y334">
        <v>0</v>
      </c>
      <c r="Z334">
        <v>6.9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239</v>
      </c>
      <c r="AG334">
        <v>0.11249999999999999</v>
      </c>
      <c r="AH334">
        <v>2</v>
      </c>
      <c r="AI334">
        <v>16500323</v>
      </c>
      <c r="AJ334">
        <v>312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ROW(Source!A100)</f>
        <v>100</v>
      </c>
      <c r="B335">
        <v>16500324</v>
      </c>
      <c r="C335">
        <v>16500315</v>
      </c>
      <c r="D335">
        <v>15249073</v>
      </c>
      <c r="E335">
        <v>1</v>
      </c>
      <c r="F335">
        <v>1</v>
      </c>
      <c r="G335">
        <v>1</v>
      </c>
      <c r="H335">
        <v>2</v>
      </c>
      <c r="I335" t="s">
        <v>631</v>
      </c>
      <c r="J335" t="s">
        <v>632</v>
      </c>
      <c r="K335" t="s">
        <v>633</v>
      </c>
      <c r="L335">
        <v>1368</v>
      </c>
      <c r="N335">
        <v>1011</v>
      </c>
      <c r="O335" t="s">
        <v>634</v>
      </c>
      <c r="P335" t="s">
        <v>634</v>
      </c>
      <c r="Q335">
        <v>1</v>
      </c>
      <c r="X335">
        <v>0.19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239</v>
      </c>
      <c r="AG335">
        <v>0.23749999999999999</v>
      </c>
      <c r="AH335">
        <v>2</v>
      </c>
      <c r="AI335">
        <v>16500324</v>
      </c>
      <c r="AJ335">
        <v>313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ROW(Source!A100)</f>
        <v>100</v>
      </c>
      <c r="B336">
        <v>16500325</v>
      </c>
      <c r="C336">
        <v>16500315</v>
      </c>
      <c r="D336">
        <v>15249308</v>
      </c>
      <c r="E336">
        <v>1</v>
      </c>
      <c r="F336">
        <v>1</v>
      </c>
      <c r="G336">
        <v>1</v>
      </c>
      <c r="H336">
        <v>2</v>
      </c>
      <c r="I336" t="s">
        <v>682</v>
      </c>
      <c r="J336" t="s">
        <v>683</v>
      </c>
      <c r="K336" t="s">
        <v>684</v>
      </c>
      <c r="L336">
        <v>1368</v>
      </c>
      <c r="N336">
        <v>1011</v>
      </c>
      <c r="O336" t="s">
        <v>634</v>
      </c>
      <c r="P336" t="s">
        <v>634</v>
      </c>
      <c r="Q336">
        <v>1</v>
      </c>
      <c r="X336">
        <v>2.2400000000000002</v>
      </c>
      <c r="Y336">
        <v>0</v>
      </c>
      <c r="Z336">
        <v>1.2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239</v>
      </c>
      <c r="AG336">
        <v>2.8000000000000003</v>
      </c>
      <c r="AH336">
        <v>2</v>
      </c>
      <c r="AI336">
        <v>16500325</v>
      </c>
      <c r="AJ336">
        <v>314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ROW(Source!A100)</f>
        <v>100</v>
      </c>
      <c r="B337">
        <v>16500326</v>
      </c>
      <c r="C337">
        <v>16500315</v>
      </c>
      <c r="D337">
        <v>15249355</v>
      </c>
      <c r="E337">
        <v>1</v>
      </c>
      <c r="F337">
        <v>1</v>
      </c>
      <c r="G337">
        <v>1</v>
      </c>
      <c r="H337">
        <v>2</v>
      </c>
      <c r="I337" t="s">
        <v>685</v>
      </c>
      <c r="J337" t="s">
        <v>686</v>
      </c>
      <c r="K337" t="s">
        <v>687</v>
      </c>
      <c r="L337">
        <v>1368</v>
      </c>
      <c r="N337">
        <v>1011</v>
      </c>
      <c r="O337" t="s">
        <v>634</v>
      </c>
      <c r="P337" t="s">
        <v>634</v>
      </c>
      <c r="Q337">
        <v>1</v>
      </c>
      <c r="X337">
        <v>15.01</v>
      </c>
      <c r="Y337">
        <v>0</v>
      </c>
      <c r="Z337">
        <v>12.31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239</v>
      </c>
      <c r="AG337">
        <v>18.762499999999999</v>
      </c>
      <c r="AH337">
        <v>2</v>
      </c>
      <c r="AI337">
        <v>16500326</v>
      </c>
      <c r="AJ337">
        <v>315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ROW(Source!A100)</f>
        <v>100</v>
      </c>
      <c r="B338">
        <v>16500327</v>
      </c>
      <c r="C338">
        <v>16500315</v>
      </c>
      <c r="D338">
        <v>15165653</v>
      </c>
      <c r="E338">
        <v>1</v>
      </c>
      <c r="F338">
        <v>1</v>
      </c>
      <c r="G338">
        <v>1</v>
      </c>
      <c r="H338">
        <v>3</v>
      </c>
      <c r="I338" t="s">
        <v>688</v>
      </c>
      <c r="J338" t="s">
        <v>689</v>
      </c>
      <c r="K338" t="s">
        <v>690</v>
      </c>
      <c r="L338">
        <v>1339</v>
      </c>
      <c r="N338">
        <v>1007</v>
      </c>
      <c r="O338" t="s">
        <v>691</v>
      </c>
      <c r="P338" t="s">
        <v>691</v>
      </c>
      <c r="Q338">
        <v>1</v>
      </c>
      <c r="X338">
        <v>1.95</v>
      </c>
      <c r="Y338">
        <v>6.22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224</v>
      </c>
      <c r="AG338">
        <v>1.95</v>
      </c>
      <c r="AH338">
        <v>2</v>
      </c>
      <c r="AI338">
        <v>16500327</v>
      </c>
      <c r="AJ338">
        <v>316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ROW(Source!A100)</f>
        <v>100</v>
      </c>
      <c r="B339">
        <v>16500328</v>
      </c>
      <c r="C339">
        <v>16500315</v>
      </c>
      <c r="D339">
        <v>15165660</v>
      </c>
      <c r="E339">
        <v>1</v>
      </c>
      <c r="F339">
        <v>1</v>
      </c>
      <c r="G339">
        <v>1</v>
      </c>
      <c r="H339">
        <v>3</v>
      </c>
      <c r="I339" t="s">
        <v>692</v>
      </c>
      <c r="J339" t="s">
        <v>693</v>
      </c>
      <c r="K339" t="s">
        <v>694</v>
      </c>
      <c r="L339">
        <v>1346</v>
      </c>
      <c r="N339">
        <v>1009</v>
      </c>
      <c r="O339" t="s">
        <v>303</v>
      </c>
      <c r="P339" t="s">
        <v>303</v>
      </c>
      <c r="Q339">
        <v>1</v>
      </c>
      <c r="X339">
        <v>0.59</v>
      </c>
      <c r="Y339">
        <v>6.09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224</v>
      </c>
      <c r="AG339">
        <v>0.59</v>
      </c>
      <c r="AH339">
        <v>2</v>
      </c>
      <c r="AI339">
        <v>16500328</v>
      </c>
      <c r="AJ339">
        <v>317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ROW(Source!A100)</f>
        <v>100</v>
      </c>
      <c r="B340">
        <v>16500329</v>
      </c>
      <c r="C340">
        <v>16500315</v>
      </c>
      <c r="D340">
        <v>15168753</v>
      </c>
      <c r="E340">
        <v>1</v>
      </c>
      <c r="F340">
        <v>1</v>
      </c>
      <c r="G340">
        <v>1</v>
      </c>
      <c r="H340">
        <v>3</v>
      </c>
      <c r="I340" t="s">
        <v>695</v>
      </c>
      <c r="J340" t="s">
        <v>696</v>
      </c>
      <c r="K340" t="s">
        <v>697</v>
      </c>
      <c r="L340">
        <v>1348</v>
      </c>
      <c r="N340">
        <v>1009</v>
      </c>
      <c r="O340" t="s">
        <v>288</v>
      </c>
      <c r="P340" t="s">
        <v>288</v>
      </c>
      <c r="Q340">
        <v>1000</v>
      </c>
      <c r="X340">
        <v>2.3E-2</v>
      </c>
      <c r="Y340">
        <v>10749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224</v>
      </c>
      <c r="AG340">
        <v>2.3E-2</v>
      </c>
      <c r="AH340">
        <v>2</v>
      </c>
      <c r="AI340">
        <v>16500329</v>
      </c>
      <c r="AJ340">
        <v>318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ROW(Source!A100)</f>
        <v>100</v>
      </c>
      <c r="B341">
        <v>16500330</v>
      </c>
      <c r="C341">
        <v>16500315</v>
      </c>
      <c r="D341">
        <v>15169941</v>
      </c>
      <c r="E341">
        <v>1</v>
      </c>
      <c r="F341">
        <v>1</v>
      </c>
      <c r="G341">
        <v>1</v>
      </c>
      <c r="H341">
        <v>3</v>
      </c>
      <c r="I341" t="s">
        <v>70</v>
      </c>
      <c r="J341" t="s">
        <v>71</v>
      </c>
      <c r="K341" t="s">
        <v>72</v>
      </c>
      <c r="L341">
        <v>1348</v>
      </c>
      <c r="N341">
        <v>1009</v>
      </c>
      <c r="O341" t="s">
        <v>288</v>
      </c>
      <c r="P341" t="s">
        <v>288</v>
      </c>
      <c r="Q341">
        <v>1000</v>
      </c>
      <c r="X341">
        <v>0</v>
      </c>
      <c r="Y341">
        <v>9040.01</v>
      </c>
      <c r="Z341">
        <v>0</v>
      </c>
      <c r="AA341">
        <v>0</v>
      </c>
      <c r="AB341">
        <v>0</v>
      </c>
      <c r="AC341">
        <v>1</v>
      </c>
      <c r="AD341">
        <v>0</v>
      </c>
      <c r="AE341">
        <v>0</v>
      </c>
      <c r="AF341" t="s">
        <v>224</v>
      </c>
      <c r="AG341">
        <v>0</v>
      </c>
      <c r="AH341">
        <v>3</v>
      </c>
      <c r="AI341">
        <v>-1</v>
      </c>
      <c r="AJ341" t="s">
        <v>224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ROW(Source!A100)</f>
        <v>100</v>
      </c>
      <c r="B342">
        <v>16500331</v>
      </c>
      <c r="C342">
        <v>16500315</v>
      </c>
      <c r="D342">
        <v>15170039</v>
      </c>
      <c r="E342">
        <v>1</v>
      </c>
      <c r="F342">
        <v>1</v>
      </c>
      <c r="G342">
        <v>1</v>
      </c>
      <c r="H342">
        <v>3</v>
      </c>
      <c r="I342" t="s">
        <v>698</v>
      </c>
      <c r="J342" t="s">
        <v>699</v>
      </c>
      <c r="K342" t="s">
        <v>700</v>
      </c>
      <c r="L342">
        <v>1348</v>
      </c>
      <c r="N342">
        <v>1009</v>
      </c>
      <c r="O342" t="s">
        <v>288</v>
      </c>
      <c r="P342" t="s">
        <v>288</v>
      </c>
      <c r="Q342">
        <v>1000</v>
      </c>
      <c r="X342">
        <v>1.0000000000000001E-5</v>
      </c>
      <c r="Y342">
        <v>11978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224</v>
      </c>
      <c r="AG342">
        <v>1.0000000000000001E-5</v>
      </c>
      <c r="AH342">
        <v>2</v>
      </c>
      <c r="AI342">
        <v>16500331</v>
      </c>
      <c r="AJ342">
        <v>319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ROW(Source!A100)</f>
        <v>100</v>
      </c>
      <c r="B343">
        <v>16500332</v>
      </c>
      <c r="C343">
        <v>16500315</v>
      </c>
      <c r="D343">
        <v>15171021</v>
      </c>
      <c r="E343">
        <v>1</v>
      </c>
      <c r="F343">
        <v>1</v>
      </c>
      <c r="G343">
        <v>1</v>
      </c>
      <c r="H343">
        <v>3</v>
      </c>
      <c r="I343" t="s">
        <v>701</v>
      </c>
      <c r="J343" t="s">
        <v>702</v>
      </c>
      <c r="K343" t="s">
        <v>703</v>
      </c>
      <c r="L343">
        <v>1348</v>
      </c>
      <c r="N343">
        <v>1009</v>
      </c>
      <c r="O343" t="s">
        <v>288</v>
      </c>
      <c r="P343" t="s">
        <v>288</v>
      </c>
      <c r="Q343">
        <v>1000</v>
      </c>
      <c r="X343">
        <v>1E-4</v>
      </c>
      <c r="Y343">
        <v>37900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224</v>
      </c>
      <c r="AG343">
        <v>1E-4</v>
      </c>
      <c r="AH343">
        <v>2</v>
      </c>
      <c r="AI343">
        <v>16500332</v>
      </c>
      <c r="AJ343">
        <v>320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ROW(Source!A100)</f>
        <v>100</v>
      </c>
      <c r="B344">
        <v>16500333</v>
      </c>
      <c r="C344">
        <v>16500315</v>
      </c>
      <c r="D344">
        <v>15188765</v>
      </c>
      <c r="E344">
        <v>1</v>
      </c>
      <c r="F344">
        <v>1</v>
      </c>
      <c r="G344">
        <v>1</v>
      </c>
      <c r="H344">
        <v>3</v>
      </c>
      <c r="I344" t="s">
        <v>704</v>
      </c>
      <c r="J344" t="s">
        <v>705</v>
      </c>
      <c r="K344" t="s">
        <v>706</v>
      </c>
      <c r="L344">
        <v>1348</v>
      </c>
      <c r="N344">
        <v>1009</v>
      </c>
      <c r="O344" t="s">
        <v>288</v>
      </c>
      <c r="P344" t="s">
        <v>288</v>
      </c>
      <c r="Q344">
        <v>1000</v>
      </c>
      <c r="X344">
        <v>2.5999999999999999E-2</v>
      </c>
      <c r="Y344">
        <v>7712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224</v>
      </c>
      <c r="AG344">
        <v>2.5999999999999999E-2</v>
      </c>
      <c r="AH344">
        <v>2</v>
      </c>
      <c r="AI344">
        <v>16500333</v>
      </c>
      <c r="AJ344">
        <v>321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ROW(Source!A100)</f>
        <v>100</v>
      </c>
      <c r="B345">
        <v>16500334</v>
      </c>
      <c r="C345">
        <v>16500315</v>
      </c>
      <c r="D345">
        <v>15161912</v>
      </c>
      <c r="E345">
        <v>17</v>
      </c>
      <c r="F345">
        <v>1</v>
      </c>
      <c r="G345">
        <v>1</v>
      </c>
      <c r="H345">
        <v>3</v>
      </c>
      <c r="I345" t="s">
        <v>73</v>
      </c>
      <c r="J345" t="s">
        <v>224</v>
      </c>
      <c r="K345" t="s">
        <v>74</v>
      </c>
      <c r="L345">
        <v>1348</v>
      </c>
      <c r="N345">
        <v>1009</v>
      </c>
      <c r="O345" t="s">
        <v>288</v>
      </c>
      <c r="P345" t="s">
        <v>288</v>
      </c>
      <c r="Q345">
        <v>1000</v>
      </c>
      <c r="X345">
        <v>1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 t="s">
        <v>224</v>
      </c>
      <c r="AG345">
        <v>1</v>
      </c>
      <c r="AH345">
        <v>3</v>
      </c>
      <c r="AI345">
        <v>-1</v>
      </c>
      <c r="AJ345" t="s">
        <v>224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ROW(Source!A100)</f>
        <v>100</v>
      </c>
      <c r="B346">
        <v>16500335</v>
      </c>
      <c r="C346">
        <v>16500315</v>
      </c>
      <c r="D346">
        <v>15190794</v>
      </c>
      <c r="E346">
        <v>1</v>
      </c>
      <c r="F346">
        <v>1</v>
      </c>
      <c r="G346">
        <v>1</v>
      </c>
      <c r="H346">
        <v>3</v>
      </c>
      <c r="I346" t="s">
        <v>707</v>
      </c>
      <c r="J346" t="s">
        <v>708</v>
      </c>
      <c r="K346" t="s">
        <v>709</v>
      </c>
      <c r="L346">
        <v>1302</v>
      </c>
      <c r="N346">
        <v>1003</v>
      </c>
      <c r="O346" t="s">
        <v>710</v>
      </c>
      <c r="P346" t="s">
        <v>710</v>
      </c>
      <c r="Q346">
        <v>10</v>
      </c>
      <c r="X346">
        <v>1.8700000000000001E-2</v>
      </c>
      <c r="Y346">
        <v>50.24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224</v>
      </c>
      <c r="AG346">
        <v>1.8700000000000001E-2</v>
      </c>
      <c r="AH346">
        <v>2</v>
      </c>
      <c r="AI346">
        <v>16500335</v>
      </c>
      <c r="AJ346">
        <v>323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ROW(Source!A100)</f>
        <v>100</v>
      </c>
      <c r="B347">
        <v>16500336</v>
      </c>
      <c r="C347">
        <v>16500315</v>
      </c>
      <c r="D347">
        <v>15191153</v>
      </c>
      <c r="E347">
        <v>1</v>
      </c>
      <c r="F347">
        <v>1</v>
      </c>
      <c r="G347">
        <v>1</v>
      </c>
      <c r="H347">
        <v>3</v>
      </c>
      <c r="I347" t="s">
        <v>711</v>
      </c>
      <c r="J347" t="s">
        <v>712</v>
      </c>
      <c r="K347" t="s">
        <v>713</v>
      </c>
      <c r="L347">
        <v>1348</v>
      </c>
      <c r="N347">
        <v>1009</v>
      </c>
      <c r="O347" t="s">
        <v>288</v>
      </c>
      <c r="P347" t="s">
        <v>288</v>
      </c>
      <c r="Q347">
        <v>1000</v>
      </c>
      <c r="X347">
        <v>3.0000000000000001E-5</v>
      </c>
      <c r="Y347">
        <v>4455.2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224</v>
      </c>
      <c r="AG347">
        <v>3.0000000000000001E-5</v>
      </c>
      <c r="AH347">
        <v>2</v>
      </c>
      <c r="AI347">
        <v>16500336</v>
      </c>
      <c r="AJ347">
        <v>324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ROW(Source!A100)</f>
        <v>100</v>
      </c>
      <c r="B348">
        <v>16500337</v>
      </c>
      <c r="C348">
        <v>16500315</v>
      </c>
      <c r="D348">
        <v>15191913</v>
      </c>
      <c r="E348">
        <v>1</v>
      </c>
      <c r="F348">
        <v>1</v>
      </c>
      <c r="G348">
        <v>1</v>
      </c>
      <c r="H348">
        <v>3</v>
      </c>
      <c r="I348" t="s">
        <v>714</v>
      </c>
      <c r="J348" t="s">
        <v>715</v>
      </c>
      <c r="K348" t="s">
        <v>716</v>
      </c>
      <c r="L348">
        <v>1348</v>
      </c>
      <c r="N348">
        <v>1009</v>
      </c>
      <c r="O348" t="s">
        <v>288</v>
      </c>
      <c r="P348" t="s">
        <v>288</v>
      </c>
      <c r="Q348">
        <v>1000</v>
      </c>
      <c r="X348">
        <v>1.9400000000000001E-3</v>
      </c>
      <c r="Y348">
        <v>4920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224</v>
      </c>
      <c r="AG348">
        <v>1.9400000000000001E-3</v>
      </c>
      <c r="AH348">
        <v>2</v>
      </c>
      <c r="AI348">
        <v>16500337</v>
      </c>
      <c r="AJ348">
        <v>325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ROW(Source!A100)</f>
        <v>100</v>
      </c>
      <c r="B349">
        <v>16500338</v>
      </c>
      <c r="C349">
        <v>16500315</v>
      </c>
      <c r="D349">
        <v>15195820</v>
      </c>
      <c r="E349">
        <v>1</v>
      </c>
      <c r="F349">
        <v>1</v>
      </c>
      <c r="G349">
        <v>1</v>
      </c>
      <c r="H349">
        <v>3</v>
      </c>
      <c r="I349" t="s">
        <v>717</v>
      </c>
      <c r="J349" t="s">
        <v>718</v>
      </c>
      <c r="K349" t="s">
        <v>719</v>
      </c>
      <c r="L349">
        <v>1339</v>
      </c>
      <c r="N349">
        <v>1007</v>
      </c>
      <c r="O349" t="s">
        <v>691</v>
      </c>
      <c r="P349" t="s">
        <v>691</v>
      </c>
      <c r="Q349">
        <v>1</v>
      </c>
      <c r="X349">
        <v>1.0300000000000001E-3</v>
      </c>
      <c r="Y349">
        <v>1700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224</v>
      </c>
      <c r="AG349">
        <v>1.0300000000000001E-3</v>
      </c>
      <c r="AH349">
        <v>2</v>
      </c>
      <c r="AI349">
        <v>16500338</v>
      </c>
      <c r="AJ349">
        <v>326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ROW(Source!A100)</f>
        <v>100</v>
      </c>
      <c r="B350">
        <v>16500339</v>
      </c>
      <c r="C350">
        <v>16500315</v>
      </c>
      <c r="D350">
        <v>15203461</v>
      </c>
      <c r="E350">
        <v>1</v>
      </c>
      <c r="F350">
        <v>1</v>
      </c>
      <c r="G350">
        <v>1</v>
      </c>
      <c r="H350">
        <v>3</v>
      </c>
      <c r="I350" t="s">
        <v>720</v>
      </c>
      <c r="J350" t="s">
        <v>721</v>
      </c>
      <c r="K350" t="s">
        <v>722</v>
      </c>
      <c r="L350">
        <v>1348</v>
      </c>
      <c r="N350">
        <v>1009</v>
      </c>
      <c r="O350" t="s">
        <v>288</v>
      </c>
      <c r="P350" t="s">
        <v>288</v>
      </c>
      <c r="Q350">
        <v>1000</v>
      </c>
      <c r="X350">
        <v>3.1E-4</v>
      </c>
      <c r="Y350">
        <v>15620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224</v>
      </c>
      <c r="AG350">
        <v>3.1E-4</v>
      </c>
      <c r="AH350">
        <v>2</v>
      </c>
      <c r="AI350">
        <v>16500339</v>
      </c>
      <c r="AJ350">
        <v>327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ROW(Source!A100)</f>
        <v>100</v>
      </c>
      <c r="B351">
        <v>16500340</v>
      </c>
      <c r="C351">
        <v>16500315</v>
      </c>
      <c r="D351">
        <v>15204663</v>
      </c>
      <c r="E351">
        <v>1</v>
      </c>
      <c r="F351">
        <v>1</v>
      </c>
      <c r="G351">
        <v>1</v>
      </c>
      <c r="H351">
        <v>3</v>
      </c>
      <c r="I351" t="s">
        <v>723</v>
      </c>
      <c r="J351" t="s">
        <v>724</v>
      </c>
      <c r="K351" t="s">
        <v>725</v>
      </c>
      <c r="L351">
        <v>1348</v>
      </c>
      <c r="N351">
        <v>1009</v>
      </c>
      <c r="O351" t="s">
        <v>288</v>
      </c>
      <c r="P351" t="s">
        <v>288</v>
      </c>
      <c r="Q351">
        <v>1000</v>
      </c>
      <c r="X351">
        <v>5.9999999999999995E-4</v>
      </c>
      <c r="Y351">
        <v>9420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224</v>
      </c>
      <c r="AG351">
        <v>5.9999999999999995E-4</v>
      </c>
      <c r="AH351">
        <v>2</v>
      </c>
      <c r="AI351">
        <v>16500340</v>
      </c>
      <c r="AJ351">
        <v>328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ROW(Source!A101)</f>
        <v>101</v>
      </c>
      <c r="B352">
        <v>16500316</v>
      </c>
      <c r="C352">
        <v>16500315</v>
      </c>
      <c r="D352">
        <v>15441047</v>
      </c>
      <c r="E352">
        <v>1</v>
      </c>
      <c r="F352">
        <v>1</v>
      </c>
      <c r="G352">
        <v>1</v>
      </c>
      <c r="H352">
        <v>1</v>
      </c>
      <c r="I352" t="s">
        <v>665</v>
      </c>
      <c r="J352" t="s">
        <v>224</v>
      </c>
      <c r="K352" t="s">
        <v>666</v>
      </c>
      <c r="L352">
        <v>1191</v>
      </c>
      <c r="N352">
        <v>1013</v>
      </c>
      <c r="O352" t="s">
        <v>628</v>
      </c>
      <c r="P352" t="s">
        <v>628</v>
      </c>
      <c r="Q352">
        <v>1</v>
      </c>
      <c r="X352">
        <v>46.37</v>
      </c>
      <c r="Y352">
        <v>0</v>
      </c>
      <c r="Z352">
        <v>0</v>
      </c>
      <c r="AA352">
        <v>0</v>
      </c>
      <c r="AB352">
        <v>10.06</v>
      </c>
      <c r="AC352">
        <v>0</v>
      </c>
      <c r="AD352">
        <v>1</v>
      </c>
      <c r="AE352">
        <v>1</v>
      </c>
      <c r="AF352" t="s">
        <v>240</v>
      </c>
      <c r="AG352">
        <v>53.325499999999991</v>
      </c>
      <c r="AH352">
        <v>2</v>
      </c>
      <c r="AI352">
        <v>16500316</v>
      </c>
      <c r="AJ352">
        <v>329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ROW(Source!A101)</f>
        <v>101</v>
      </c>
      <c r="B353">
        <v>16500317</v>
      </c>
      <c r="C353">
        <v>16500315</v>
      </c>
      <c r="D353">
        <v>15430395</v>
      </c>
      <c r="E353">
        <v>1</v>
      </c>
      <c r="F353">
        <v>1</v>
      </c>
      <c r="G353">
        <v>1</v>
      </c>
      <c r="H353">
        <v>1</v>
      </c>
      <c r="I353" t="s">
        <v>629</v>
      </c>
      <c r="J353" t="s">
        <v>224</v>
      </c>
      <c r="K353" t="s">
        <v>630</v>
      </c>
      <c r="L353">
        <v>1191</v>
      </c>
      <c r="N353">
        <v>1013</v>
      </c>
      <c r="O353" t="s">
        <v>628</v>
      </c>
      <c r="P353" t="s">
        <v>628</v>
      </c>
      <c r="Q353">
        <v>1</v>
      </c>
      <c r="X353">
        <v>8.8699999999999992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2</v>
      </c>
      <c r="AF353" t="s">
        <v>239</v>
      </c>
      <c r="AG353">
        <v>11.087499999999999</v>
      </c>
      <c r="AH353">
        <v>2</v>
      </c>
      <c r="AI353">
        <v>16500317</v>
      </c>
      <c r="AJ353">
        <v>330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ROW(Source!A101)</f>
        <v>101</v>
      </c>
      <c r="B354">
        <v>16500318</v>
      </c>
      <c r="C354">
        <v>16500315</v>
      </c>
      <c r="D354">
        <v>15247600</v>
      </c>
      <c r="E354">
        <v>1</v>
      </c>
      <c r="F354">
        <v>1</v>
      </c>
      <c r="G354">
        <v>1</v>
      </c>
      <c r="H354">
        <v>2</v>
      </c>
      <c r="I354" t="s">
        <v>667</v>
      </c>
      <c r="J354" t="s">
        <v>668</v>
      </c>
      <c r="K354" t="s">
        <v>669</v>
      </c>
      <c r="L354">
        <v>1368</v>
      </c>
      <c r="N354">
        <v>1011</v>
      </c>
      <c r="O354" t="s">
        <v>634</v>
      </c>
      <c r="P354" t="s">
        <v>634</v>
      </c>
      <c r="Q354">
        <v>1</v>
      </c>
      <c r="X354">
        <v>0.42</v>
      </c>
      <c r="Y354">
        <v>0</v>
      </c>
      <c r="Z354">
        <v>120.24</v>
      </c>
      <c r="AA354">
        <v>15.42</v>
      </c>
      <c r="AB354">
        <v>0</v>
      </c>
      <c r="AC354">
        <v>0</v>
      </c>
      <c r="AD354">
        <v>1</v>
      </c>
      <c r="AE354">
        <v>0</v>
      </c>
      <c r="AF354" t="s">
        <v>239</v>
      </c>
      <c r="AG354">
        <v>0.52500000000000002</v>
      </c>
      <c r="AH354">
        <v>2</v>
      </c>
      <c r="AI354">
        <v>16500318</v>
      </c>
      <c r="AJ354">
        <v>331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ROW(Source!A101)</f>
        <v>101</v>
      </c>
      <c r="B355">
        <v>16500319</v>
      </c>
      <c r="C355">
        <v>16500315</v>
      </c>
      <c r="D355">
        <v>15247680</v>
      </c>
      <c r="E355">
        <v>1</v>
      </c>
      <c r="F355">
        <v>1</v>
      </c>
      <c r="G355">
        <v>1</v>
      </c>
      <c r="H355">
        <v>2</v>
      </c>
      <c r="I355" t="s">
        <v>670</v>
      </c>
      <c r="J355" t="s">
        <v>671</v>
      </c>
      <c r="K355" t="s">
        <v>672</v>
      </c>
      <c r="L355">
        <v>1368</v>
      </c>
      <c r="N355">
        <v>1011</v>
      </c>
      <c r="O355" t="s">
        <v>634</v>
      </c>
      <c r="P355" t="s">
        <v>634</v>
      </c>
      <c r="Q355">
        <v>1</v>
      </c>
      <c r="X355">
        <v>0.12</v>
      </c>
      <c r="Y355">
        <v>0</v>
      </c>
      <c r="Z355">
        <v>111.99</v>
      </c>
      <c r="AA355">
        <v>13.5</v>
      </c>
      <c r="AB355">
        <v>0</v>
      </c>
      <c r="AC355">
        <v>0</v>
      </c>
      <c r="AD355">
        <v>1</v>
      </c>
      <c r="AE355">
        <v>0</v>
      </c>
      <c r="AF355" t="s">
        <v>239</v>
      </c>
      <c r="AG355">
        <v>0.15</v>
      </c>
      <c r="AH355">
        <v>2</v>
      </c>
      <c r="AI355">
        <v>16500319</v>
      </c>
      <c r="AJ355">
        <v>332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ROW(Source!A101)</f>
        <v>101</v>
      </c>
      <c r="B356">
        <v>16500320</v>
      </c>
      <c r="C356">
        <v>16500315</v>
      </c>
      <c r="D356">
        <v>15247698</v>
      </c>
      <c r="E356">
        <v>1</v>
      </c>
      <c r="F356">
        <v>1</v>
      </c>
      <c r="G356">
        <v>1</v>
      </c>
      <c r="H356">
        <v>2</v>
      </c>
      <c r="I356" t="s">
        <v>673</v>
      </c>
      <c r="J356" t="s">
        <v>674</v>
      </c>
      <c r="K356" t="s">
        <v>675</v>
      </c>
      <c r="L356">
        <v>1368</v>
      </c>
      <c r="N356">
        <v>1011</v>
      </c>
      <c r="O356" t="s">
        <v>634</v>
      </c>
      <c r="P356" t="s">
        <v>634</v>
      </c>
      <c r="Q356">
        <v>1</v>
      </c>
      <c r="X356">
        <v>4.07</v>
      </c>
      <c r="Y356">
        <v>0</v>
      </c>
      <c r="Z356">
        <v>533.27</v>
      </c>
      <c r="AA356">
        <v>27.9</v>
      </c>
      <c r="AB356">
        <v>0</v>
      </c>
      <c r="AC356">
        <v>0</v>
      </c>
      <c r="AD356">
        <v>1</v>
      </c>
      <c r="AE356">
        <v>0</v>
      </c>
      <c r="AF356" t="s">
        <v>239</v>
      </c>
      <c r="AG356">
        <v>5.0875000000000004</v>
      </c>
      <c r="AH356">
        <v>2</v>
      </c>
      <c r="AI356">
        <v>16500320</v>
      </c>
      <c r="AJ356">
        <v>333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ROW(Source!A101)</f>
        <v>101</v>
      </c>
      <c r="B357">
        <v>16500321</v>
      </c>
      <c r="C357">
        <v>16500315</v>
      </c>
      <c r="D357">
        <v>15247814</v>
      </c>
      <c r="E357">
        <v>1</v>
      </c>
      <c r="F357">
        <v>1</v>
      </c>
      <c r="G357">
        <v>1</v>
      </c>
      <c r="H357">
        <v>2</v>
      </c>
      <c r="I357" t="s">
        <v>676</v>
      </c>
      <c r="J357" t="s">
        <v>677</v>
      </c>
      <c r="K357" t="s">
        <v>678</v>
      </c>
      <c r="L357">
        <v>1368</v>
      </c>
      <c r="N357">
        <v>1011</v>
      </c>
      <c r="O357" t="s">
        <v>634</v>
      </c>
      <c r="P357" t="s">
        <v>634</v>
      </c>
      <c r="Q357">
        <v>1</v>
      </c>
      <c r="X357">
        <v>0.1</v>
      </c>
      <c r="Y357">
        <v>0</v>
      </c>
      <c r="Z357">
        <v>0.9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239</v>
      </c>
      <c r="AG357">
        <v>0.125</v>
      </c>
      <c r="AH357">
        <v>2</v>
      </c>
      <c r="AI357">
        <v>16500321</v>
      </c>
      <c r="AJ357">
        <v>334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ROW(Source!A101)</f>
        <v>101</v>
      </c>
      <c r="B358">
        <v>16500322</v>
      </c>
      <c r="C358">
        <v>16500315</v>
      </c>
      <c r="D358">
        <v>15247878</v>
      </c>
      <c r="E358">
        <v>1</v>
      </c>
      <c r="F358">
        <v>1</v>
      </c>
      <c r="G358">
        <v>1</v>
      </c>
      <c r="H358">
        <v>2</v>
      </c>
      <c r="I358" t="s">
        <v>646</v>
      </c>
      <c r="J358" t="s">
        <v>647</v>
      </c>
      <c r="K358" t="s">
        <v>648</v>
      </c>
      <c r="L358">
        <v>1368</v>
      </c>
      <c r="N358">
        <v>1011</v>
      </c>
      <c r="O358" t="s">
        <v>634</v>
      </c>
      <c r="P358" t="s">
        <v>634</v>
      </c>
      <c r="Q358">
        <v>1</v>
      </c>
      <c r="X358">
        <v>0.34</v>
      </c>
      <c r="Y358">
        <v>0</v>
      </c>
      <c r="Z358">
        <v>1.7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239</v>
      </c>
      <c r="AG358">
        <v>0.42500000000000004</v>
      </c>
      <c r="AH358">
        <v>2</v>
      </c>
      <c r="AI358">
        <v>16500322</v>
      </c>
      <c r="AJ358">
        <v>335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ROW(Source!A101)</f>
        <v>101</v>
      </c>
      <c r="B359">
        <v>16500323</v>
      </c>
      <c r="C359">
        <v>16500315</v>
      </c>
      <c r="D359">
        <v>15247880</v>
      </c>
      <c r="E359">
        <v>1</v>
      </c>
      <c r="F359">
        <v>1</v>
      </c>
      <c r="G359">
        <v>1</v>
      </c>
      <c r="H359">
        <v>2</v>
      </c>
      <c r="I359" t="s">
        <v>679</v>
      </c>
      <c r="J359" t="s">
        <v>680</v>
      </c>
      <c r="K359" t="s">
        <v>681</v>
      </c>
      <c r="L359">
        <v>1368</v>
      </c>
      <c r="N359">
        <v>1011</v>
      </c>
      <c r="O359" t="s">
        <v>634</v>
      </c>
      <c r="P359" t="s">
        <v>634</v>
      </c>
      <c r="Q359">
        <v>1</v>
      </c>
      <c r="X359">
        <v>0.09</v>
      </c>
      <c r="Y359">
        <v>0</v>
      </c>
      <c r="Z359">
        <v>6.9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239</v>
      </c>
      <c r="AG359">
        <v>0.11249999999999999</v>
      </c>
      <c r="AH359">
        <v>2</v>
      </c>
      <c r="AI359">
        <v>16500323</v>
      </c>
      <c r="AJ359">
        <v>336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ROW(Source!A101)</f>
        <v>101</v>
      </c>
      <c r="B360">
        <v>16500324</v>
      </c>
      <c r="C360">
        <v>16500315</v>
      </c>
      <c r="D360">
        <v>15249073</v>
      </c>
      <c r="E360">
        <v>1</v>
      </c>
      <c r="F360">
        <v>1</v>
      </c>
      <c r="G360">
        <v>1</v>
      </c>
      <c r="H360">
        <v>2</v>
      </c>
      <c r="I360" t="s">
        <v>631</v>
      </c>
      <c r="J360" t="s">
        <v>632</v>
      </c>
      <c r="K360" t="s">
        <v>633</v>
      </c>
      <c r="L360">
        <v>1368</v>
      </c>
      <c r="N360">
        <v>1011</v>
      </c>
      <c r="O360" t="s">
        <v>634</v>
      </c>
      <c r="P360" t="s">
        <v>634</v>
      </c>
      <c r="Q360">
        <v>1</v>
      </c>
      <c r="X360">
        <v>0.19</v>
      </c>
      <c r="Y360">
        <v>0</v>
      </c>
      <c r="Z360">
        <v>65.709999999999994</v>
      </c>
      <c r="AA360">
        <v>11.6</v>
      </c>
      <c r="AB360">
        <v>0</v>
      </c>
      <c r="AC360">
        <v>0</v>
      </c>
      <c r="AD360">
        <v>1</v>
      </c>
      <c r="AE360">
        <v>0</v>
      </c>
      <c r="AF360" t="s">
        <v>239</v>
      </c>
      <c r="AG360">
        <v>0.23749999999999999</v>
      </c>
      <c r="AH360">
        <v>2</v>
      </c>
      <c r="AI360">
        <v>16500324</v>
      </c>
      <c r="AJ360">
        <v>337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ROW(Source!A101)</f>
        <v>101</v>
      </c>
      <c r="B361">
        <v>16500325</v>
      </c>
      <c r="C361">
        <v>16500315</v>
      </c>
      <c r="D361">
        <v>15249308</v>
      </c>
      <c r="E361">
        <v>1</v>
      </c>
      <c r="F361">
        <v>1</v>
      </c>
      <c r="G361">
        <v>1</v>
      </c>
      <c r="H361">
        <v>2</v>
      </c>
      <c r="I361" t="s">
        <v>682</v>
      </c>
      <c r="J361" t="s">
        <v>683</v>
      </c>
      <c r="K361" t="s">
        <v>684</v>
      </c>
      <c r="L361">
        <v>1368</v>
      </c>
      <c r="N361">
        <v>1011</v>
      </c>
      <c r="O361" t="s">
        <v>634</v>
      </c>
      <c r="P361" t="s">
        <v>634</v>
      </c>
      <c r="Q361">
        <v>1</v>
      </c>
      <c r="X361">
        <v>2.2400000000000002</v>
      </c>
      <c r="Y361">
        <v>0</v>
      </c>
      <c r="Z361">
        <v>1.2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239</v>
      </c>
      <c r="AG361">
        <v>2.8000000000000003</v>
      </c>
      <c r="AH361">
        <v>2</v>
      </c>
      <c r="AI361">
        <v>16500325</v>
      </c>
      <c r="AJ361">
        <v>338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ROW(Source!A101)</f>
        <v>101</v>
      </c>
      <c r="B362">
        <v>16500326</v>
      </c>
      <c r="C362">
        <v>16500315</v>
      </c>
      <c r="D362">
        <v>15249355</v>
      </c>
      <c r="E362">
        <v>1</v>
      </c>
      <c r="F362">
        <v>1</v>
      </c>
      <c r="G362">
        <v>1</v>
      </c>
      <c r="H362">
        <v>2</v>
      </c>
      <c r="I362" t="s">
        <v>685</v>
      </c>
      <c r="J362" t="s">
        <v>686</v>
      </c>
      <c r="K362" t="s">
        <v>687</v>
      </c>
      <c r="L362">
        <v>1368</v>
      </c>
      <c r="N362">
        <v>1011</v>
      </c>
      <c r="O362" t="s">
        <v>634</v>
      </c>
      <c r="P362" t="s">
        <v>634</v>
      </c>
      <c r="Q362">
        <v>1</v>
      </c>
      <c r="X362">
        <v>15.01</v>
      </c>
      <c r="Y362">
        <v>0</v>
      </c>
      <c r="Z362">
        <v>12.31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239</v>
      </c>
      <c r="AG362">
        <v>18.762499999999999</v>
      </c>
      <c r="AH362">
        <v>2</v>
      </c>
      <c r="AI362">
        <v>16500326</v>
      </c>
      <c r="AJ362">
        <v>339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ROW(Source!A101)</f>
        <v>101</v>
      </c>
      <c r="B363">
        <v>16500327</v>
      </c>
      <c r="C363">
        <v>16500315</v>
      </c>
      <c r="D363">
        <v>15165653</v>
      </c>
      <c r="E363">
        <v>1</v>
      </c>
      <c r="F363">
        <v>1</v>
      </c>
      <c r="G363">
        <v>1</v>
      </c>
      <c r="H363">
        <v>3</v>
      </c>
      <c r="I363" t="s">
        <v>688</v>
      </c>
      <c r="J363" t="s">
        <v>689</v>
      </c>
      <c r="K363" t="s">
        <v>690</v>
      </c>
      <c r="L363">
        <v>1339</v>
      </c>
      <c r="N363">
        <v>1007</v>
      </c>
      <c r="O363" t="s">
        <v>691</v>
      </c>
      <c r="P363" t="s">
        <v>691</v>
      </c>
      <c r="Q363">
        <v>1</v>
      </c>
      <c r="X363">
        <v>1.95</v>
      </c>
      <c r="Y363">
        <v>6.22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224</v>
      </c>
      <c r="AG363">
        <v>1.95</v>
      </c>
      <c r="AH363">
        <v>2</v>
      </c>
      <c r="AI363">
        <v>16500327</v>
      </c>
      <c r="AJ363">
        <v>340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ROW(Source!A101)</f>
        <v>101</v>
      </c>
      <c r="B364">
        <v>16500328</v>
      </c>
      <c r="C364">
        <v>16500315</v>
      </c>
      <c r="D364">
        <v>15165660</v>
      </c>
      <c r="E364">
        <v>1</v>
      </c>
      <c r="F364">
        <v>1</v>
      </c>
      <c r="G364">
        <v>1</v>
      </c>
      <c r="H364">
        <v>3</v>
      </c>
      <c r="I364" t="s">
        <v>692</v>
      </c>
      <c r="J364" t="s">
        <v>693</v>
      </c>
      <c r="K364" t="s">
        <v>694</v>
      </c>
      <c r="L364">
        <v>1346</v>
      </c>
      <c r="N364">
        <v>1009</v>
      </c>
      <c r="O364" t="s">
        <v>303</v>
      </c>
      <c r="P364" t="s">
        <v>303</v>
      </c>
      <c r="Q364">
        <v>1</v>
      </c>
      <c r="X364">
        <v>0.59</v>
      </c>
      <c r="Y364">
        <v>6.09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224</v>
      </c>
      <c r="AG364">
        <v>0.59</v>
      </c>
      <c r="AH364">
        <v>2</v>
      </c>
      <c r="AI364">
        <v>16500328</v>
      </c>
      <c r="AJ364">
        <v>341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ROW(Source!A101)</f>
        <v>101</v>
      </c>
      <c r="B365">
        <v>16500329</v>
      </c>
      <c r="C365">
        <v>16500315</v>
      </c>
      <c r="D365">
        <v>15168753</v>
      </c>
      <c r="E365">
        <v>1</v>
      </c>
      <c r="F365">
        <v>1</v>
      </c>
      <c r="G365">
        <v>1</v>
      </c>
      <c r="H365">
        <v>3</v>
      </c>
      <c r="I365" t="s">
        <v>695</v>
      </c>
      <c r="J365" t="s">
        <v>696</v>
      </c>
      <c r="K365" t="s">
        <v>697</v>
      </c>
      <c r="L365">
        <v>1348</v>
      </c>
      <c r="N365">
        <v>1009</v>
      </c>
      <c r="O365" t="s">
        <v>288</v>
      </c>
      <c r="P365" t="s">
        <v>288</v>
      </c>
      <c r="Q365">
        <v>1000</v>
      </c>
      <c r="X365">
        <v>2.3E-2</v>
      </c>
      <c r="Y365">
        <v>10749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224</v>
      </c>
      <c r="AG365">
        <v>2.3E-2</v>
      </c>
      <c r="AH365">
        <v>2</v>
      </c>
      <c r="AI365">
        <v>16500329</v>
      </c>
      <c r="AJ365">
        <v>342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ROW(Source!A101)</f>
        <v>101</v>
      </c>
      <c r="B366">
        <v>16500330</v>
      </c>
      <c r="C366">
        <v>16500315</v>
      </c>
      <c r="D366">
        <v>15169941</v>
      </c>
      <c r="E366">
        <v>1</v>
      </c>
      <c r="F366">
        <v>1</v>
      </c>
      <c r="G366">
        <v>1</v>
      </c>
      <c r="H366">
        <v>3</v>
      </c>
      <c r="I366" t="s">
        <v>70</v>
      </c>
      <c r="J366" t="s">
        <v>71</v>
      </c>
      <c r="K366" t="s">
        <v>72</v>
      </c>
      <c r="L366">
        <v>1348</v>
      </c>
      <c r="N366">
        <v>1009</v>
      </c>
      <c r="O366" t="s">
        <v>288</v>
      </c>
      <c r="P366" t="s">
        <v>288</v>
      </c>
      <c r="Q366">
        <v>1000</v>
      </c>
      <c r="X366">
        <v>0</v>
      </c>
      <c r="Y366">
        <v>9040.01</v>
      </c>
      <c r="Z366">
        <v>0</v>
      </c>
      <c r="AA366">
        <v>0</v>
      </c>
      <c r="AB366">
        <v>0</v>
      </c>
      <c r="AC366">
        <v>1</v>
      </c>
      <c r="AD366">
        <v>0</v>
      </c>
      <c r="AE366">
        <v>0</v>
      </c>
      <c r="AF366" t="s">
        <v>224</v>
      </c>
      <c r="AG366">
        <v>0</v>
      </c>
      <c r="AH366">
        <v>3</v>
      </c>
      <c r="AI366">
        <v>-1</v>
      </c>
      <c r="AJ366" t="s">
        <v>224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ROW(Source!A101)</f>
        <v>101</v>
      </c>
      <c r="B367">
        <v>16500331</v>
      </c>
      <c r="C367">
        <v>16500315</v>
      </c>
      <c r="D367">
        <v>15170039</v>
      </c>
      <c r="E367">
        <v>1</v>
      </c>
      <c r="F367">
        <v>1</v>
      </c>
      <c r="G367">
        <v>1</v>
      </c>
      <c r="H367">
        <v>3</v>
      </c>
      <c r="I367" t="s">
        <v>698</v>
      </c>
      <c r="J367" t="s">
        <v>699</v>
      </c>
      <c r="K367" t="s">
        <v>700</v>
      </c>
      <c r="L367">
        <v>1348</v>
      </c>
      <c r="N367">
        <v>1009</v>
      </c>
      <c r="O367" t="s">
        <v>288</v>
      </c>
      <c r="P367" t="s">
        <v>288</v>
      </c>
      <c r="Q367">
        <v>1000</v>
      </c>
      <c r="X367">
        <v>1.0000000000000001E-5</v>
      </c>
      <c r="Y367">
        <v>11978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224</v>
      </c>
      <c r="AG367">
        <v>1.0000000000000001E-5</v>
      </c>
      <c r="AH367">
        <v>2</v>
      </c>
      <c r="AI367">
        <v>16500331</v>
      </c>
      <c r="AJ367">
        <v>343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ROW(Source!A101)</f>
        <v>101</v>
      </c>
      <c r="B368">
        <v>16500332</v>
      </c>
      <c r="C368">
        <v>16500315</v>
      </c>
      <c r="D368">
        <v>15171021</v>
      </c>
      <c r="E368">
        <v>1</v>
      </c>
      <c r="F368">
        <v>1</v>
      </c>
      <c r="G368">
        <v>1</v>
      </c>
      <c r="H368">
        <v>3</v>
      </c>
      <c r="I368" t="s">
        <v>701</v>
      </c>
      <c r="J368" t="s">
        <v>702</v>
      </c>
      <c r="K368" t="s">
        <v>703</v>
      </c>
      <c r="L368">
        <v>1348</v>
      </c>
      <c r="N368">
        <v>1009</v>
      </c>
      <c r="O368" t="s">
        <v>288</v>
      </c>
      <c r="P368" t="s">
        <v>288</v>
      </c>
      <c r="Q368">
        <v>1000</v>
      </c>
      <c r="X368">
        <v>1E-4</v>
      </c>
      <c r="Y368">
        <v>37900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224</v>
      </c>
      <c r="AG368">
        <v>1E-4</v>
      </c>
      <c r="AH368">
        <v>2</v>
      </c>
      <c r="AI368">
        <v>16500332</v>
      </c>
      <c r="AJ368">
        <v>344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ROW(Source!A101)</f>
        <v>101</v>
      </c>
      <c r="B369">
        <v>16500333</v>
      </c>
      <c r="C369">
        <v>16500315</v>
      </c>
      <c r="D369">
        <v>15188765</v>
      </c>
      <c r="E369">
        <v>1</v>
      </c>
      <c r="F369">
        <v>1</v>
      </c>
      <c r="G369">
        <v>1</v>
      </c>
      <c r="H369">
        <v>3</v>
      </c>
      <c r="I369" t="s">
        <v>704</v>
      </c>
      <c r="J369" t="s">
        <v>705</v>
      </c>
      <c r="K369" t="s">
        <v>706</v>
      </c>
      <c r="L369">
        <v>1348</v>
      </c>
      <c r="N369">
        <v>1009</v>
      </c>
      <c r="O369" t="s">
        <v>288</v>
      </c>
      <c r="P369" t="s">
        <v>288</v>
      </c>
      <c r="Q369">
        <v>1000</v>
      </c>
      <c r="X369">
        <v>2.5999999999999999E-2</v>
      </c>
      <c r="Y369">
        <v>7712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224</v>
      </c>
      <c r="AG369">
        <v>2.5999999999999999E-2</v>
      </c>
      <c r="AH369">
        <v>2</v>
      </c>
      <c r="AI369">
        <v>16500333</v>
      </c>
      <c r="AJ369">
        <v>345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ROW(Source!A101)</f>
        <v>101</v>
      </c>
      <c r="B370">
        <v>16500334</v>
      </c>
      <c r="C370">
        <v>16500315</v>
      </c>
      <c r="D370">
        <v>15161912</v>
      </c>
      <c r="E370">
        <v>17</v>
      </c>
      <c r="F370">
        <v>1</v>
      </c>
      <c r="G370">
        <v>1</v>
      </c>
      <c r="H370">
        <v>3</v>
      </c>
      <c r="I370" t="s">
        <v>73</v>
      </c>
      <c r="J370" t="s">
        <v>224</v>
      </c>
      <c r="K370" t="s">
        <v>74</v>
      </c>
      <c r="L370">
        <v>1348</v>
      </c>
      <c r="N370">
        <v>1009</v>
      </c>
      <c r="O370" t="s">
        <v>288</v>
      </c>
      <c r="P370" t="s">
        <v>288</v>
      </c>
      <c r="Q370">
        <v>1000</v>
      </c>
      <c r="X370">
        <v>1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 t="s">
        <v>224</v>
      </c>
      <c r="AG370">
        <v>1</v>
      </c>
      <c r="AH370">
        <v>3</v>
      </c>
      <c r="AI370">
        <v>-1</v>
      </c>
      <c r="AJ370" t="s">
        <v>224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ROW(Source!A101)</f>
        <v>101</v>
      </c>
      <c r="B371">
        <v>16500335</v>
      </c>
      <c r="C371">
        <v>16500315</v>
      </c>
      <c r="D371">
        <v>15190794</v>
      </c>
      <c r="E371">
        <v>1</v>
      </c>
      <c r="F371">
        <v>1</v>
      </c>
      <c r="G371">
        <v>1</v>
      </c>
      <c r="H371">
        <v>3</v>
      </c>
      <c r="I371" t="s">
        <v>707</v>
      </c>
      <c r="J371" t="s">
        <v>708</v>
      </c>
      <c r="K371" t="s">
        <v>709</v>
      </c>
      <c r="L371">
        <v>1302</v>
      </c>
      <c r="N371">
        <v>1003</v>
      </c>
      <c r="O371" t="s">
        <v>710</v>
      </c>
      <c r="P371" t="s">
        <v>710</v>
      </c>
      <c r="Q371">
        <v>10</v>
      </c>
      <c r="X371">
        <v>1.8700000000000001E-2</v>
      </c>
      <c r="Y371">
        <v>50.24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224</v>
      </c>
      <c r="AG371">
        <v>1.8700000000000001E-2</v>
      </c>
      <c r="AH371">
        <v>2</v>
      </c>
      <c r="AI371">
        <v>16500335</v>
      </c>
      <c r="AJ371">
        <v>347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ROW(Source!A101)</f>
        <v>101</v>
      </c>
      <c r="B372">
        <v>16500336</v>
      </c>
      <c r="C372">
        <v>16500315</v>
      </c>
      <c r="D372">
        <v>15191153</v>
      </c>
      <c r="E372">
        <v>1</v>
      </c>
      <c r="F372">
        <v>1</v>
      </c>
      <c r="G372">
        <v>1</v>
      </c>
      <c r="H372">
        <v>3</v>
      </c>
      <c r="I372" t="s">
        <v>711</v>
      </c>
      <c r="J372" t="s">
        <v>712</v>
      </c>
      <c r="K372" t="s">
        <v>713</v>
      </c>
      <c r="L372">
        <v>1348</v>
      </c>
      <c r="N372">
        <v>1009</v>
      </c>
      <c r="O372" t="s">
        <v>288</v>
      </c>
      <c r="P372" t="s">
        <v>288</v>
      </c>
      <c r="Q372">
        <v>1000</v>
      </c>
      <c r="X372">
        <v>3.0000000000000001E-5</v>
      </c>
      <c r="Y372">
        <v>4455.2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224</v>
      </c>
      <c r="AG372">
        <v>3.0000000000000001E-5</v>
      </c>
      <c r="AH372">
        <v>2</v>
      </c>
      <c r="AI372">
        <v>16500336</v>
      </c>
      <c r="AJ372">
        <v>348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ROW(Source!A101)</f>
        <v>101</v>
      </c>
      <c r="B373">
        <v>16500337</v>
      </c>
      <c r="C373">
        <v>16500315</v>
      </c>
      <c r="D373">
        <v>15191913</v>
      </c>
      <c r="E373">
        <v>1</v>
      </c>
      <c r="F373">
        <v>1</v>
      </c>
      <c r="G373">
        <v>1</v>
      </c>
      <c r="H373">
        <v>3</v>
      </c>
      <c r="I373" t="s">
        <v>714</v>
      </c>
      <c r="J373" t="s">
        <v>715</v>
      </c>
      <c r="K373" t="s">
        <v>716</v>
      </c>
      <c r="L373">
        <v>1348</v>
      </c>
      <c r="N373">
        <v>1009</v>
      </c>
      <c r="O373" t="s">
        <v>288</v>
      </c>
      <c r="P373" t="s">
        <v>288</v>
      </c>
      <c r="Q373">
        <v>1000</v>
      </c>
      <c r="X373">
        <v>1.9400000000000001E-3</v>
      </c>
      <c r="Y373">
        <v>4920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224</v>
      </c>
      <c r="AG373">
        <v>1.9400000000000001E-3</v>
      </c>
      <c r="AH373">
        <v>2</v>
      </c>
      <c r="AI373">
        <v>16500337</v>
      </c>
      <c r="AJ373">
        <v>349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ROW(Source!A101)</f>
        <v>101</v>
      </c>
      <c r="B374">
        <v>16500338</v>
      </c>
      <c r="C374">
        <v>16500315</v>
      </c>
      <c r="D374">
        <v>15195820</v>
      </c>
      <c r="E374">
        <v>1</v>
      </c>
      <c r="F374">
        <v>1</v>
      </c>
      <c r="G374">
        <v>1</v>
      </c>
      <c r="H374">
        <v>3</v>
      </c>
      <c r="I374" t="s">
        <v>717</v>
      </c>
      <c r="J374" t="s">
        <v>718</v>
      </c>
      <c r="K374" t="s">
        <v>719</v>
      </c>
      <c r="L374">
        <v>1339</v>
      </c>
      <c r="N374">
        <v>1007</v>
      </c>
      <c r="O374" t="s">
        <v>691</v>
      </c>
      <c r="P374" t="s">
        <v>691</v>
      </c>
      <c r="Q374">
        <v>1</v>
      </c>
      <c r="X374">
        <v>1.0300000000000001E-3</v>
      </c>
      <c r="Y374">
        <v>1700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224</v>
      </c>
      <c r="AG374">
        <v>1.0300000000000001E-3</v>
      </c>
      <c r="AH374">
        <v>2</v>
      </c>
      <c r="AI374">
        <v>16500338</v>
      </c>
      <c r="AJ374">
        <v>350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ROW(Source!A101)</f>
        <v>101</v>
      </c>
      <c r="B375">
        <v>16500339</v>
      </c>
      <c r="C375">
        <v>16500315</v>
      </c>
      <c r="D375">
        <v>15203461</v>
      </c>
      <c r="E375">
        <v>1</v>
      </c>
      <c r="F375">
        <v>1</v>
      </c>
      <c r="G375">
        <v>1</v>
      </c>
      <c r="H375">
        <v>3</v>
      </c>
      <c r="I375" t="s">
        <v>720</v>
      </c>
      <c r="J375" t="s">
        <v>721</v>
      </c>
      <c r="K375" t="s">
        <v>722</v>
      </c>
      <c r="L375">
        <v>1348</v>
      </c>
      <c r="N375">
        <v>1009</v>
      </c>
      <c r="O375" t="s">
        <v>288</v>
      </c>
      <c r="P375" t="s">
        <v>288</v>
      </c>
      <c r="Q375">
        <v>1000</v>
      </c>
      <c r="X375">
        <v>3.1E-4</v>
      </c>
      <c r="Y375">
        <v>15620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224</v>
      </c>
      <c r="AG375">
        <v>3.1E-4</v>
      </c>
      <c r="AH375">
        <v>2</v>
      </c>
      <c r="AI375">
        <v>16500339</v>
      </c>
      <c r="AJ375">
        <v>351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ROW(Source!A101)</f>
        <v>101</v>
      </c>
      <c r="B376">
        <v>16500340</v>
      </c>
      <c r="C376">
        <v>16500315</v>
      </c>
      <c r="D376">
        <v>15204663</v>
      </c>
      <c r="E376">
        <v>1</v>
      </c>
      <c r="F376">
        <v>1</v>
      </c>
      <c r="G376">
        <v>1</v>
      </c>
      <c r="H376">
        <v>3</v>
      </c>
      <c r="I376" t="s">
        <v>723</v>
      </c>
      <c r="J376" t="s">
        <v>724</v>
      </c>
      <c r="K376" t="s">
        <v>725</v>
      </c>
      <c r="L376">
        <v>1348</v>
      </c>
      <c r="N376">
        <v>1009</v>
      </c>
      <c r="O376" t="s">
        <v>288</v>
      </c>
      <c r="P376" t="s">
        <v>288</v>
      </c>
      <c r="Q376">
        <v>1000</v>
      </c>
      <c r="X376">
        <v>5.9999999999999995E-4</v>
      </c>
      <c r="Y376">
        <v>9420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224</v>
      </c>
      <c r="AG376">
        <v>5.9999999999999995E-4</v>
      </c>
      <c r="AH376">
        <v>2</v>
      </c>
      <c r="AI376">
        <v>16500340</v>
      </c>
      <c r="AJ376">
        <v>352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ROW(Source!A104)</f>
        <v>104</v>
      </c>
      <c r="B377">
        <v>16500357</v>
      </c>
      <c r="C377">
        <v>16500349</v>
      </c>
      <c r="D377">
        <v>15446300</v>
      </c>
      <c r="E377">
        <v>1</v>
      </c>
      <c r="F377">
        <v>1</v>
      </c>
      <c r="G377">
        <v>1</v>
      </c>
      <c r="H377">
        <v>1</v>
      </c>
      <c r="I377" t="s">
        <v>651</v>
      </c>
      <c r="J377" t="s">
        <v>224</v>
      </c>
      <c r="K377" t="s">
        <v>652</v>
      </c>
      <c r="L377">
        <v>1191</v>
      </c>
      <c r="N377">
        <v>1013</v>
      </c>
      <c r="O377" t="s">
        <v>628</v>
      </c>
      <c r="P377" t="s">
        <v>628</v>
      </c>
      <c r="Q377">
        <v>1</v>
      </c>
      <c r="X377">
        <v>2.4</v>
      </c>
      <c r="Y377">
        <v>0</v>
      </c>
      <c r="Z377">
        <v>0</v>
      </c>
      <c r="AA377">
        <v>0</v>
      </c>
      <c r="AB377">
        <v>9.92</v>
      </c>
      <c r="AC377">
        <v>0</v>
      </c>
      <c r="AD377">
        <v>1</v>
      </c>
      <c r="AE377">
        <v>1</v>
      </c>
      <c r="AF377" t="s">
        <v>240</v>
      </c>
      <c r="AG377">
        <v>2.76</v>
      </c>
      <c r="AH377">
        <v>2</v>
      </c>
      <c r="AI377">
        <v>16500350</v>
      </c>
      <c r="AJ377">
        <v>353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ROW(Source!A104)</f>
        <v>104</v>
      </c>
      <c r="B378">
        <v>16500358</v>
      </c>
      <c r="C378">
        <v>16500349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629</v>
      </c>
      <c r="J378" t="s">
        <v>224</v>
      </c>
      <c r="K378" t="s">
        <v>630</v>
      </c>
      <c r="L378">
        <v>1191</v>
      </c>
      <c r="N378">
        <v>1013</v>
      </c>
      <c r="O378" t="s">
        <v>628</v>
      </c>
      <c r="P378" t="s">
        <v>628</v>
      </c>
      <c r="Q378">
        <v>1</v>
      </c>
      <c r="X378">
        <v>0.17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239</v>
      </c>
      <c r="AG378">
        <v>0.21250000000000002</v>
      </c>
      <c r="AH378">
        <v>2</v>
      </c>
      <c r="AI378">
        <v>16500351</v>
      </c>
      <c r="AJ378">
        <v>354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ROW(Source!A104)</f>
        <v>104</v>
      </c>
      <c r="B379">
        <v>16500359</v>
      </c>
      <c r="C379">
        <v>16500349</v>
      </c>
      <c r="D379">
        <v>15249073</v>
      </c>
      <c r="E379">
        <v>1</v>
      </c>
      <c r="F379">
        <v>1</v>
      </c>
      <c r="G379">
        <v>1</v>
      </c>
      <c r="H379">
        <v>2</v>
      </c>
      <c r="I379" t="s">
        <v>631</v>
      </c>
      <c r="J379" t="s">
        <v>632</v>
      </c>
      <c r="K379" t="s">
        <v>633</v>
      </c>
      <c r="L379">
        <v>1368</v>
      </c>
      <c r="N379">
        <v>1011</v>
      </c>
      <c r="O379" t="s">
        <v>634</v>
      </c>
      <c r="P379" t="s">
        <v>634</v>
      </c>
      <c r="Q379">
        <v>1</v>
      </c>
      <c r="X379">
        <v>0.17</v>
      </c>
      <c r="Y379">
        <v>0</v>
      </c>
      <c r="Z379">
        <v>65.709999999999994</v>
      </c>
      <c r="AA379">
        <v>11.6</v>
      </c>
      <c r="AB379">
        <v>0</v>
      </c>
      <c r="AC379">
        <v>0</v>
      </c>
      <c r="AD379">
        <v>1</v>
      </c>
      <c r="AE379">
        <v>0</v>
      </c>
      <c r="AF379" t="s">
        <v>239</v>
      </c>
      <c r="AG379">
        <v>0.21250000000000002</v>
      </c>
      <c r="AH379">
        <v>2</v>
      </c>
      <c r="AI379">
        <v>16500352</v>
      </c>
      <c r="AJ379">
        <v>355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ROW(Source!A104)</f>
        <v>104</v>
      </c>
      <c r="B380">
        <v>16500360</v>
      </c>
      <c r="C380">
        <v>16500349</v>
      </c>
      <c r="D380">
        <v>15249377</v>
      </c>
      <c r="E380">
        <v>1</v>
      </c>
      <c r="F380">
        <v>1</v>
      </c>
      <c r="G380">
        <v>1</v>
      </c>
      <c r="H380">
        <v>2</v>
      </c>
      <c r="I380" t="s">
        <v>653</v>
      </c>
      <c r="J380" t="s">
        <v>654</v>
      </c>
      <c r="K380" t="s">
        <v>655</v>
      </c>
      <c r="L380">
        <v>1368</v>
      </c>
      <c r="N380">
        <v>1011</v>
      </c>
      <c r="O380" t="s">
        <v>634</v>
      </c>
      <c r="P380" t="s">
        <v>634</v>
      </c>
      <c r="Q380">
        <v>1</v>
      </c>
      <c r="X380">
        <v>0.4</v>
      </c>
      <c r="Y380">
        <v>0</v>
      </c>
      <c r="Z380">
        <v>8.1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239</v>
      </c>
      <c r="AG380">
        <v>0.5</v>
      </c>
      <c r="AH380">
        <v>2</v>
      </c>
      <c r="AI380">
        <v>16500353</v>
      </c>
      <c r="AJ380">
        <v>356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ROW(Source!A104)</f>
        <v>104</v>
      </c>
      <c r="B381">
        <v>16500361</v>
      </c>
      <c r="C381">
        <v>16500349</v>
      </c>
      <c r="D381">
        <v>15162381</v>
      </c>
      <c r="E381">
        <v>17</v>
      </c>
      <c r="F381">
        <v>1</v>
      </c>
      <c r="G381">
        <v>1</v>
      </c>
      <c r="H381">
        <v>3</v>
      </c>
      <c r="I381" t="s">
        <v>66</v>
      </c>
      <c r="J381" t="s">
        <v>224</v>
      </c>
      <c r="K381" t="s">
        <v>67</v>
      </c>
      <c r="L381">
        <v>1035</v>
      </c>
      <c r="N381">
        <v>1013</v>
      </c>
      <c r="O381" t="s">
        <v>535</v>
      </c>
      <c r="P381" t="s">
        <v>535</v>
      </c>
      <c r="Q381">
        <v>1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1</v>
      </c>
      <c r="AD381">
        <v>0</v>
      </c>
      <c r="AE381">
        <v>0</v>
      </c>
      <c r="AF381" t="s">
        <v>224</v>
      </c>
      <c r="AG381">
        <v>0</v>
      </c>
      <c r="AH381">
        <v>3</v>
      </c>
      <c r="AI381">
        <v>-1</v>
      </c>
      <c r="AJ381" t="s">
        <v>224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ROW(Source!A104)</f>
        <v>104</v>
      </c>
      <c r="B382">
        <v>16500362</v>
      </c>
      <c r="C382">
        <v>16500349</v>
      </c>
      <c r="D382">
        <v>15168750</v>
      </c>
      <c r="E382">
        <v>1</v>
      </c>
      <c r="F382">
        <v>1</v>
      </c>
      <c r="G382">
        <v>1</v>
      </c>
      <c r="H382">
        <v>3</v>
      </c>
      <c r="I382" t="s">
        <v>656</v>
      </c>
      <c r="J382" t="s">
        <v>657</v>
      </c>
      <c r="K382" t="s">
        <v>658</v>
      </c>
      <c r="L382">
        <v>1348</v>
      </c>
      <c r="N382">
        <v>1009</v>
      </c>
      <c r="O382" t="s">
        <v>288</v>
      </c>
      <c r="P382" t="s">
        <v>288</v>
      </c>
      <c r="Q382">
        <v>1000</v>
      </c>
      <c r="X382">
        <v>1E-4</v>
      </c>
      <c r="Y382">
        <v>10315.01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224</v>
      </c>
      <c r="AG382">
        <v>1E-4</v>
      </c>
      <c r="AH382">
        <v>2</v>
      </c>
      <c r="AI382">
        <v>16500354</v>
      </c>
      <c r="AJ382">
        <v>357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ROW(Source!A104)</f>
        <v>104</v>
      </c>
      <c r="B383">
        <v>16500363</v>
      </c>
      <c r="C383">
        <v>16500349</v>
      </c>
      <c r="D383">
        <v>15162386</v>
      </c>
      <c r="E383">
        <v>17</v>
      </c>
      <c r="F383">
        <v>1</v>
      </c>
      <c r="G383">
        <v>1</v>
      </c>
      <c r="H383">
        <v>3</v>
      </c>
      <c r="I383" t="s">
        <v>68</v>
      </c>
      <c r="J383" t="s">
        <v>224</v>
      </c>
      <c r="K383" t="s">
        <v>69</v>
      </c>
      <c r="L383">
        <v>1327</v>
      </c>
      <c r="N383">
        <v>1005</v>
      </c>
      <c r="O383" t="s">
        <v>277</v>
      </c>
      <c r="P383" t="s">
        <v>277</v>
      </c>
      <c r="Q383">
        <v>1</v>
      </c>
      <c r="X383">
        <v>1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 t="s">
        <v>224</v>
      </c>
      <c r="AG383">
        <v>1</v>
      </c>
      <c r="AH383">
        <v>3</v>
      </c>
      <c r="AI383">
        <v>-1</v>
      </c>
      <c r="AJ383" t="s">
        <v>224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ROW(Source!A104)</f>
        <v>104</v>
      </c>
      <c r="B384">
        <v>16500364</v>
      </c>
      <c r="C384">
        <v>16500349</v>
      </c>
      <c r="D384">
        <v>15192019</v>
      </c>
      <c r="E384">
        <v>1</v>
      </c>
      <c r="F384">
        <v>1</v>
      </c>
      <c r="G384">
        <v>1</v>
      </c>
      <c r="H384">
        <v>3</v>
      </c>
      <c r="I384" t="s">
        <v>659</v>
      </c>
      <c r="J384" t="s">
        <v>660</v>
      </c>
      <c r="K384" t="s">
        <v>661</v>
      </c>
      <c r="L384">
        <v>1348</v>
      </c>
      <c r="N384">
        <v>1009</v>
      </c>
      <c r="O384" t="s">
        <v>288</v>
      </c>
      <c r="P384" t="s">
        <v>288</v>
      </c>
      <c r="Q384">
        <v>1000</v>
      </c>
      <c r="X384">
        <v>3.0000000000000001E-3</v>
      </c>
      <c r="Y384">
        <v>5804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224</v>
      </c>
      <c r="AG384">
        <v>3.0000000000000001E-3</v>
      </c>
      <c r="AH384">
        <v>2</v>
      </c>
      <c r="AI384">
        <v>16500355</v>
      </c>
      <c r="AJ384">
        <v>361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ROW(Source!A104)</f>
        <v>104</v>
      </c>
      <c r="B385">
        <v>16500365</v>
      </c>
      <c r="C385">
        <v>16500349</v>
      </c>
      <c r="D385">
        <v>15204330</v>
      </c>
      <c r="E385">
        <v>1</v>
      </c>
      <c r="F385">
        <v>1</v>
      </c>
      <c r="G385">
        <v>1</v>
      </c>
      <c r="H385">
        <v>3</v>
      </c>
      <c r="I385" t="s">
        <v>662</v>
      </c>
      <c r="J385" t="s">
        <v>663</v>
      </c>
      <c r="K385" t="s">
        <v>664</v>
      </c>
      <c r="L385">
        <v>1354</v>
      </c>
      <c r="N385">
        <v>1010</v>
      </c>
      <c r="O385" t="s">
        <v>413</v>
      </c>
      <c r="P385" t="s">
        <v>413</v>
      </c>
      <c r="Q385">
        <v>1</v>
      </c>
      <c r="X385">
        <v>0.1</v>
      </c>
      <c r="Y385">
        <v>72.8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224</v>
      </c>
      <c r="AG385">
        <v>0.1</v>
      </c>
      <c r="AH385">
        <v>2</v>
      </c>
      <c r="AI385">
        <v>16500356</v>
      </c>
      <c r="AJ385">
        <v>362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ROW(Source!A105)</f>
        <v>105</v>
      </c>
      <c r="B386">
        <v>16500357</v>
      </c>
      <c r="C386">
        <v>16500349</v>
      </c>
      <c r="D386">
        <v>15446300</v>
      </c>
      <c r="E386">
        <v>1</v>
      </c>
      <c r="F386">
        <v>1</v>
      </c>
      <c r="G386">
        <v>1</v>
      </c>
      <c r="H386">
        <v>1</v>
      </c>
      <c r="I386" t="s">
        <v>651</v>
      </c>
      <c r="J386" t="s">
        <v>224</v>
      </c>
      <c r="K386" t="s">
        <v>652</v>
      </c>
      <c r="L386">
        <v>1191</v>
      </c>
      <c r="N386">
        <v>1013</v>
      </c>
      <c r="O386" t="s">
        <v>628</v>
      </c>
      <c r="P386" t="s">
        <v>628</v>
      </c>
      <c r="Q386">
        <v>1</v>
      </c>
      <c r="X386">
        <v>2.4</v>
      </c>
      <c r="Y386">
        <v>0</v>
      </c>
      <c r="Z386">
        <v>0</v>
      </c>
      <c r="AA386">
        <v>0</v>
      </c>
      <c r="AB386">
        <v>9.92</v>
      </c>
      <c r="AC386">
        <v>0</v>
      </c>
      <c r="AD386">
        <v>1</v>
      </c>
      <c r="AE386">
        <v>1</v>
      </c>
      <c r="AF386" t="s">
        <v>240</v>
      </c>
      <c r="AG386">
        <v>2.76</v>
      </c>
      <c r="AH386">
        <v>2</v>
      </c>
      <c r="AI386">
        <v>16500350</v>
      </c>
      <c r="AJ386">
        <v>363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ROW(Source!A105)</f>
        <v>105</v>
      </c>
      <c r="B387">
        <v>16500358</v>
      </c>
      <c r="C387">
        <v>16500349</v>
      </c>
      <c r="D387">
        <v>15430395</v>
      </c>
      <c r="E387">
        <v>1</v>
      </c>
      <c r="F387">
        <v>1</v>
      </c>
      <c r="G387">
        <v>1</v>
      </c>
      <c r="H387">
        <v>1</v>
      </c>
      <c r="I387" t="s">
        <v>629</v>
      </c>
      <c r="J387" t="s">
        <v>224</v>
      </c>
      <c r="K387" t="s">
        <v>630</v>
      </c>
      <c r="L387">
        <v>1191</v>
      </c>
      <c r="N387">
        <v>1013</v>
      </c>
      <c r="O387" t="s">
        <v>628</v>
      </c>
      <c r="P387" t="s">
        <v>628</v>
      </c>
      <c r="Q387">
        <v>1</v>
      </c>
      <c r="X387">
        <v>0.17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2</v>
      </c>
      <c r="AF387" t="s">
        <v>239</v>
      </c>
      <c r="AG387">
        <v>0.21250000000000002</v>
      </c>
      <c r="AH387">
        <v>2</v>
      </c>
      <c r="AI387">
        <v>16500351</v>
      </c>
      <c r="AJ387">
        <v>364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ROW(Source!A105)</f>
        <v>105</v>
      </c>
      <c r="B388">
        <v>16500359</v>
      </c>
      <c r="C388">
        <v>16500349</v>
      </c>
      <c r="D388">
        <v>15249073</v>
      </c>
      <c r="E388">
        <v>1</v>
      </c>
      <c r="F388">
        <v>1</v>
      </c>
      <c r="G388">
        <v>1</v>
      </c>
      <c r="H388">
        <v>2</v>
      </c>
      <c r="I388" t="s">
        <v>631</v>
      </c>
      <c r="J388" t="s">
        <v>632</v>
      </c>
      <c r="K388" t="s">
        <v>633</v>
      </c>
      <c r="L388">
        <v>1368</v>
      </c>
      <c r="N388">
        <v>1011</v>
      </c>
      <c r="O388" t="s">
        <v>634</v>
      </c>
      <c r="P388" t="s">
        <v>634</v>
      </c>
      <c r="Q388">
        <v>1</v>
      </c>
      <c r="X388">
        <v>0.17</v>
      </c>
      <c r="Y388">
        <v>0</v>
      </c>
      <c r="Z388">
        <v>65.709999999999994</v>
      </c>
      <c r="AA388">
        <v>11.6</v>
      </c>
      <c r="AB388">
        <v>0</v>
      </c>
      <c r="AC388">
        <v>0</v>
      </c>
      <c r="AD388">
        <v>1</v>
      </c>
      <c r="AE388">
        <v>0</v>
      </c>
      <c r="AF388" t="s">
        <v>239</v>
      </c>
      <c r="AG388">
        <v>0.21250000000000002</v>
      </c>
      <c r="AH388">
        <v>2</v>
      </c>
      <c r="AI388">
        <v>16500352</v>
      </c>
      <c r="AJ388">
        <v>365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ROW(Source!A105)</f>
        <v>105</v>
      </c>
      <c r="B389">
        <v>16500360</v>
      </c>
      <c r="C389">
        <v>16500349</v>
      </c>
      <c r="D389">
        <v>15249377</v>
      </c>
      <c r="E389">
        <v>1</v>
      </c>
      <c r="F389">
        <v>1</v>
      </c>
      <c r="G389">
        <v>1</v>
      </c>
      <c r="H389">
        <v>2</v>
      </c>
      <c r="I389" t="s">
        <v>653</v>
      </c>
      <c r="J389" t="s">
        <v>654</v>
      </c>
      <c r="K389" t="s">
        <v>655</v>
      </c>
      <c r="L389">
        <v>1368</v>
      </c>
      <c r="N389">
        <v>1011</v>
      </c>
      <c r="O389" t="s">
        <v>634</v>
      </c>
      <c r="P389" t="s">
        <v>634</v>
      </c>
      <c r="Q389">
        <v>1</v>
      </c>
      <c r="X389">
        <v>0.4</v>
      </c>
      <c r="Y389">
        <v>0</v>
      </c>
      <c r="Z389">
        <v>8.1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239</v>
      </c>
      <c r="AG389">
        <v>0.5</v>
      </c>
      <c r="AH389">
        <v>2</v>
      </c>
      <c r="AI389">
        <v>16500353</v>
      </c>
      <c r="AJ389">
        <v>366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ROW(Source!A105)</f>
        <v>105</v>
      </c>
      <c r="B390">
        <v>16500361</v>
      </c>
      <c r="C390">
        <v>16500349</v>
      </c>
      <c r="D390">
        <v>15162381</v>
      </c>
      <c r="E390">
        <v>17</v>
      </c>
      <c r="F390">
        <v>1</v>
      </c>
      <c r="G390">
        <v>1</v>
      </c>
      <c r="H390">
        <v>3</v>
      </c>
      <c r="I390" t="s">
        <v>66</v>
      </c>
      <c r="J390" t="s">
        <v>224</v>
      </c>
      <c r="K390" t="s">
        <v>67</v>
      </c>
      <c r="L390">
        <v>1035</v>
      </c>
      <c r="N390">
        <v>1013</v>
      </c>
      <c r="O390" t="s">
        <v>535</v>
      </c>
      <c r="P390" t="s">
        <v>535</v>
      </c>
      <c r="Q390">
        <v>1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1</v>
      </c>
      <c r="AD390">
        <v>0</v>
      </c>
      <c r="AE390">
        <v>0</v>
      </c>
      <c r="AF390" t="s">
        <v>224</v>
      </c>
      <c r="AG390">
        <v>0</v>
      </c>
      <c r="AH390">
        <v>3</v>
      </c>
      <c r="AI390">
        <v>-1</v>
      </c>
      <c r="AJ390" t="s">
        <v>224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ROW(Source!A105)</f>
        <v>105</v>
      </c>
      <c r="B391">
        <v>16500362</v>
      </c>
      <c r="C391">
        <v>16500349</v>
      </c>
      <c r="D391">
        <v>15168750</v>
      </c>
      <c r="E391">
        <v>1</v>
      </c>
      <c r="F391">
        <v>1</v>
      </c>
      <c r="G391">
        <v>1</v>
      </c>
      <c r="H391">
        <v>3</v>
      </c>
      <c r="I391" t="s">
        <v>656</v>
      </c>
      <c r="J391" t="s">
        <v>657</v>
      </c>
      <c r="K391" t="s">
        <v>658</v>
      </c>
      <c r="L391">
        <v>1348</v>
      </c>
      <c r="N391">
        <v>1009</v>
      </c>
      <c r="O391" t="s">
        <v>288</v>
      </c>
      <c r="P391" t="s">
        <v>288</v>
      </c>
      <c r="Q391">
        <v>1000</v>
      </c>
      <c r="X391">
        <v>1E-4</v>
      </c>
      <c r="Y391">
        <v>10315.01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224</v>
      </c>
      <c r="AG391">
        <v>1E-4</v>
      </c>
      <c r="AH391">
        <v>2</v>
      </c>
      <c r="AI391">
        <v>16500354</v>
      </c>
      <c r="AJ391">
        <v>367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ROW(Source!A105)</f>
        <v>105</v>
      </c>
      <c r="B392">
        <v>16500363</v>
      </c>
      <c r="C392">
        <v>16500349</v>
      </c>
      <c r="D392">
        <v>15162386</v>
      </c>
      <c r="E392">
        <v>17</v>
      </c>
      <c r="F392">
        <v>1</v>
      </c>
      <c r="G392">
        <v>1</v>
      </c>
      <c r="H392">
        <v>3</v>
      </c>
      <c r="I392" t="s">
        <v>68</v>
      </c>
      <c r="J392" t="s">
        <v>224</v>
      </c>
      <c r="K392" t="s">
        <v>69</v>
      </c>
      <c r="L392">
        <v>1327</v>
      </c>
      <c r="N392">
        <v>1005</v>
      </c>
      <c r="O392" t="s">
        <v>277</v>
      </c>
      <c r="P392" t="s">
        <v>277</v>
      </c>
      <c r="Q392">
        <v>1</v>
      </c>
      <c r="X392">
        <v>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224</v>
      </c>
      <c r="AG392">
        <v>1</v>
      </c>
      <c r="AH392">
        <v>3</v>
      </c>
      <c r="AI392">
        <v>-1</v>
      </c>
      <c r="AJ392" t="s">
        <v>224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ROW(Source!A105)</f>
        <v>105</v>
      </c>
      <c r="B393">
        <v>16500364</v>
      </c>
      <c r="C393">
        <v>16500349</v>
      </c>
      <c r="D393">
        <v>15192019</v>
      </c>
      <c r="E393">
        <v>1</v>
      </c>
      <c r="F393">
        <v>1</v>
      </c>
      <c r="G393">
        <v>1</v>
      </c>
      <c r="H393">
        <v>3</v>
      </c>
      <c r="I393" t="s">
        <v>659</v>
      </c>
      <c r="J393" t="s">
        <v>660</v>
      </c>
      <c r="K393" t="s">
        <v>661</v>
      </c>
      <c r="L393">
        <v>1348</v>
      </c>
      <c r="N393">
        <v>1009</v>
      </c>
      <c r="O393" t="s">
        <v>288</v>
      </c>
      <c r="P393" t="s">
        <v>288</v>
      </c>
      <c r="Q393">
        <v>1000</v>
      </c>
      <c r="X393">
        <v>3.0000000000000001E-3</v>
      </c>
      <c r="Y393">
        <v>5804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224</v>
      </c>
      <c r="AG393">
        <v>3.0000000000000001E-3</v>
      </c>
      <c r="AH393">
        <v>2</v>
      </c>
      <c r="AI393">
        <v>16500355</v>
      </c>
      <c r="AJ393">
        <v>371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ROW(Source!A105)</f>
        <v>105</v>
      </c>
      <c r="B394">
        <v>16500365</v>
      </c>
      <c r="C394">
        <v>16500349</v>
      </c>
      <c r="D394">
        <v>15204330</v>
      </c>
      <c r="E394">
        <v>1</v>
      </c>
      <c r="F394">
        <v>1</v>
      </c>
      <c r="G394">
        <v>1</v>
      </c>
      <c r="H394">
        <v>3</v>
      </c>
      <c r="I394" t="s">
        <v>662</v>
      </c>
      <c r="J394" t="s">
        <v>663</v>
      </c>
      <c r="K394" t="s">
        <v>664</v>
      </c>
      <c r="L394">
        <v>1354</v>
      </c>
      <c r="N394">
        <v>1010</v>
      </c>
      <c r="O394" t="s">
        <v>413</v>
      </c>
      <c r="P394" t="s">
        <v>413</v>
      </c>
      <c r="Q394">
        <v>1</v>
      </c>
      <c r="X394">
        <v>0.1</v>
      </c>
      <c r="Y394">
        <v>72.8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224</v>
      </c>
      <c r="AG394">
        <v>0.1</v>
      </c>
      <c r="AH394">
        <v>2</v>
      </c>
      <c r="AI394">
        <v>16500356</v>
      </c>
      <c r="AJ394">
        <v>372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ROW(Source!A149)</f>
        <v>149</v>
      </c>
      <c r="B395">
        <v>16500424</v>
      </c>
      <c r="C395">
        <v>16500423</v>
      </c>
      <c r="D395">
        <v>15432356</v>
      </c>
      <c r="E395">
        <v>1</v>
      </c>
      <c r="F395">
        <v>1</v>
      </c>
      <c r="G395">
        <v>1</v>
      </c>
      <c r="H395">
        <v>1</v>
      </c>
      <c r="I395" t="s">
        <v>799</v>
      </c>
      <c r="J395" t="s">
        <v>224</v>
      </c>
      <c r="K395" t="s">
        <v>800</v>
      </c>
      <c r="L395">
        <v>1191</v>
      </c>
      <c r="N395">
        <v>1013</v>
      </c>
      <c r="O395" t="s">
        <v>628</v>
      </c>
      <c r="P395" t="s">
        <v>628</v>
      </c>
      <c r="Q395">
        <v>1</v>
      </c>
      <c r="X395">
        <v>34.659999999999997</v>
      </c>
      <c r="Y395">
        <v>0</v>
      </c>
      <c r="Z395">
        <v>0</v>
      </c>
      <c r="AA395">
        <v>0</v>
      </c>
      <c r="AB395">
        <v>8.31</v>
      </c>
      <c r="AC395">
        <v>0</v>
      </c>
      <c r="AD395">
        <v>1</v>
      </c>
      <c r="AE395">
        <v>1</v>
      </c>
      <c r="AF395" t="s">
        <v>224</v>
      </c>
      <c r="AG395">
        <v>34.659999999999997</v>
      </c>
      <c r="AH395">
        <v>2</v>
      </c>
      <c r="AI395">
        <v>16500424</v>
      </c>
      <c r="AJ395">
        <v>373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ROW(Source!A149)</f>
        <v>149</v>
      </c>
      <c r="B396">
        <v>16500425</v>
      </c>
      <c r="C396">
        <v>16500423</v>
      </c>
      <c r="D396">
        <v>15430395</v>
      </c>
      <c r="E396">
        <v>1</v>
      </c>
      <c r="F396">
        <v>1</v>
      </c>
      <c r="G396">
        <v>1</v>
      </c>
      <c r="H396">
        <v>1</v>
      </c>
      <c r="I396" t="s">
        <v>629</v>
      </c>
      <c r="J396" t="s">
        <v>224</v>
      </c>
      <c r="K396" t="s">
        <v>630</v>
      </c>
      <c r="L396">
        <v>1191</v>
      </c>
      <c r="N396">
        <v>1013</v>
      </c>
      <c r="O396" t="s">
        <v>628</v>
      </c>
      <c r="P396" t="s">
        <v>628</v>
      </c>
      <c r="Q396">
        <v>1</v>
      </c>
      <c r="X396">
        <v>0.1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224</v>
      </c>
      <c r="AG396">
        <v>0.1</v>
      </c>
      <c r="AH396">
        <v>2</v>
      </c>
      <c r="AI396">
        <v>16500425</v>
      </c>
      <c r="AJ396">
        <v>374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ROW(Source!A149)</f>
        <v>149</v>
      </c>
      <c r="B397">
        <v>16500426</v>
      </c>
      <c r="C397">
        <v>16500423</v>
      </c>
      <c r="D397">
        <v>15247974</v>
      </c>
      <c r="E397">
        <v>1</v>
      </c>
      <c r="F397">
        <v>1</v>
      </c>
      <c r="G397">
        <v>1</v>
      </c>
      <c r="H397">
        <v>2</v>
      </c>
      <c r="I397" t="s">
        <v>640</v>
      </c>
      <c r="J397" t="s">
        <v>641</v>
      </c>
      <c r="K397" t="s">
        <v>642</v>
      </c>
      <c r="L397">
        <v>1368</v>
      </c>
      <c r="N397">
        <v>1011</v>
      </c>
      <c r="O397" t="s">
        <v>634</v>
      </c>
      <c r="P397" t="s">
        <v>634</v>
      </c>
      <c r="Q397">
        <v>1</v>
      </c>
      <c r="X397">
        <v>0.1</v>
      </c>
      <c r="Y397">
        <v>0</v>
      </c>
      <c r="Z397">
        <v>31.26</v>
      </c>
      <c r="AA397">
        <v>13.5</v>
      </c>
      <c r="AB397">
        <v>0</v>
      </c>
      <c r="AC397">
        <v>0</v>
      </c>
      <c r="AD397">
        <v>1</v>
      </c>
      <c r="AE397">
        <v>0</v>
      </c>
      <c r="AF397" t="s">
        <v>224</v>
      </c>
      <c r="AG397">
        <v>0.1</v>
      </c>
      <c r="AH397">
        <v>2</v>
      </c>
      <c r="AI397">
        <v>16500426</v>
      </c>
      <c r="AJ397">
        <v>375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ROW(Source!A149)</f>
        <v>149</v>
      </c>
      <c r="B398">
        <v>16500427</v>
      </c>
      <c r="C398">
        <v>16500423</v>
      </c>
      <c r="D398">
        <v>15249308</v>
      </c>
      <c r="E398">
        <v>1</v>
      </c>
      <c r="F398">
        <v>1</v>
      </c>
      <c r="G398">
        <v>1</v>
      </c>
      <c r="H398">
        <v>2</v>
      </c>
      <c r="I398" t="s">
        <v>682</v>
      </c>
      <c r="J398" t="s">
        <v>683</v>
      </c>
      <c r="K398" t="s">
        <v>684</v>
      </c>
      <c r="L398">
        <v>1368</v>
      </c>
      <c r="N398">
        <v>1011</v>
      </c>
      <c r="O398" t="s">
        <v>634</v>
      </c>
      <c r="P398" t="s">
        <v>634</v>
      </c>
      <c r="Q398">
        <v>1</v>
      </c>
      <c r="X398">
        <v>3.3</v>
      </c>
      <c r="Y398">
        <v>0</v>
      </c>
      <c r="Z398">
        <v>1.2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224</v>
      </c>
      <c r="AG398">
        <v>3.3</v>
      </c>
      <c r="AH398">
        <v>2</v>
      </c>
      <c r="AI398">
        <v>16500427</v>
      </c>
      <c r="AJ398">
        <v>376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ROW(Source!A149)</f>
        <v>149</v>
      </c>
      <c r="B399">
        <v>16500428</v>
      </c>
      <c r="C399">
        <v>16500423</v>
      </c>
      <c r="D399">
        <v>15165634</v>
      </c>
      <c r="E399">
        <v>1</v>
      </c>
      <c r="F399">
        <v>1</v>
      </c>
      <c r="G399">
        <v>1</v>
      </c>
      <c r="H399">
        <v>3</v>
      </c>
      <c r="I399" t="s">
        <v>29</v>
      </c>
      <c r="J399" t="s">
        <v>30</v>
      </c>
      <c r="K399" t="s">
        <v>31</v>
      </c>
      <c r="L399">
        <v>1339</v>
      </c>
      <c r="N399">
        <v>1007</v>
      </c>
      <c r="O399" t="s">
        <v>691</v>
      </c>
      <c r="P399" t="s">
        <v>691</v>
      </c>
      <c r="Q399">
        <v>1</v>
      </c>
      <c r="X399">
        <v>0.43</v>
      </c>
      <c r="Y399">
        <v>38.51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224</v>
      </c>
      <c r="AG399">
        <v>0.43</v>
      </c>
      <c r="AH399">
        <v>2</v>
      </c>
      <c r="AI399">
        <v>16500428</v>
      </c>
      <c r="AJ399">
        <v>377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ROW(Source!A149)</f>
        <v>149</v>
      </c>
      <c r="B400">
        <v>16500429</v>
      </c>
      <c r="C400">
        <v>16500423</v>
      </c>
      <c r="D400">
        <v>15165653</v>
      </c>
      <c r="E400">
        <v>1</v>
      </c>
      <c r="F400">
        <v>1</v>
      </c>
      <c r="G400">
        <v>1</v>
      </c>
      <c r="H400">
        <v>3</v>
      </c>
      <c r="I400" t="s">
        <v>688</v>
      </c>
      <c r="J400" t="s">
        <v>689</v>
      </c>
      <c r="K400" t="s">
        <v>690</v>
      </c>
      <c r="L400">
        <v>1339</v>
      </c>
      <c r="N400">
        <v>1007</v>
      </c>
      <c r="O400" t="s">
        <v>691</v>
      </c>
      <c r="P400" t="s">
        <v>691</v>
      </c>
      <c r="Q400">
        <v>1</v>
      </c>
      <c r="X400">
        <v>2.74</v>
      </c>
      <c r="Y400">
        <v>6.22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224</v>
      </c>
      <c r="AG400">
        <v>2.74</v>
      </c>
      <c r="AH400">
        <v>2</v>
      </c>
      <c r="AI400">
        <v>16500429</v>
      </c>
      <c r="AJ400">
        <v>378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ROW(Source!A149)</f>
        <v>149</v>
      </c>
      <c r="B401">
        <v>16500430</v>
      </c>
      <c r="C401">
        <v>16500423</v>
      </c>
      <c r="D401">
        <v>15164576</v>
      </c>
      <c r="E401">
        <v>17</v>
      </c>
      <c r="F401">
        <v>1</v>
      </c>
      <c r="G401">
        <v>1</v>
      </c>
      <c r="H401">
        <v>3</v>
      </c>
      <c r="I401" t="s">
        <v>64</v>
      </c>
      <c r="J401" t="s">
        <v>224</v>
      </c>
      <c r="K401" t="s">
        <v>103</v>
      </c>
      <c r="L401">
        <v>1348</v>
      </c>
      <c r="N401">
        <v>1009</v>
      </c>
      <c r="O401" t="s">
        <v>288</v>
      </c>
      <c r="P401" t="s">
        <v>288</v>
      </c>
      <c r="Q401">
        <v>1000</v>
      </c>
      <c r="X401">
        <v>0.22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 t="s">
        <v>224</v>
      </c>
      <c r="AG401">
        <v>0.22</v>
      </c>
      <c r="AH401">
        <v>3</v>
      </c>
      <c r="AI401">
        <v>-1</v>
      </c>
      <c r="AJ401" t="s">
        <v>224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ROW(Source!A150)</f>
        <v>150</v>
      </c>
      <c r="B402">
        <v>16500424</v>
      </c>
      <c r="C402">
        <v>16500423</v>
      </c>
      <c r="D402">
        <v>15432356</v>
      </c>
      <c r="E402">
        <v>1</v>
      </c>
      <c r="F402">
        <v>1</v>
      </c>
      <c r="G402">
        <v>1</v>
      </c>
      <c r="H402">
        <v>1</v>
      </c>
      <c r="I402" t="s">
        <v>799</v>
      </c>
      <c r="J402" t="s">
        <v>224</v>
      </c>
      <c r="K402" t="s">
        <v>800</v>
      </c>
      <c r="L402">
        <v>1191</v>
      </c>
      <c r="N402">
        <v>1013</v>
      </c>
      <c r="O402" t="s">
        <v>628</v>
      </c>
      <c r="P402" t="s">
        <v>628</v>
      </c>
      <c r="Q402">
        <v>1</v>
      </c>
      <c r="X402">
        <v>34.659999999999997</v>
      </c>
      <c r="Y402">
        <v>0</v>
      </c>
      <c r="Z402">
        <v>0</v>
      </c>
      <c r="AA402">
        <v>0</v>
      </c>
      <c r="AB402">
        <v>8.31</v>
      </c>
      <c r="AC402">
        <v>0</v>
      </c>
      <c r="AD402">
        <v>1</v>
      </c>
      <c r="AE402">
        <v>1</v>
      </c>
      <c r="AF402" t="s">
        <v>224</v>
      </c>
      <c r="AG402">
        <v>34.659999999999997</v>
      </c>
      <c r="AH402">
        <v>2</v>
      </c>
      <c r="AI402">
        <v>16500424</v>
      </c>
      <c r="AJ402">
        <v>379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ROW(Source!A150)</f>
        <v>150</v>
      </c>
      <c r="B403">
        <v>16500425</v>
      </c>
      <c r="C403">
        <v>16500423</v>
      </c>
      <c r="D403">
        <v>15430395</v>
      </c>
      <c r="E403">
        <v>1</v>
      </c>
      <c r="F403">
        <v>1</v>
      </c>
      <c r="G403">
        <v>1</v>
      </c>
      <c r="H403">
        <v>1</v>
      </c>
      <c r="I403" t="s">
        <v>629</v>
      </c>
      <c r="J403" t="s">
        <v>224</v>
      </c>
      <c r="K403" t="s">
        <v>630</v>
      </c>
      <c r="L403">
        <v>1191</v>
      </c>
      <c r="N403">
        <v>1013</v>
      </c>
      <c r="O403" t="s">
        <v>628</v>
      </c>
      <c r="P403" t="s">
        <v>628</v>
      </c>
      <c r="Q403">
        <v>1</v>
      </c>
      <c r="X403">
        <v>0.1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2</v>
      </c>
      <c r="AF403" t="s">
        <v>224</v>
      </c>
      <c r="AG403">
        <v>0.1</v>
      </c>
      <c r="AH403">
        <v>2</v>
      </c>
      <c r="AI403">
        <v>16500425</v>
      </c>
      <c r="AJ403">
        <v>380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ROW(Source!A150)</f>
        <v>150</v>
      </c>
      <c r="B404">
        <v>16500426</v>
      </c>
      <c r="C404">
        <v>16500423</v>
      </c>
      <c r="D404">
        <v>15247974</v>
      </c>
      <c r="E404">
        <v>1</v>
      </c>
      <c r="F404">
        <v>1</v>
      </c>
      <c r="G404">
        <v>1</v>
      </c>
      <c r="H404">
        <v>2</v>
      </c>
      <c r="I404" t="s">
        <v>640</v>
      </c>
      <c r="J404" t="s">
        <v>641</v>
      </c>
      <c r="K404" t="s">
        <v>642</v>
      </c>
      <c r="L404">
        <v>1368</v>
      </c>
      <c r="N404">
        <v>1011</v>
      </c>
      <c r="O404" t="s">
        <v>634</v>
      </c>
      <c r="P404" t="s">
        <v>634</v>
      </c>
      <c r="Q404">
        <v>1</v>
      </c>
      <c r="X404">
        <v>0.1</v>
      </c>
      <c r="Y404">
        <v>0</v>
      </c>
      <c r="Z404">
        <v>31.26</v>
      </c>
      <c r="AA404">
        <v>13.5</v>
      </c>
      <c r="AB404">
        <v>0</v>
      </c>
      <c r="AC404">
        <v>0</v>
      </c>
      <c r="AD404">
        <v>1</v>
      </c>
      <c r="AE404">
        <v>0</v>
      </c>
      <c r="AF404" t="s">
        <v>224</v>
      </c>
      <c r="AG404">
        <v>0.1</v>
      </c>
      <c r="AH404">
        <v>2</v>
      </c>
      <c r="AI404">
        <v>16500426</v>
      </c>
      <c r="AJ404">
        <v>381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ROW(Source!A150)</f>
        <v>150</v>
      </c>
      <c r="B405">
        <v>16500427</v>
      </c>
      <c r="C405">
        <v>16500423</v>
      </c>
      <c r="D405">
        <v>15249308</v>
      </c>
      <c r="E405">
        <v>1</v>
      </c>
      <c r="F405">
        <v>1</v>
      </c>
      <c r="G405">
        <v>1</v>
      </c>
      <c r="H405">
        <v>2</v>
      </c>
      <c r="I405" t="s">
        <v>682</v>
      </c>
      <c r="J405" t="s">
        <v>683</v>
      </c>
      <c r="K405" t="s">
        <v>684</v>
      </c>
      <c r="L405">
        <v>1368</v>
      </c>
      <c r="N405">
        <v>1011</v>
      </c>
      <c r="O405" t="s">
        <v>634</v>
      </c>
      <c r="P405" t="s">
        <v>634</v>
      </c>
      <c r="Q405">
        <v>1</v>
      </c>
      <c r="X405">
        <v>3.3</v>
      </c>
      <c r="Y405">
        <v>0</v>
      </c>
      <c r="Z405">
        <v>1.2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224</v>
      </c>
      <c r="AG405">
        <v>3.3</v>
      </c>
      <c r="AH405">
        <v>2</v>
      </c>
      <c r="AI405">
        <v>16500427</v>
      </c>
      <c r="AJ405">
        <v>382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ROW(Source!A150)</f>
        <v>150</v>
      </c>
      <c r="B406">
        <v>16500428</v>
      </c>
      <c r="C406">
        <v>16500423</v>
      </c>
      <c r="D406">
        <v>15165634</v>
      </c>
      <c r="E406">
        <v>1</v>
      </c>
      <c r="F406">
        <v>1</v>
      </c>
      <c r="G406">
        <v>1</v>
      </c>
      <c r="H406">
        <v>3</v>
      </c>
      <c r="I406" t="s">
        <v>29</v>
      </c>
      <c r="J406" t="s">
        <v>30</v>
      </c>
      <c r="K406" t="s">
        <v>31</v>
      </c>
      <c r="L406">
        <v>1339</v>
      </c>
      <c r="N406">
        <v>1007</v>
      </c>
      <c r="O406" t="s">
        <v>691</v>
      </c>
      <c r="P406" t="s">
        <v>691</v>
      </c>
      <c r="Q406">
        <v>1</v>
      </c>
      <c r="X406">
        <v>0.43</v>
      </c>
      <c r="Y406">
        <v>38.51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224</v>
      </c>
      <c r="AG406">
        <v>0.43</v>
      </c>
      <c r="AH406">
        <v>2</v>
      </c>
      <c r="AI406">
        <v>16500428</v>
      </c>
      <c r="AJ406">
        <v>383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ROW(Source!A150)</f>
        <v>150</v>
      </c>
      <c r="B407">
        <v>16500429</v>
      </c>
      <c r="C407">
        <v>16500423</v>
      </c>
      <c r="D407">
        <v>15165653</v>
      </c>
      <c r="E407">
        <v>1</v>
      </c>
      <c r="F407">
        <v>1</v>
      </c>
      <c r="G407">
        <v>1</v>
      </c>
      <c r="H407">
        <v>3</v>
      </c>
      <c r="I407" t="s">
        <v>688</v>
      </c>
      <c r="J407" t="s">
        <v>689</v>
      </c>
      <c r="K407" t="s">
        <v>690</v>
      </c>
      <c r="L407">
        <v>1339</v>
      </c>
      <c r="N407">
        <v>1007</v>
      </c>
      <c r="O407" t="s">
        <v>691</v>
      </c>
      <c r="P407" t="s">
        <v>691</v>
      </c>
      <c r="Q407">
        <v>1</v>
      </c>
      <c r="X407">
        <v>2.74</v>
      </c>
      <c r="Y407">
        <v>6.22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224</v>
      </c>
      <c r="AG407">
        <v>2.74</v>
      </c>
      <c r="AH407">
        <v>2</v>
      </c>
      <c r="AI407">
        <v>16500429</v>
      </c>
      <c r="AJ407">
        <v>384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ROW(Source!A150)</f>
        <v>150</v>
      </c>
      <c r="B408">
        <v>16500430</v>
      </c>
      <c r="C408">
        <v>16500423</v>
      </c>
      <c r="D408">
        <v>15164576</v>
      </c>
      <c r="E408">
        <v>17</v>
      </c>
      <c r="F408">
        <v>1</v>
      </c>
      <c r="G408">
        <v>1</v>
      </c>
      <c r="H408">
        <v>3</v>
      </c>
      <c r="I408" t="s">
        <v>64</v>
      </c>
      <c r="J408" t="s">
        <v>224</v>
      </c>
      <c r="K408" t="s">
        <v>103</v>
      </c>
      <c r="L408">
        <v>1348</v>
      </c>
      <c r="N408">
        <v>1009</v>
      </c>
      <c r="O408" t="s">
        <v>288</v>
      </c>
      <c r="P408" t="s">
        <v>288</v>
      </c>
      <c r="Q408">
        <v>1000</v>
      </c>
      <c r="X408">
        <v>0.22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 t="s">
        <v>224</v>
      </c>
      <c r="AG408">
        <v>0.22</v>
      </c>
      <c r="AH408">
        <v>3</v>
      </c>
      <c r="AI408">
        <v>-1</v>
      </c>
      <c r="AJ408" t="s">
        <v>224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ROW(Source!A151)</f>
        <v>151</v>
      </c>
      <c r="B409">
        <v>16500433</v>
      </c>
      <c r="C409">
        <v>16500432</v>
      </c>
      <c r="D409">
        <v>15430767</v>
      </c>
      <c r="E409">
        <v>1</v>
      </c>
      <c r="F409">
        <v>1</v>
      </c>
      <c r="G409">
        <v>1</v>
      </c>
      <c r="H409">
        <v>1</v>
      </c>
      <c r="I409" t="s">
        <v>9</v>
      </c>
      <c r="J409" t="s">
        <v>224</v>
      </c>
      <c r="K409" t="s">
        <v>10</v>
      </c>
      <c r="L409">
        <v>1191</v>
      </c>
      <c r="N409">
        <v>1013</v>
      </c>
      <c r="O409" t="s">
        <v>628</v>
      </c>
      <c r="P409" t="s">
        <v>628</v>
      </c>
      <c r="Q409">
        <v>1</v>
      </c>
      <c r="X409">
        <v>36.71</v>
      </c>
      <c r="Y409">
        <v>0</v>
      </c>
      <c r="Z409">
        <v>0</v>
      </c>
      <c r="AA409">
        <v>0</v>
      </c>
      <c r="AB409">
        <v>8.5299999999999994</v>
      </c>
      <c r="AC409">
        <v>0</v>
      </c>
      <c r="AD409">
        <v>1</v>
      </c>
      <c r="AE409">
        <v>1</v>
      </c>
      <c r="AF409" t="s">
        <v>224</v>
      </c>
      <c r="AG409">
        <v>36.71</v>
      </c>
      <c r="AH409">
        <v>2</v>
      </c>
      <c r="AI409">
        <v>16500433</v>
      </c>
      <c r="AJ409">
        <v>385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ROW(Source!A151)</f>
        <v>151</v>
      </c>
      <c r="B410">
        <v>16500434</v>
      </c>
      <c r="C410">
        <v>16500432</v>
      </c>
      <c r="D410">
        <v>15430395</v>
      </c>
      <c r="E410">
        <v>1</v>
      </c>
      <c r="F410">
        <v>1</v>
      </c>
      <c r="G410">
        <v>1</v>
      </c>
      <c r="H410">
        <v>1</v>
      </c>
      <c r="I410" t="s">
        <v>629</v>
      </c>
      <c r="J410" t="s">
        <v>224</v>
      </c>
      <c r="K410" t="s">
        <v>630</v>
      </c>
      <c r="L410">
        <v>1191</v>
      </c>
      <c r="N410">
        <v>1013</v>
      </c>
      <c r="O410" t="s">
        <v>628</v>
      </c>
      <c r="P410" t="s">
        <v>628</v>
      </c>
      <c r="Q410">
        <v>1</v>
      </c>
      <c r="X410">
        <v>7.0000000000000007E-2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2</v>
      </c>
      <c r="AF410" t="s">
        <v>224</v>
      </c>
      <c r="AG410">
        <v>7.0000000000000007E-2</v>
      </c>
      <c r="AH410">
        <v>2</v>
      </c>
      <c r="AI410">
        <v>16500434</v>
      </c>
      <c r="AJ410">
        <v>386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ROW(Source!A151)</f>
        <v>151</v>
      </c>
      <c r="B411">
        <v>16500435</v>
      </c>
      <c r="C411">
        <v>16500432</v>
      </c>
      <c r="D411">
        <v>15247974</v>
      </c>
      <c r="E411">
        <v>1</v>
      </c>
      <c r="F411">
        <v>1</v>
      </c>
      <c r="G411">
        <v>1</v>
      </c>
      <c r="H411">
        <v>2</v>
      </c>
      <c r="I411" t="s">
        <v>640</v>
      </c>
      <c r="J411" t="s">
        <v>641</v>
      </c>
      <c r="K411" t="s">
        <v>642</v>
      </c>
      <c r="L411">
        <v>1368</v>
      </c>
      <c r="N411">
        <v>1011</v>
      </c>
      <c r="O411" t="s">
        <v>634</v>
      </c>
      <c r="P411" t="s">
        <v>634</v>
      </c>
      <c r="Q411">
        <v>1</v>
      </c>
      <c r="X411">
        <v>7.0000000000000007E-2</v>
      </c>
      <c r="Y411">
        <v>0</v>
      </c>
      <c r="Z411">
        <v>31.26</v>
      </c>
      <c r="AA411">
        <v>13.5</v>
      </c>
      <c r="AB411">
        <v>0</v>
      </c>
      <c r="AC411">
        <v>0</v>
      </c>
      <c r="AD411">
        <v>1</v>
      </c>
      <c r="AE411">
        <v>0</v>
      </c>
      <c r="AF411" t="s">
        <v>224</v>
      </c>
      <c r="AG411">
        <v>7.0000000000000007E-2</v>
      </c>
      <c r="AH411">
        <v>2</v>
      </c>
      <c r="AI411">
        <v>16500435</v>
      </c>
      <c r="AJ411">
        <v>387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ROW(Source!A151)</f>
        <v>151</v>
      </c>
      <c r="B412">
        <v>16500436</v>
      </c>
      <c r="C412">
        <v>16500432</v>
      </c>
      <c r="D412">
        <v>15164576</v>
      </c>
      <c r="E412">
        <v>17</v>
      </c>
      <c r="F412">
        <v>1</v>
      </c>
      <c r="G412">
        <v>1</v>
      </c>
      <c r="H412">
        <v>3</v>
      </c>
      <c r="I412" t="s">
        <v>64</v>
      </c>
      <c r="J412" t="s">
        <v>224</v>
      </c>
      <c r="K412" t="s">
        <v>103</v>
      </c>
      <c r="L412">
        <v>1348</v>
      </c>
      <c r="N412">
        <v>1009</v>
      </c>
      <c r="O412" t="s">
        <v>288</v>
      </c>
      <c r="P412" t="s">
        <v>288</v>
      </c>
      <c r="Q412">
        <v>1000</v>
      </c>
      <c r="X412">
        <v>0.22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224</v>
      </c>
      <c r="AG412">
        <v>0.22</v>
      </c>
      <c r="AH412">
        <v>3</v>
      </c>
      <c r="AI412">
        <v>-1</v>
      </c>
      <c r="AJ412" t="s">
        <v>224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ROW(Source!A152)</f>
        <v>152</v>
      </c>
      <c r="B413">
        <v>16500433</v>
      </c>
      <c r="C413">
        <v>16500432</v>
      </c>
      <c r="D413">
        <v>15430767</v>
      </c>
      <c r="E413">
        <v>1</v>
      </c>
      <c r="F413">
        <v>1</v>
      </c>
      <c r="G413">
        <v>1</v>
      </c>
      <c r="H413">
        <v>1</v>
      </c>
      <c r="I413" t="s">
        <v>9</v>
      </c>
      <c r="J413" t="s">
        <v>224</v>
      </c>
      <c r="K413" t="s">
        <v>10</v>
      </c>
      <c r="L413">
        <v>1191</v>
      </c>
      <c r="N413">
        <v>1013</v>
      </c>
      <c r="O413" t="s">
        <v>628</v>
      </c>
      <c r="P413" t="s">
        <v>628</v>
      </c>
      <c r="Q413">
        <v>1</v>
      </c>
      <c r="X413">
        <v>36.71</v>
      </c>
      <c r="Y413">
        <v>0</v>
      </c>
      <c r="Z413">
        <v>0</v>
      </c>
      <c r="AA413">
        <v>0</v>
      </c>
      <c r="AB413">
        <v>8.5299999999999994</v>
      </c>
      <c r="AC413">
        <v>0</v>
      </c>
      <c r="AD413">
        <v>1</v>
      </c>
      <c r="AE413">
        <v>1</v>
      </c>
      <c r="AF413" t="s">
        <v>224</v>
      </c>
      <c r="AG413">
        <v>36.71</v>
      </c>
      <c r="AH413">
        <v>2</v>
      </c>
      <c r="AI413">
        <v>16500433</v>
      </c>
      <c r="AJ413">
        <v>388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ROW(Source!A152)</f>
        <v>152</v>
      </c>
      <c r="B414">
        <v>16500434</v>
      </c>
      <c r="C414">
        <v>16500432</v>
      </c>
      <c r="D414">
        <v>15430395</v>
      </c>
      <c r="E414">
        <v>1</v>
      </c>
      <c r="F414">
        <v>1</v>
      </c>
      <c r="G414">
        <v>1</v>
      </c>
      <c r="H414">
        <v>1</v>
      </c>
      <c r="I414" t="s">
        <v>629</v>
      </c>
      <c r="J414" t="s">
        <v>224</v>
      </c>
      <c r="K414" t="s">
        <v>630</v>
      </c>
      <c r="L414">
        <v>1191</v>
      </c>
      <c r="N414">
        <v>1013</v>
      </c>
      <c r="O414" t="s">
        <v>628</v>
      </c>
      <c r="P414" t="s">
        <v>628</v>
      </c>
      <c r="Q414">
        <v>1</v>
      </c>
      <c r="X414">
        <v>7.0000000000000007E-2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224</v>
      </c>
      <c r="AG414">
        <v>7.0000000000000007E-2</v>
      </c>
      <c r="AH414">
        <v>2</v>
      </c>
      <c r="AI414">
        <v>16500434</v>
      </c>
      <c r="AJ414">
        <v>389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ROW(Source!A152)</f>
        <v>152</v>
      </c>
      <c r="B415">
        <v>16500435</v>
      </c>
      <c r="C415">
        <v>16500432</v>
      </c>
      <c r="D415">
        <v>15247974</v>
      </c>
      <c r="E415">
        <v>1</v>
      </c>
      <c r="F415">
        <v>1</v>
      </c>
      <c r="G415">
        <v>1</v>
      </c>
      <c r="H415">
        <v>2</v>
      </c>
      <c r="I415" t="s">
        <v>640</v>
      </c>
      <c r="J415" t="s">
        <v>641</v>
      </c>
      <c r="K415" t="s">
        <v>642</v>
      </c>
      <c r="L415">
        <v>1368</v>
      </c>
      <c r="N415">
        <v>1011</v>
      </c>
      <c r="O415" t="s">
        <v>634</v>
      </c>
      <c r="P415" t="s">
        <v>634</v>
      </c>
      <c r="Q415">
        <v>1</v>
      </c>
      <c r="X415">
        <v>7.0000000000000007E-2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224</v>
      </c>
      <c r="AG415">
        <v>7.0000000000000007E-2</v>
      </c>
      <c r="AH415">
        <v>2</v>
      </c>
      <c r="AI415">
        <v>16500435</v>
      </c>
      <c r="AJ415">
        <v>390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ROW(Source!A152)</f>
        <v>152</v>
      </c>
      <c r="B416">
        <v>16500436</v>
      </c>
      <c r="C416">
        <v>16500432</v>
      </c>
      <c r="D416">
        <v>15164576</v>
      </c>
      <c r="E416">
        <v>17</v>
      </c>
      <c r="F416">
        <v>1</v>
      </c>
      <c r="G416">
        <v>1</v>
      </c>
      <c r="H416">
        <v>3</v>
      </c>
      <c r="I416" t="s">
        <v>64</v>
      </c>
      <c r="J416" t="s">
        <v>224</v>
      </c>
      <c r="K416" t="s">
        <v>103</v>
      </c>
      <c r="L416">
        <v>1348</v>
      </c>
      <c r="N416">
        <v>1009</v>
      </c>
      <c r="O416" t="s">
        <v>288</v>
      </c>
      <c r="P416" t="s">
        <v>288</v>
      </c>
      <c r="Q416">
        <v>1000</v>
      </c>
      <c r="X416">
        <v>0.22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 t="s">
        <v>224</v>
      </c>
      <c r="AG416">
        <v>0.22</v>
      </c>
      <c r="AH416">
        <v>3</v>
      </c>
      <c r="AI416">
        <v>-1</v>
      </c>
      <c r="AJ416" t="s">
        <v>224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ROW(Source!A153)</f>
        <v>153</v>
      </c>
      <c r="B417">
        <v>16500439</v>
      </c>
      <c r="C417">
        <v>16500438</v>
      </c>
      <c r="D417">
        <v>15430767</v>
      </c>
      <c r="E417">
        <v>1</v>
      </c>
      <c r="F417">
        <v>1</v>
      </c>
      <c r="G417">
        <v>1</v>
      </c>
      <c r="H417">
        <v>1</v>
      </c>
      <c r="I417" t="s">
        <v>9</v>
      </c>
      <c r="J417" t="s">
        <v>224</v>
      </c>
      <c r="K417" t="s">
        <v>10</v>
      </c>
      <c r="L417">
        <v>1191</v>
      </c>
      <c r="N417">
        <v>1013</v>
      </c>
      <c r="O417" t="s">
        <v>628</v>
      </c>
      <c r="P417" t="s">
        <v>628</v>
      </c>
      <c r="Q417">
        <v>1</v>
      </c>
      <c r="X417">
        <v>51.3</v>
      </c>
      <c r="Y417">
        <v>0</v>
      </c>
      <c r="Z417">
        <v>0</v>
      </c>
      <c r="AA417">
        <v>0</v>
      </c>
      <c r="AB417">
        <v>8.5299999999999994</v>
      </c>
      <c r="AC417">
        <v>0</v>
      </c>
      <c r="AD417">
        <v>1</v>
      </c>
      <c r="AE417">
        <v>1</v>
      </c>
      <c r="AF417" t="s">
        <v>224</v>
      </c>
      <c r="AG417">
        <v>51.3</v>
      </c>
      <c r="AH417">
        <v>2</v>
      </c>
      <c r="AI417">
        <v>16500439</v>
      </c>
      <c r="AJ417">
        <v>391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ROW(Source!A153)</f>
        <v>153</v>
      </c>
      <c r="B418">
        <v>16500440</v>
      </c>
      <c r="C418">
        <v>16500438</v>
      </c>
      <c r="D418">
        <v>15430395</v>
      </c>
      <c r="E418">
        <v>1</v>
      </c>
      <c r="F418">
        <v>1</v>
      </c>
      <c r="G418">
        <v>1</v>
      </c>
      <c r="H418">
        <v>1</v>
      </c>
      <c r="I418" t="s">
        <v>629</v>
      </c>
      <c r="J418" t="s">
        <v>224</v>
      </c>
      <c r="K418" t="s">
        <v>630</v>
      </c>
      <c r="L418">
        <v>1191</v>
      </c>
      <c r="N418">
        <v>1013</v>
      </c>
      <c r="O418" t="s">
        <v>628</v>
      </c>
      <c r="P418" t="s">
        <v>628</v>
      </c>
      <c r="Q418">
        <v>1</v>
      </c>
      <c r="X418">
        <v>0.26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2</v>
      </c>
      <c r="AF418" t="s">
        <v>224</v>
      </c>
      <c r="AG418">
        <v>0.26</v>
      </c>
      <c r="AH418">
        <v>2</v>
      </c>
      <c r="AI418">
        <v>16500440</v>
      </c>
      <c r="AJ418">
        <v>392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ROW(Source!A153)</f>
        <v>153</v>
      </c>
      <c r="B419">
        <v>16500441</v>
      </c>
      <c r="C419">
        <v>16500438</v>
      </c>
      <c r="D419">
        <v>15247974</v>
      </c>
      <c r="E419">
        <v>1</v>
      </c>
      <c r="F419">
        <v>1</v>
      </c>
      <c r="G419">
        <v>1</v>
      </c>
      <c r="H419">
        <v>2</v>
      </c>
      <c r="I419" t="s">
        <v>640</v>
      </c>
      <c r="J419" t="s">
        <v>641</v>
      </c>
      <c r="K419" t="s">
        <v>642</v>
      </c>
      <c r="L419">
        <v>1368</v>
      </c>
      <c r="N419">
        <v>1011</v>
      </c>
      <c r="O419" t="s">
        <v>634</v>
      </c>
      <c r="P419" t="s">
        <v>634</v>
      </c>
      <c r="Q419">
        <v>1</v>
      </c>
      <c r="X419">
        <v>0.26</v>
      </c>
      <c r="Y419">
        <v>0</v>
      </c>
      <c r="Z419">
        <v>31.26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224</v>
      </c>
      <c r="AG419">
        <v>0.26</v>
      </c>
      <c r="AH419">
        <v>2</v>
      </c>
      <c r="AI419">
        <v>16500441</v>
      </c>
      <c r="AJ419">
        <v>393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ROW(Source!A153)</f>
        <v>153</v>
      </c>
      <c r="B420">
        <v>16500442</v>
      </c>
      <c r="C420">
        <v>16500438</v>
      </c>
      <c r="D420">
        <v>15164576</v>
      </c>
      <c r="E420">
        <v>17</v>
      </c>
      <c r="F420">
        <v>1</v>
      </c>
      <c r="G420">
        <v>1</v>
      </c>
      <c r="H420">
        <v>3</v>
      </c>
      <c r="I420" t="s">
        <v>64</v>
      </c>
      <c r="J420" t="s">
        <v>224</v>
      </c>
      <c r="K420" t="s">
        <v>103</v>
      </c>
      <c r="L420">
        <v>1348</v>
      </c>
      <c r="N420">
        <v>1009</v>
      </c>
      <c r="O420" t="s">
        <v>288</v>
      </c>
      <c r="P420" t="s">
        <v>288</v>
      </c>
      <c r="Q420">
        <v>1000</v>
      </c>
      <c r="X420">
        <v>1.82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 t="s">
        <v>224</v>
      </c>
      <c r="AG420">
        <v>1.82</v>
      </c>
      <c r="AH420">
        <v>3</v>
      </c>
      <c r="AI420">
        <v>-1</v>
      </c>
      <c r="AJ420" t="s">
        <v>224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ROW(Source!A154)</f>
        <v>154</v>
      </c>
      <c r="B421">
        <v>16500439</v>
      </c>
      <c r="C421">
        <v>16500438</v>
      </c>
      <c r="D421">
        <v>15430767</v>
      </c>
      <c r="E421">
        <v>1</v>
      </c>
      <c r="F421">
        <v>1</v>
      </c>
      <c r="G421">
        <v>1</v>
      </c>
      <c r="H421">
        <v>1</v>
      </c>
      <c r="I421" t="s">
        <v>9</v>
      </c>
      <c r="J421" t="s">
        <v>224</v>
      </c>
      <c r="K421" t="s">
        <v>10</v>
      </c>
      <c r="L421">
        <v>1191</v>
      </c>
      <c r="N421">
        <v>1013</v>
      </c>
      <c r="O421" t="s">
        <v>628</v>
      </c>
      <c r="P421" t="s">
        <v>628</v>
      </c>
      <c r="Q421">
        <v>1</v>
      </c>
      <c r="X421">
        <v>51.3</v>
      </c>
      <c r="Y421">
        <v>0</v>
      </c>
      <c r="Z421">
        <v>0</v>
      </c>
      <c r="AA421">
        <v>0</v>
      </c>
      <c r="AB421">
        <v>8.5299999999999994</v>
      </c>
      <c r="AC421">
        <v>0</v>
      </c>
      <c r="AD421">
        <v>1</v>
      </c>
      <c r="AE421">
        <v>1</v>
      </c>
      <c r="AF421" t="s">
        <v>224</v>
      </c>
      <c r="AG421">
        <v>51.3</v>
      </c>
      <c r="AH421">
        <v>2</v>
      </c>
      <c r="AI421">
        <v>16500439</v>
      </c>
      <c r="AJ421">
        <v>394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ROW(Source!A154)</f>
        <v>154</v>
      </c>
      <c r="B422">
        <v>16500440</v>
      </c>
      <c r="C422">
        <v>16500438</v>
      </c>
      <c r="D422">
        <v>15430395</v>
      </c>
      <c r="E422">
        <v>1</v>
      </c>
      <c r="F422">
        <v>1</v>
      </c>
      <c r="G422">
        <v>1</v>
      </c>
      <c r="H422">
        <v>1</v>
      </c>
      <c r="I422" t="s">
        <v>629</v>
      </c>
      <c r="J422" t="s">
        <v>224</v>
      </c>
      <c r="K422" t="s">
        <v>630</v>
      </c>
      <c r="L422">
        <v>1191</v>
      </c>
      <c r="N422">
        <v>1013</v>
      </c>
      <c r="O422" t="s">
        <v>628</v>
      </c>
      <c r="P422" t="s">
        <v>628</v>
      </c>
      <c r="Q422">
        <v>1</v>
      </c>
      <c r="X422">
        <v>0.26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2</v>
      </c>
      <c r="AF422" t="s">
        <v>224</v>
      </c>
      <c r="AG422">
        <v>0.26</v>
      </c>
      <c r="AH422">
        <v>2</v>
      </c>
      <c r="AI422">
        <v>16500440</v>
      </c>
      <c r="AJ422">
        <v>395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ROW(Source!A154)</f>
        <v>154</v>
      </c>
      <c r="B423">
        <v>16500441</v>
      </c>
      <c r="C423">
        <v>16500438</v>
      </c>
      <c r="D423">
        <v>15247974</v>
      </c>
      <c r="E423">
        <v>1</v>
      </c>
      <c r="F423">
        <v>1</v>
      </c>
      <c r="G423">
        <v>1</v>
      </c>
      <c r="H423">
        <v>2</v>
      </c>
      <c r="I423" t="s">
        <v>640</v>
      </c>
      <c r="J423" t="s">
        <v>641</v>
      </c>
      <c r="K423" t="s">
        <v>642</v>
      </c>
      <c r="L423">
        <v>1368</v>
      </c>
      <c r="N423">
        <v>1011</v>
      </c>
      <c r="O423" t="s">
        <v>634</v>
      </c>
      <c r="P423" t="s">
        <v>634</v>
      </c>
      <c r="Q423">
        <v>1</v>
      </c>
      <c r="X423">
        <v>0.26</v>
      </c>
      <c r="Y423">
        <v>0</v>
      </c>
      <c r="Z423">
        <v>31.26</v>
      </c>
      <c r="AA423">
        <v>13.5</v>
      </c>
      <c r="AB423">
        <v>0</v>
      </c>
      <c r="AC423">
        <v>0</v>
      </c>
      <c r="AD423">
        <v>1</v>
      </c>
      <c r="AE423">
        <v>0</v>
      </c>
      <c r="AF423" t="s">
        <v>224</v>
      </c>
      <c r="AG423">
        <v>0.26</v>
      </c>
      <c r="AH423">
        <v>2</v>
      </c>
      <c r="AI423">
        <v>16500441</v>
      </c>
      <c r="AJ423">
        <v>396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ROW(Source!A154)</f>
        <v>154</v>
      </c>
      <c r="B424">
        <v>16500442</v>
      </c>
      <c r="C424">
        <v>16500438</v>
      </c>
      <c r="D424">
        <v>15164576</v>
      </c>
      <c r="E424">
        <v>17</v>
      </c>
      <c r="F424">
        <v>1</v>
      </c>
      <c r="G424">
        <v>1</v>
      </c>
      <c r="H424">
        <v>3</v>
      </c>
      <c r="I424" t="s">
        <v>64</v>
      </c>
      <c r="J424" t="s">
        <v>224</v>
      </c>
      <c r="K424" t="s">
        <v>103</v>
      </c>
      <c r="L424">
        <v>1348</v>
      </c>
      <c r="N424">
        <v>1009</v>
      </c>
      <c r="O424" t="s">
        <v>288</v>
      </c>
      <c r="P424" t="s">
        <v>288</v>
      </c>
      <c r="Q424">
        <v>1000</v>
      </c>
      <c r="X424">
        <v>1.82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 t="s">
        <v>224</v>
      </c>
      <c r="AG424">
        <v>1.82</v>
      </c>
      <c r="AH424">
        <v>3</v>
      </c>
      <c r="AI424">
        <v>-1</v>
      </c>
      <c r="AJ424" t="s">
        <v>224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ROW(Source!A155)</f>
        <v>155</v>
      </c>
      <c r="B425">
        <v>16500445</v>
      </c>
      <c r="C425">
        <v>16500444</v>
      </c>
      <c r="D425">
        <v>15432258</v>
      </c>
      <c r="E425">
        <v>1</v>
      </c>
      <c r="F425">
        <v>1</v>
      </c>
      <c r="G425">
        <v>1</v>
      </c>
      <c r="H425">
        <v>1</v>
      </c>
      <c r="I425" t="s">
        <v>32</v>
      </c>
      <c r="J425" t="s">
        <v>224</v>
      </c>
      <c r="K425" t="s">
        <v>33</v>
      </c>
      <c r="L425">
        <v>1191</v>
      </c>
      <c r="N425">
        <v>1013</v>
      </c>
      <c r="O425" t="s">
        <v>628</v>
      </c>
      <c r="P425" t="s">
        <v>628</v>
      </c>
      <c r="Q425">
        <v>1</v>
      </c>
      <c r="X425">
        <v>68.8</v>
      </c>
      <c r="Y425">
        <v>0</v>
      </c>
      <c r="Z425">
        <v>0</v>
      </c>
      <c r="AA425">
        <v>0</v>
      </c>
      <c r="AB425">
        <v>8.4600000000000009</v>
      </c>
      <c r="AC425">
        <v>0</v>
      </c>
      <c r="AD425">
        <v>1</v>
      </c>
      <c r="AE425">
        <v>1</v>
      </c>
      <c r="AF425" t="s">
        <v>224</v>
      </c>
      <c r="AG425">
        <v>68.8</v>
      </c>
      <c r="AH425">
        <v>2</v>
      </c>
      <c r="AI425">
        <v>16500445</v>
      </c>
      <c r="AJ425">
        <v>397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ROW(Source!A155)</f>
        <v>155</v>
      </c>
      <c r="B426">
        <v>16500446</v>
      </c>
      <c r="C426">
        <v>16500444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629</v>
      </c>
      <c r="J426" t="s">
        <v>224</v>
      </c>
      <c r="K426" t="s">
        <v>630</v>
      </c>
      <c r="L426">
        <v>1191</v>
      </c>
      <c r="N426">
        <v>1013</v>
      </c>
      <c r="O426" t="s">
        <v>628</v>
      </c>
      <c r="P426" t="s">
        <v>628</v>
      </c>
      <c r="Q426">
        <v>1</v>
      </c>
      <c r="X426">
        <v>0.16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224</v>
      </c>
      <c r="AG426">
        <v>0.16</v>
      </c>
      <c r="AH426">
        <v>2</v>
      </c>
      <c r="AI426">
        <v>16500446</v>
      </c>
      <c r="AJ426">
        <v>398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ROW(Source!A155)</f>
        <v>155</v>
      </c>
      <c r="B427">
        <v>16500447</v>
      </c>
      <c r="C427">
        <v>16500444</v>
      </c>
      <c r="D427">
        <v>15247974</v>
      </c>
      <c r="E427">
        <v>1</v>
      </c>
      <c r="F427">
        <v>1</v>
      </c>
      <c r="G427">
        <v>1</v>
      </c>
      <c r="H427">
        <v>2</v>
      </c>
      <c r="I427" t="s">
        <v>640</v>
      </c>
      <c r="J427" t="s">
        <v>641</v>
      </c>
      <c r="K427" t="s">
        <v>642</v>
      </c>
      <c r="L427">
        <v>1368</v>
      </c>
      <c r="N427">
        <v>1011</v>
      </c>
      <c r="O427" t="s">
        <v>634</v>
      </c>
      <c r="P427" t="s">
        <v>634</v>
      </c>
      <c r="Q427">
        <v>1</v>
      </c>
      <c r="X427">
        <v>0.16</v>
      </c>
      <c r="Y427">
        <v>0</v>
      </c>
      <c r="Z427">
        <v>31.26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224</v>
      </c>
      <c r="AG427">
        <v>0.16</v>
      </c>
      <c r="AH427">
        <v>2</v>
      </c>
      <c r="AI427">
        <v>16500447</v>
      </c>
      <c r="AJ427">
        <v>399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ROW(Source!A155)</f>
        <v>155</v>
      </c>
      <c r="B428">
        <v>16500448</v>
      </c>
      <c r="C428">
        <v>16500444</v>
      </c>
      <c r="D428">
        <v>15164576</v>
      </c>
      <c r="E428">
        <v>17</v>
      </c>
      <c r="F428">
        <v>1</v>
      </c>
      <c r="G428">
        <v>1</v>
      </c>
      <c r="H428">
        <v>3</v>
      </c>
      <c r="I428" t="s">
        <v>64</v>
      </c>
      <c r="J428" t="s">
        <v>224</v>
      </c>
      <c r="K428" t="s">
        <v>103</v>
      </c>
      <c r="L428">
        <v>1348</v>
      </c>
      <c r="N428">
        <v>1009</v>
      </c>
      <c r="O428" t="s">
        <v>288</v>
      </c>
      <c r="P428" t="s">
        <v>288</v>
      </c>
      <c r="Q428">
        <v>1000</v>
      </c>
      <c r="X428">
        <v>0.59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 t="s">
        <v>224</v>
      </c>
      <c r="AG428">
        <v>0.59</v>
      </c>
      <c r="AH428">
        <v>3</v>
      </c>
      <c r="AI428">
        <v>-1</v>
      </c>
      <c r="AJ428" t="s">
        <v>224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ROW(Source!A156)</f>
        <v>156</v>
      </c>
      <c r="B429">
        <v>16500445</v>
      </c>
      <c r="C429">
        <v>16500444</v>
      </c>
      <c r="D429">
        <v>15432258</v>
      </c>
      <c r="E429">
        <v>1</v>
      </c>
      <c r="F429">
        <v>1</v>
      </c>
      <c r="G429">
        <v>1</v>
      </c>
      <c r="H429">
        <v>1</v>
      </c>
      <c r="I429" t="s">
        <v>32</v>
      </c>
      <c r="J429" t="s">
        <v>224</v>
      </c>
      <c r="K429" t="s">
        <v>33</v>
      </c>
      <c r="L429">
        <v>1191</v>
      </c>
      <c r="N429">
        <v>1013</v>
      </c>
      <c r="O429" t="s">
        <v>628</v>
      </c>
      <c r="P429" t="s">
        <v>628</v>
      </c>
      <c r="Q429">
        <v>1</v>
      </c>
      <c r="X429">
        <v>68.8</v>
      </c>
      <c r="Y429">
        <v>0</v>
      </c>
      <c r="Z429">
        <v>0</v>
      </c>
      <c r="AA429">
        <v>0</v>
      </c>
      <c r="AB429">
        <v>8.4600000000000009</v>
      </c>
      <c r="AC429">
        <v>0</v>
      </c>
      <c r="AD429">
        <v>1</v>
      </c>
      <c r="AE429">
        <v>1</v>
      </c>
      <c r="AF429" t="s">
        <v>224</v>
      </c>
      <c r="AG429">
        <v>68.8</v>
      </c>
      <c r="AH429">
        <v>2</v>
      </c>
      <c r="AI429">
        <v>16500445</v>
      </c>
      <c r="AJ429">
        <v>400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ROW(Source!A156)</f>
        <v>156</v>
      </c>
      <c r="B430">
        <v>16500446</v>
      </c>
      <c r="C430">
        <v>16500444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629</v>
      </c>
      <c r="J430" t="s">
        <v>224</v>
      </c>
      <c r="K430" t="s">
        <v>630</v>
      </c>
      <c r="L430">
        <v>1191</v>
      </c>
      <c r="N430">
        <v>1013</v>
      </c>
      <c r="O430" t="s">
        <v>628</v>
      </c>
      <c r="P430" t="s">
        <v>628</v>
      </c>
      <c r="Q430">
        <v>1</v>
      </c>
      <c r="X430">
        <v>0.16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2</v>
      </c>
      <c r="AF430" t="s">
        <v>224</v>
      </c>
      <c r="AG430">
        <v>0.16</v>
      </c>
      <c r="AH430">
        <v>2</v>
      </c>
      <c r="AI430">
        <v>16500446</v>
      </c>
      <c r="AJ430">
        <v>401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ROW(Source!A156)</f>
        <v>156</v>
      </c>
      <c r="B431">
        <v>16500447</v>
      </c>
      <c r="C431">
        <v>16500444</v>
      </c>
      <c r="D431">
        <v>15247974</v>
      </c>
      <c r="E431">
        <v>1</v>
      </c>
      <c r="F431">
        <v>1</v>
      </c>
      <c r="G431">
        <v>1</v>
      </c>
      <c r="H431">
        <v>2</v>
      </c>
      <c r="I431" t="s">
        <v>640</v>
      </c>
      <c r="J431" t="s">
        <v>641</v>
      </c>
      <c r="K431" t="s">
        <v>642</v>
      </c>
      <c r="L431">
        <v>1368</v>
      </c>
      <c r="N431">
        <v>1011</v>
      </c>
      <c r="O431" t="s">
        <v>634</v>
      </c>
      <c r="P431" t="s">
        <v>634</v>
      </c>
      <c r="Q431">
        <v>1</v>
      </c>
      <c r="X431">
        <v>0.16</v>
      </c>
      <c r="Y431">
        <v>0</v>
      </c>
      <c r="Z431">
        <v>31.26</v>
      </c>
      <c r="AA431">
        <v>13.5</v>
      </c>
      <c r="AB431">
        <v>0</v>
      </c>
      <c r="AC431">
        <v>0</v>
      </c>
      <c r="AD431">
        <v>1</v>
      </c>
      <c r="AE431">
        <v>0</v>
      </c>
      <c r="AF431" t="s">
        <v>224</v>
      </c>
      <c r="AG431">
        <v>0.16</v>
      </c>
      <c r="AH431">
        <v>2</v>
      </c>
      <c r="AI431">
        <v>16500447</v>
      </c>
      <c r="AJ431">
        <v>402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ROW(Source!A156)</f>
        <v>156</v>
      </c>
      <c r="B432">
        <v>16500448</v>
      </c>
      <c r="C432">
        <v>16500444</v>
      </c>
      <c r="D432">
        <v>15164576</v>
      </c>
      <c r="E432">
        <v>17</v>
      </c>
      <c r="F432">
        <v>1</v>
      </c>
      <c r="G432">
        <v>1</v>
      </c>
      <c r="H432">
        <v>3</v>
      </c>
      <c r="I432" t="s">
        <v>64</v>
      </c>
      <c r="J432" t="s">
        <v>224</v>
      </c>
      <c r="K432" t="s">
        <v>103</v>
      </c>
      <c r="L432">
        <v>1348</v>
      </c>
      <c r="N432">
        <v>1009</v>
      </c>
      <c r="O432" t="s">
        <v>288</v>
      </c>
      <c r="P432" t="s">
        <v>288</v>
      </c>
      <c r="Q432">
        <v>1000</v>
      </c>
      <c r="X432">
        <v>0.59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 t="s">
        <v>224</v>
      </c>
      <c r="AG432">
        <v>0.59</v>
      </c>
      <c r="AH432">
        <v>3</v>
      </c>
      <c r="AI432">
        <v>-1</v>
      </c>
      <c r="AJ432" t="s">
        <v>224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ROW(Source!A157)</f>
        <v>157</v>
      </c>
      <c r="B433">
        <v>16500451</v>
      </c>
      <c r="C433">
        <v>16500450</v>
      </c>
      <c r="D433">
        <v>15436556</v>
      </c>
      <c r="E433">
        <v>1</v>
      </c>
      <c r="F433">
        <v>1</v>
      </c>
      <c r="G433">
        <v>1</v>
      </c>
      <c r="H433">
        <v>1</v>
      </c>
      <c r="I433" t="s">
        <v>726</v>
      </c>
      <c r="J433" t="s">
        <v>224</v>
      </c>
      <c r="K433" t="s">
        <v>727</v>
      </c>
      <c r="L433">
        <v>1191</v>
      </c>
      <c r="N433">
        <v>1013</v>
      </c>
      <c r="O433" t="s">
        <v>628</v>
      </c>
      <c r="P433" t="s">
        <v>628</v>
      </c>
      <c r="Q433">
        <v>1</v>
      </c>
      <c r="X433">
        <v>32.97</v>
      </c>
      <c r="Y433">
        <v>0</v>
      </c>
      <c r="Z433">
        <v>0</v>
      </c>
      <c r="AA433">
        <v>0</v>
      </c>
      <c r="AB433">
        <v>9.6199999999999992</v>
      </c>
      <c r="AC433">
        <v>0</v>
      </c>
      <c r="AD433">
        <v>1</v>
      </c>
      <c r="AE433">
        <v>1</v>
      </c>
      <c r="AF433" t="s">
        <v>240</v>
      </c>
      <c r="AG433">
        <v>37.915499999999994</v>
      </c>
      <c r="AH433">
        <v>2</v>
      </c>
      <c r="AI433">
        <v>16500451</v>
      </c>
      <c r="AJ433">
        <v>403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ROW(Source!A157)</f>
        <v>157</v>
      </c>
      <c r="B434">
        <v>16500452</v>
      </c>
      <c r="C434">
        <v>16500450</v>
      </c>
      <c r="D434">
        <v>15430395</v>
      </c>
      <c r="E434">
        <v>1</v>
      </c>
      <c r="F434">
        <v>1</v>
      </c>
      <c r="G434">
        <v>1</v>
      </c>
      <c r="H434">
        <v>1</v>
      </c>
      <c r="I434" t="s">
        <v>629</v>
      </c>
      <c r="J434" t="s">
        <v>224</v>
      </c>
      <c r="K434" t="s">
        <v>630</v>
      </c>
      <c r="L434">
        <v>1191</v>
      </c>
      <c r="N434">
        <v>1013</v>
      </c>
      <c r="O434" t="s">
        <v>628</v>
      </c>
      <c r="P434" t="s">
        <v>628</v>
      </c>
      <c r="Q434">
        <v>1</v>
      </c>
      <c r="X434">
        <v>0.5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2</v>
      </c>
      <c r="AF434" t="s">
        <v>239</v>
      </c>
      <c r="AG434">
        <v>0.625</v>
      </c>
      <c r="AH434">
        <v>2</v>
      </c>
      <c r="AI434">
        <v>16500452</v>
      </c>
      <c r="AJ434">
        <v>404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ROW(Source!A157)</f>
        <v>157</v>
      </c>
      <c r="B435">
        <v>16500453</v>
      </c>
      <c r="C435">
        <v>16500450</v>
      </c>
      <c r="D435">
        <v>15247578</v>
      </c>
      <c r="E435">
        <v>1</v>
      </c>
      <c r="F435">
        <v>1</v>
      </c>
      <c r="G435">
        <v>1</v>
      </c>
      <c r="H435">
        <v>2</v>
      </c>
      <c r="I435" t="s">
        <v>11</v>
      </c>
      <c r="J435" t="s">
        <v>12</v>
      </c>
      <c r="K435" t="s">
        <v>13</v>
      </c>
      <c r="L435">
        <v>1368</v>
      </c>
      <c r="N435">
        <v>1011</v>
      </c>
      <c r="O435" t="s">
        <v>634</v>
      </c>
      <c r="P435" t="s">
        <v>634</v>
      </c>
      <c r="Q435">
        <v>1</v>
      </c>
      <c r="X435">
        <v>0.08</v>
      </c>
      <c r="Y435">
        <v>0</v>
      </c>
      <c r="Z435">
        <v>86.4</v>
      </c>
      <c r="AA435">
        <v>13.5</v>
      </c>
      <c r="AB435">
        <v>0</v>
      </c>
      <c r="AC435">
        <v>0</v>
      </c>
      <c r="AD435">
        <v>1</v>
      </c>
      <c r="AE435">
        <v>0</v>
      </c>
      <c r="AF435" t="s">
        <v>239</v>
      </c>
      <c r="AG435">
        <v>0.1</v>
      </c>
      <c r="AH435">
        <v>2</v>
      </c>
      <c r="AI435">
        <v>16500453</v>
      </c>
      <c r="AJ435">
        <v>405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ROW(Source!A157)</f>
        <v>157</v>
      </c>
      <c r="B436">
        <v>16500454</v>
      </c>
      <c r="C436">
        <v>16500450</v>
      </c>
      <c r="D436">
        <v>15247680</v>
      </c>
      <c r="E436">
        <v>1</v>
      </c>
      <c r="F436">
        <v>1</v>
      </c>
      <c r="G436">
        <v>1</v>
      </c>
      <c r="H436">
        <v>2</v>
      </c>
      <c r="I436" t="s">
        <v>670</v>
      </c>
      <c r="J436" t="s">
        <v>671</v>
      </c>
      <c r="K436" t="s">
        <v>672</v>
      </c>
      <c r="L436">
        <v>1368</v>
      </c>
      <c r="N436">
        <v>1011</v>
      </c>
      <c r="O436" t="s">
        <v>634</v>
      </c>
      <c r="P436" t="s">
        <v>634</v>
      </c>
      <c r="Q436">
        <v>1</v>
      </c>
      <c r="X436">
        <v>7.0000000000000007E-2</v>
      </c>
      <c r="Y436">
        <v>0</v>
      </c>
      <c r="Z436">
        <v>111.99</v>
      </c>
      <c r="AA436">
        <v>13.5</v>
      </c>
      <c r="AB436">
        <v>0</v>
      </c>
      <c r="AC436">
        <v>0</v>
      </c>
      <c r="AD436">
        <v>1</v>
      </c>
      <c r="AE436">
        <v>0</v>
      </c>
      <c r="AF436" t="s">
        <v>239</v>
      </c>
      <c r="AG436">
        <v>8.7500000000000008E-2</v>
      </c>
      <c r="AH436">
        <v>2</v>
      </c>
      <c r="AI436">
        <v>16500454</v>
      </c>
      <c r="AJ436">
        <v>406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ROW(Source!A157)</f>
        <v>157</v>
      </c>
      <c r="B437">
        <v>16500455</v>
      </c>
      <c r="C437">
        <v>16500450</v>
      </c>
      <c r="D437">
        <v>15249073</v>
      </c>
      <c r="E437">
        <v>1</v>
      </c>
      <c r="F437">
        <v>1</v>
      </c>
      <c r="G437">
        <v>1</v>
      </c>
      <c r="H437">
        <v>2</v>
      </c>
      <c r="I437" t="s">
        <v>631</v>
      </c>
      <c r="J437" t="s">
        <v>632</v>
      </c>
      <c r="K437" t="s">
        <v>633</v>
      </c>
      <c r="L437">
        <v>1368</v>
      </c>
      <c r="N437">
        <v>1011</v>
      </c>
      <c r="O437" t="s">
        <v>634</v>
      </c>
      <c r="P437" t="s">
        <v>634</v>
      </c>
      <c r="Q437">
        <v>1</v>
      </c>
      <c r="X437">
        <v>0.35</v>
      </c>
      <c r="Y437">
        <v>0</v>
      </c>
      <c r="Z437">
        <v>65.709999999999994</v>
      </c>
      <c r="AA437">
        <v>11.6</v>
      </c>
      <c r="AB437">
        <v>0</v>
      </c>
      <c r="AC437">
        <v>0</v>
      </c>
      <c r="AD437">
        <v>1</v>
      </c>
      <c r="AE437">
        <v>0</v>
      </c>
      <c r="AF437" t="s">
        <v>239</v>
      </c>
      <c r="AG437">
        <v>0.4375</v>
      </c>
      <c r="AH437">
        <v>2</v>
      </c>
      <c r="AI437">
        <v>16500455</v>
      </c>
      <c r="AJ437">
        <v>407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ROW(Source!A157)</f>
        <v>157</v>
      </c>
      <c r="B438">
        <v>16500456</v>
      </c>
      <c r="C438">
        <v>16500450</v>
      </c>
      <c r="D438">
        <v>15249308</v>
      </c>
      <c r="E438">
        <v>1</v>
      </c>
      <c r="F438">
        <v>1</v>
      </c>
      <c r="G438">
        <v>1</v>
      </c>
      <c r="H438">
        <v>2</v>
      </c>
      <c r="I438" t="s">
        <v>682</v>
      </c>
      <c r="J438" t="s">
        <v>683</v>
      </c>
      <c r="K438" t="s">
        <v>684</v>
      </c>
      <c r="L438">
        <v>1368</v>
      </c>
      <c r="N438">
        <v>1011</v>
      </c>
      <c r="O438" t="s">
        <v>634</v>
      </c>
      <c r="P438" t="s">
        <v>634</v>
      </c>
      <c r="Q438">
        <v>1</v>
      </c>
      <c r="X438">
        <v>1.1499999999999999</v>
      </c>
      <c r="Y438">
        <v>0</v>
      </c>
      <c r="Z438">
        <v>1.2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239</v>
      </c>
      <c r="AG438">
        <v>1.4375</v>
      </c>
      <c r="AH438">
        <v>2</v>
      </c>
      <c r="AI438">
        <v>16500456</v>
      </c>
      <c r="AJ438">
        <v>408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ROW(Source!A157)</f>
        <v>157</v>
      </c>
      <c r="B439">
        <v>16500457</v>
      </c>
      <c r="C439">
        <v>16500450</v>
      </c>
      <c r="D439">
        <v>15165635</v>
      </c>
      <c r="E439">
        <v>1</v>
      </c>
      <c r="F439">
        <v>1</v>
      </c>
      <c r="G439">
        <v>1</v>
      </c>
      <c r="H439">
        <v>3</v>
      </c>
      <c r="I439" t="s">
        <v>34</v>
      </c>
      <c r="J439" t="s">
        <v>35</v>
      </c>
      <c r="K439" t="s">
        <v>36</v>
      </c>
      <c r="L439">
        <v>1348</v>
      </c>
      <c r="N439">
        <v>1009</v>
      </c>
      <c r="O439" t="s">
        <v>288</v>
      </c>
      <c r="P439" t="s">
        <v>288</v>
      </c>
      <c r="Q439">
        <v>1000</v>
      </c>
      <c r="X439">
        <v>1.2999999999999999E-4</v>
      </c>
      <c r="Y439">
        <v>32830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224</v>
      </c>
      <c r="AG439">
        <v>1.2999999999999999E-4</v>
      </c>
      <c r="AH439">
        <v>2</v>
      </c>
      <c r="AI439">
        <v>16500457</v>
      </c>
      <c r="AJ439">
        <v>409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ROW(Source!A157)</f>
        <v>157</v>
      </c>
      <c r="B440">
        <v>16500458</v>
      </c>
      <c r="C440">
        <v>16500450</v>
      </c>
      <c r="D440">
        <v>15165653</v>
      </c>
      <c r="E440">
        <v>1</v>
      </c>
      <c r="F440">
        <v>1</v>
      </c>
      <c r="G440">
        <v>1</v>
      </c>
      <c r="H440">
        <v>3</v>
      </c>
      <c r="I440" t="s">
        <v>688</v>
      </c>
      <c r="J440" t="s">
        <v>689</v>
      </c>
      <c r="K440" t="s">
        <v>690</v>
      </c>
      <c r="L440">
        <v>1339</v>
      </c>
      <c r="N440">
        <v>1007</v>
      </c>
      <c r="O440" t="s">
        <v>691</v>
      </c>
      <c r="P440" t="s">
        <v>691</v>
      </c>
      <c r="Q440">
        <v>1</v>
      </c>
      <c r="X440">
        <v>0.28100000000000003</v>
      </c>
      <c r="Y440">
        <v>6.22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224</v>
      </c>
      <c r="AG440">
        <v>0.28100000000000003</v>
      </c>
      <c r="AH440">
        <v>2</v>
      </c>
      <c r="AI440">
        <v>16500458</v>
      </c>
      <c r="AJ440">
        <v>410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ROW(Source!A157)</f>
        <v>157</v>
      </c>
      <c r="B441">
        <v>16500459</v>
      </c>
      <c r="C441">
        <v>16500450</v>
      </c>
      <c r="D441">
        <v>15167286</v>
      </c>
      <c r="E441">
        <v>1</v>
      </c>
      <c r="F441">
        <v>1</v>
      </c>
      <c r="G441">
        <v>1</v>
      </c>
      <c r="H441">
        <v>3</v>
      </c>
      <c r="I441" t="s">
        <v>778</v>
      </c>
      <c r="J441" t="s">
        <v>779</v>
      </c>
      <c r="K441" t="s">
        <v>780</v>
      </c>
      <c r="L441">
        <v>1339</v>
      </c>
      <c r="N441">
        <v>1007</v>
      </c>
      <c r="O441" t="s">
        <v>691</v>
      </c>
      <c r="P441" t="s">
        <v>691</v>
      </c>
      <c r="Q441">
        <v>1</v>
      </c>
      <c r="X441">
        <v>0.44</v>
      </c>
      <c r="Y441">
        <v>2.44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224</v>
      </c>
      <c r="AG441">
        <v>0.44</v>
      </c>
      <c r="AH441">
        <v>2</v>
      </c>
      <c r="AI441">
        <v>16500459</v>
      </c>
      <c r="AJ441">
        <v>411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ROW(Source!A157)</f>
        <v>157</v>
      </c>
      <c r="B442">
        <v>16500460</v>
      </c>
      <c r="C442">
        <v>16500450</v>
      </c>
      <c r="D442">
        <v>15167963</v>
      </c>
      <c r="E442">
        <v>1</v>
      </c>
      <c r="F442">
        <v>1</v>
      </c>
      <c r="G442">
        <v>1</v>
      </c>
      <c r="H442">
        <v>3</v>
      </c>
      <c r="I442" t="s">
        <v>37</v>
      </c>
      <c r="J442" t="s">
        <v>38</v>
      </c>
      <c r="K442" t="s">
        <v>39</v>
      </c>
      <c r="L442">
        <v>1346</v>
      </c>
      <c r="N442">
        <v>1009</v>
      </c>
      <c r="O442" t="s">
        <v>303</v>
      </c>
      <c r="P442" t="s">
        <v>303</v>
      </c>
      <c r="Q442">
        <v>1</v>
      </c>
      <c r="X442">
        <v>0.06</v>
      </c>
      <c r="Y442">
        <v>37.29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224</v>
      </c>
      <c r="AG442">
        <v>0.06</v>
      </c>
      <c r="AH442">
        <v>2</v>
      </c>
      <c r="AI442">
        <v>16500460</v>
      </c>
      <c r="AJ442">
        <v>412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ROW(Source!A157)</f>
        <v>157</v>
      </c>
      <c r="B443">
        <v>16500461</v>
      </c>
      <c r="C443">
        <v>16500450</v>
      </c>
      <c r="D443">
        <v>15168695</v>
      </c>
      <c r="E443">
        <v>1</v>
      </c>
      <c r="F443">
        <v>1</v>
      </c>
      <c r="G443">
        <v>1</v>
      </c>
      <c r="H443">
        <v>3</v>
      </c>
      <c r="I443" t="s">
        <v>40</v>
      </c>
      <c r="J443" t="s">
        <v>41</v>
      </c>
      <c r="K443" t="s">
        <v>42</v>
      </c>
      <c r="L443">
        <v>1348</v>
      </c>
      <c r="N443">
        <v>1009</v>
      </c>
      <c r="O443" t="s">
        <v>288</v>
      </c>
      <c r="P443" t="s">
        <v>288</v>
      </c>
      <c r="Q443">
        <v>1000</v>
      </c>
      <c r="X443">
        <v>1.7000000000000001E-4</v>
      </c>
      <c r="Y443">
        <v>13560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224</v>
      </c>
      <c r="AG443">
        <v>1.7000000000000001E-4</v>
      </c>
      <c r="AH443">
        <v>2</v>
      </c>
      <c r="AI443">
        <v>16500461</v>
      </c>
      <c r="AJ443">
        <v>413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ROW(Source!A157)</f>
        <v>157</v>
      </c>
      <c r="B444">
        <v>16500462</v>
      </c>
      <c r="C444">
        <v>16500450</v>
      </c>
      <c r="D444">
        <v>15172018</v>
      </c>
      <c r="E444">
        <v>1</v>
      </c>
      <c r="F444">
        <v>1</v>
      </c>
      <c r="G444">
        <v>1</v>
      </c>
      <c r="H444">
        <v>3</v>
      </c>
      <c r="I444" t="s">
        <v>43</v>
      </c>
      <c r="J444" t="s">
        <v>44</v>
      </c>
      <c r="K444" t="s">
        <v>45</v>
      </c>
      <c r="L444">
        <v>1346</v>
      </c>
      <c r="N444">
        <v>1009</v>
      </c>
      <c r="O444" t="s">
        <v>303</v>
      </c>
      <c r="P444" t="s">
        <v>303</v>
      </c>
      <c r="Q444">
        <v>1</v>
      </c>
      <c r="X444">
        <v>1.6000000000000001E-3</v>
      </c>
      <c r="Y444">
        <v>2.15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224</v>
      </c>
      <c r="AG444">
        <v>1.6000000000000001E-3</v>
      </c>
      <c r="AH444">
        <v>2</v>
      </c>
      <c r="AI444">
        <v>16500462</v>
      </c>
      <c r="AJ444">
        <v>414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ROW(Source!A157)</f>
        <v>157</v>
      </c>
      <c r="B445">
        <v>16500463</v>
      </c>
      <c r="C445">
        <v>16500450</v>
      </c>
      <c r="D445">
        <v>15203740</v>
      </c>
      <c r="E445">
        <v>1</v>
      </c>
      <c r="F445">
        <v>1</v>
      </c>
      <c r="G445">
        <v>1</v>
      </c>
      <c r="H445">
        <v>3</v>
      </c>
      <c r="I445" t="s">
        <v>796</v>
      </c>
      <c r="J445" t="s">
        <v>797</v>
      </c>
      <c r="K445" t="s">
        <v>798</v>
      </c>
      <c r="L445">
        <v>1348</v>
      </c>
      <c r="N445">
        <v>1009</v>
      </c>
      <c r="O445" t="s">
        <v>288</v>
      </c>
      <c r="P445" t="s">
        <v>288</v>
      </c>
      <c r="Q445">
        <v>1000</v>
      </c>
      <c r="X445">
        <v>4.4000000000000002E-4</v>
      </c>
      <c r="Y445">
        <v>15119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224</v>
      </c>
      <c r="AG445">
        <v>4.4000000000000002E-4</v>
      </c>
      <c r="AH445">
        <v>2</v>
      </c>
      <c r="AI445">
        <v>16500463</v>
      </c>
      <c r="AJ445">
        <v>415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ROW(Source!A157)</f>
        <v>157</v>
      </c>
      <c r="B446">
        <v>16500464</v>
      </c>
      <c r="C446">
        <v>16500450</v>
      </c>
      <c r="D446">
        <v>15204468</v>
      </c>
      <c r="E446">
        <v>1</v>
      </c>
      <c r="F446">
        <v>1</v>
      </c>
      <c r="G446">
        <v>1</v>
      </c>
      <c r="H446">
        <v>3</v>
      </c>
      <c r="I446" t="s">
        <v>46</v>
      </c>
      <c r="J446" t="s">
        <v>47</v>
      </c>
      <c r="K446" t="s">
        <v>48</v>
      </c>
      <c r="L446">
        <v>1348</v>
      </c>
      <c r="N446">
        <v>1009</v>
      </c>
      <c r="O446" t="s">
        <v>288</v>
      </c>
      <c r="P446" t="s">
        <v>288</v>
      </c>
      <c r="Q446">
        <v>1000</v>
      </c>
      <c r="X446">
        <v>5.2999999999999998E-4</v>
      </c>
      <c r="Y446">
        <v>16950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224</v>
      </c>
      <c r="AG446">
        <v>5.2999999999999998E-4</v>
      </c>
      <c r="AH446">
        <v>2</v>
      </c>
      <c r="AI446">
        <v>16500464</v>
      </c>
      <c r="AJ446">
        <v>416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ROW(Source!A157)</f>
        <v>157</v>
      </c>
      <c r="B447">
        <v>16500465</v>
      </c>
      <c r="C447">
        <v>16500450</v>
      </c>
      <c r="D447">
        <v>15163127</v>
      </c>
      <c r="E447">
        <v>17</v>
      </c>
      <c r="F447">
        <v>1</v>
      </c>
      <c r="G447">
        <v>1</v>
      </c>
      <c r="H447">
        <v>3</v>
      </c>
      <c r="I447" t="s">
        <v>104</v>
      </c>
      <c r="J447" t="s">
        <v>224</v>
      </c>
      <c r="K447" t="s">
        <v>105</v>
      </c>
      <c r="L447">
        <v>1354</v>
      </c>
      <c r="N447">
        <v>1010</v>
      </c>
      <c r="O447" t="s">
        <v>413</v>
      </c>
      <c r="P447" t="s">
        <v>413</v>
      </c>
      <c r="Q447">
        <v>1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1</v>
      </c>
      <c r="AD447">
        <v>0</v>
      </c>
      <c r="AE447">
        <v>0</v>
      </c>
      <c r="AF447" t="s">
        <v>224</v>
      </c>
      <c r="AG447">
        <v>0</v>
      </c>
      <c r="AH447">
        <v>3</v>
      </c>
      <c r="AI447">
        <v>-1</v>
      </c>
      <c r="AJ447" t="s">
        <v>224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ROW(Source!A157)</f>
        <v>157</v>
      </c>
      <c r="B448">
        <v>16500466</v>
      </c>
      <c r="C448">
        <v>16500450</v>
      </c>
      <c r="D448">
        <v>15163115</v>
      </c>
      <c r="E448">
        <v>17</v>
      </c>
      <c r="F448">
        <v>1</v>
      </c>
      <c r="G448">
        <v>1</v>
      </c>
      <c r="H448">
        <v>3</v>
      </c>
      <c r="I448" t="s">
        <v>106</v>
      </c>
      <c r="J448" t="s">
        <v>224</v>
      </c>
      <c r="K448" t="s">
        <v>107</v>
      </c>
      <c r="L448">
        <v>1346</v>
      </c>
      <c r="N448">
        <v>1009</v>
      </c>
      <c r="O448" t="s">
        <v>303</v>
      </c>
      <c r="P448" t="s">
        <v>303</v>
      </c>
      <c r="Q448">
        <v>1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1</v>
      </c>
      <c r="AD448">
        <v>0</v>
      </c>
      <c r="AE448">
        <v>0</v>
      </c>
      <c r="AF448" t="s">
        <v>224</v>
      </c>
      <c r="AG448">
        <v>0</v>
      </c>
      <c r="AH448">
        <v>3</v>
      </c>
      <c r="AI448">
        <v>-1</v>
      </c>
      <c r="AJ448" t="s">
        <v>224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ROW(Source!A157)</f>
        <v>157</v>
      </c>
      <c r="B449">
        <v>16500467</v>
      </c>
      <c r="C449">
        <v>16500450</v>
      </c>
      <c r="D449">
        <v>15163128</v>
      </c>
      <c r="E449">
        <v>17</v>
      </c>
      <c r="F449">
        <v>1</v>
      </c>
      <c r="G449">
        <v>1</v>
      </c>
      <c r="H449">
        <v>3</v>
      </c>
      <c r="I449" t="s">
        <v>108</v>
      </c>
      <c r="J449" t="s">
        <v>224</v>
      </c>
      <c r="K449" t="s">
        <v>109</v>
      </c>
      <c r="L449">
        <v>1301</v>
      </c>
      <c r="N449">
        <v>1003</v>
      </c>
      <c r="O449" t="s">
        <v>351</v>
      </c>
      <c r="P449" t="s">
        <v>351</v>
      </c>
      <c r="Q449">
        <v>1</v>
      </c>
      <c r="X449">
        <v>100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 t="s">
        <v>224</v>
      </c>
      <c r="AG449">
        <v>100</v>
      </c>
      <c r="AH449">
        <v>3</v>
      </c>
      <c r="AI449">
        <v>-1</v>
      </c>
      <c r="AJ449" t="s">
        <v>224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ROW(Source!A158)</f>
        <v>158</v>
      </c>
      <c r="B450">
        <v>16500451</v>
      </c>
      <c r="C450">
        <v>16500450</v>
      </c>
      <c r="D450">
        <v>15436556</v>
      </c>
      <c r="E450">
        <v>1</v>
      </c>
      <c r="F450">
        <v>1</v>
      </c>
      <c r="G450">
        <v>1</v>
      </c>
      <c r="H450">
        <v>1</v>
      </c>
      <c r="I450" t="s">
        <v>726</v>
      </c>
      <c r="J450" t="s">
        <v>224</v>
      </c>
      <c r="K450" t="s">
        <v>727</v>
      </c>
      <c r="L450">
        <v>1191</v>
      </c>
      <c r="N450">
        <v>1013</v>
      </c>
      <c r="O450" t="s">
        <v>628</v>
      </c>
      <c r="P450" t="s">
        <v>628</v>
      </c>
      <c r="Q450">
        <v>1</v>
      </c>
      <c r="X450">
        <v>32.97</v>
      </c>
      <c r="Y450">
        <v>0</v>
      </c>
      <c r="Z450">
        <v>0</v>
      </c>
      <c r="AA450">
        <v>0</v>
      </c>
      <c r="AB450">
        <v>9.6199999999999992</v>
      </c>
      <c r="AC450">
        <v>0</v>
      </c>
      <c r="AD450">
        <v>1</v>
      </c>
      <c r="AE450">
        <v>1</v>
      </c>
      <c r="AF450" t="s">
        <v>240</v>
      </c>
      <c r="AG450">
        <v>37.915499999999994</v>
      </c>
      <c r="AH450">
        <v>2</v>
      </c>
      <c r="AI450">
        <v>16500451</v>
      </c>
      <c r="AJ450">
        <v>418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ROW(Source!A158)</f>
        <v>158</v>
      </c>
      <c r="B451">
        <v>16500452</v>
      </c>
      <c r="C451">
        <v>16500450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629</v>
      </c>
      <c r="J451" t="s">
        <v>224</v>
      </c>
      <c r="K451" t="s">
        <v>630</v>
      </c>
      <c r="L451">
        <v>1191</v>
      </c>
      <c r="N451">
        <v>1013</v>
      </c>
      <c r="O451" t="s">
        <v>628</v>
      </c>
      <c r="P451" t="s">
        <v>628</v>
      </c>
      <c r="Q451">
        <v>1</v>
      </c>
      <c r="X451">
        <v>0.5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2</v>
      </c>
      <c r="AF451" t="s">
        <v>239</v>
      </c>
      <c r="AG451">
        <v>0.625</v>
      </c>
      <c r="AH451">
        <v>2</v>
      </c>
      <c r="AI451">
        <v>16500452</v>
      </c>
      <c r="AJ451">
        <v>419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ROW(Source!A158)</f>
        <v>158</v>
      </c>
      <c r="B452">
        <v>16500453</v>
      </c>
      <c r="C452">
        <v>16500450</v>
      </c>
      <c r="D452">
        <v>15247578</v>
      </c>
      <c r="E452">
        <v>1</v>
      </c>
      <c r="F452">
        <v>1</v>
      </c>
      <c r="G452">
        <v>1</v>
      </c>
      <c r="H452">
        <v>2</v>
      </c>
      <c r="I452" t="s">
        <v>11</v>
      </c>
      <c r="J452" t="s">
        <v>12</v>
      </c>
      <c r="K452" t="s">
        <v>13</v>
      </c>
      <c r="L452">
        <v>1368</v>
      </c>
      <c r="N452">
        <v>1011</v>
      </c>
      <c r="O452" t="s">
        <v>634</v>
      </c>
      <c r="P452" t="s">
        <v>634</v>
      </c>
      <c r="Q452">
        <v>1</v>
      </c>
      <c r="X452">
        <v>0.08</v>
      </c>
      <c r="Y452">
        <v>0</v>
      </c>
      <c r="Z452">
        <v>86.4</v>
      </c>
      <c r="AA452">
        <v>13.5</v>
      </c>
      <c r="AB452">
        <v>0</v>
      </c>
      <c r="AC452">
        <v>0</v>
      </c>
      <c r="AD452">
        <v>1</v>
      </c>
      <c r="AE452">
        <v>0</v>
      </c>
      <c r="AF452" t="s">
        <v>239</v>
      </c>
      <c r="AG452">
        <v>0.1</v>
      </c>
      <c r="AH452">
        <v>2</v>
      </c>
      <c r="AI452">
        <v>16500453</v>
      </c>
      <c r="AJ452">
        <v>420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ROW(Source!A158)</f>
        <v>158</v>
      </c>
      <c r="B453">
        <v>16500454</v>
      </c>
      <c r="C453">
        <v>16500450</v>
      </c>
      <c r="D453">
        <v>15247680</v>
      </c>
      <c r="E453">
        <v>1</v>
      </c>
      <c r="F453">
        <v>1</v>
      </c>
      <c r="G453">
        <v>1</v>
      </c>
      <c r="H453">
        <v>2</v>
      </c>
      <c r="I453" t="s">
        <v>670</v>
      </c>
      <c r="J453" t="s">
        <v>671</v>
      </c>
      <c r="K453" t="s">
        <v>672</v>
      </c>
      <c r="L453">
        <v>1368</v>
      </c>
      <c r="N453">
        <v>1011</v>
      </c>
      <c r="O453" t="s">
        <v>634</v>
      </c>
      <c r="P453" t="s">
        <v>634</v>
      </c>
      <c r="Q453">
        <v>1</v>
      </c>
      <c r="X453">
        <v>7.0000000000000007E-2</v>
      </c>
      <c r="Y453">
        <v>0</v>
      </c>
      <c r="Z453">
        <v>111.99</v>
      </c>
      <c r="AA453">
        <v>13.5</v>
      </c>
      <c r="AB453">
        <v>0</v>
      </c>
      <c r="AC453">
        <v>0</v>
      </c>
      <c r="AD453">
        <v>1</v>
      </c>
      <c r="AE453">
        <v>0</v>
      </c>
      <c r="AF453" t="s">
        <v>239</v>
      </c>
      <c r="AG453">
        <v>8.7500000000000008E-2</v>
      </c>
      <c r="AH453">
        <v>2</v>
      </c>
      <c r="AI453">
        <v>16500454</v>
      </c>
      <c r="AJ453">
        <v>421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ROW(Source!A158)</f>
        <v>158</v>
      </c>
      <c r="B454">
        <v>16500455</v>
      </c>
      <c r="C454">
        <v>16500450</v>
      </c>
      <c r="D454">
        <v>15249073</v>
      </c>
      <c r="E454">
        <v>1</v>
      </c>
      <c r="F454">
        <v>1</v>
      </c>
      <c r="G454">
        <v>1</v>
      </c>
      <c r="H454">
        <v>2</v>
      </c>
      <c r="I454" t="s">
        <v>631</v>
      </c>
      <c r="J454" t="s">
        <v>632</v>
      </c>
      <c r="K454" t="s">
        <v>633</v>
      </c>
      <c r="L454">
        <v>1368</v>
      </c>
      <c r="N454">
        <v>1011</v>
      </c>
      <c r="O454" t="s">
        <v>634</v>
      </c>
      <c r="P454" t="s">
        <v>634</v>
      </c>
      <c r="Q454">
        <v>1</v>
      </c>
      <c r="X454">
        <v>0.35</v>
      </c>
      <c r="Y454">
        <v>0</v>
      </c>
      <c r="Z454">
        <v>65.709999999999994</v>
      </c>
      <c r="AA454">
        <v>11.6</v>
      </c>
      <c r="AB454">
        <v>0</v>
      </c>
      <c r="AC454">
        <v>0</v>
      </c>
      <c r="AD454">
        <v>1</v>
      </c>
      <c r="AE454">
        <v>0</v>
      </c>
      <c r="AF454" t="s">
        <v>239</v>
      </c>
      <c r="AG454">
        <v>0.4375</v>
      </c>
      <c r="AH454">
        <v>2</v>
      </c>
      <c r="AI454">
        <v>16500455</v>
      </c>
      <c r="AJ454">
        <v>422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ROW(Source!A158)</f>
        <v>158</v>
      </c>
      <c r="B455">
        <v>16500456</v>
      </c>
      <c r="C455">
        <v>16500450</v>
      </c>
      <c r="D455">
        <v>15249308</v>
      </c>
      <c r="E455">
        <v>1</v>
      </c>
      <c r="F455">
        <v>1</v>
      </c>
      <c r="G455">
        <v>1</v>
      </c>
      <c r="H455">
        <v>2</v>
      </c>
      <c r="I455" t="s">
        <v>682</v>
      </c>
      <c r="J455" t="s">
        <v>683</v>
      </c>
      <c r="K455" t="s">
        <v>684</v>
      </c>
      <c r="L455">
        <v>1368</v>
      </c>
      <c r="N455">
        <v>1011</v>
      </c>
      <c r="O455" t="s">
        <v>634</v>
      </c>
      <c r="P455" t="s">
        <v>634</v>
      </c>
      <c r="Q455">
        <v>1</v>
      </c>
      <c r="X455">
        <v>1.1499999999999999</v>
      </c>
      <c r="Y455">
        <v>0</v>
      </c>
      <c r="Z455">
        <v>1.2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239</v>
      </c>
      <c r="AG455">
        <v>1.4375</v>
      </c>
      <c r="AH455">
        <v>2</v>
      </c>
      <c r="AI455">
        <v>16500456</v>
      </c>
      <c r="AJ455">
        <v>423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ROW(Source!A158)</f>
        <v>158</v>
      </c>
      <c r="B456">
        <v>16500457</v>
      </c>
      <c r="C456">
        <v>16500450</v>
      </c>
      <c r="D456">
        <v>15165635</v>
      </c>
      <c r="E456">
        <v>1</v>
      </c>
      <c r="F456">
        <v>1</v>
      </c>
      <c r="G456">
        <v>1</v>
      </c>
      <c r="H456">
        <v>3</v>
      </c>
      <c r="I456" t="s">
        <v>34</v>
      </c>
      <c r="J456" t="s">
        <v>35</v>
      </c>
      <c r="K456" t="s">
        <v>36</v>
      </c>
      <c r="L456">
        <v>1348</v>
      </c>
      <c r="N456">
        <v>1009</v>
      </c>
      <c r="O456" t="s">
        <v>288</v>
      </c>
      <c r="P456" t="s">
        <v>288</v>
      </c>
      <c r="Q456">
        <v>1000</v>
      </c>
      <c r="X456">
        <v>1.2999999999999999E-4</v>
      </c>
      <c r="Y456">
        <v>32830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224</v>
      </c>
      <c r="AG456">
        <v>1.2999999999999999E-4</v>
      </c>
      <c r="AH456">
        <v>2</v>
      </c>
      <c r="AI456">
        <v>16500457</v>
      </c>
      <c r="AJ456">
        <v>424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ROW(Source!A158)</f>
        <v>158</v>
      </c>
      <c r="B457">
        <v>16500458</v>
      </c>
      <c r="C457">
        <v>16500450</v>
      </c>
      <c r="D457">
        <v>15165653</v>
      </c>
      <c r="E457">
        <v>1</v>
      </c>
      <c r="F457">
        <v>1</v>
      </c>
      <c r="G457">
        <v>1</v>
      </c>
      <c r="H457">
        <v>3</v>
      </c>
      <c r="I457" t="s">
        <v>688</v>
      </c>
      <c r="J457" t="s">
        <v>689</v>
      </c>
      <c r="K457" t="s">
        <v>690</v>
      </c>
      <c r="L457">
        <v>1339</v>
      </c>
      <c r="N457">
        <v>1007</v>
      </c>
      <c r="O457" t="s">
        <v>691</v>
      </c>
      <c r="P457" t="s">
        <v>691</v>
      </c>
      <c r="Q457">
        <v>1</v>
      </c>
      <c r="X457">
        <v>0.28100000000000003</v>
      </c>
      <c r="Y457">
        <v>6.22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224</v>
      </c>
      <c r="AG457">
        <v>0.28100000000000003</v>
      </c>
      <c r="AH457">
        <v>2</v>
      </c>
      <c r="AI457">
        <v>16500458</v>
      </c>
      <c r="AJ457">
        <v>425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ROW(Source!A158)</f>
        <v>158</v>
      </c>
      <c r="B458">
        <v>16500459</v>
      </c>
      <c r="C458">
        <v>16500450</v>
      </c>
      <c r="D458">
        <v>15167286</v>
      </c>
      <c r="E458">
        <v>1</v>
      </c>
      <c r="F458">
        <v>1</v>
      </c>
      <c r="G458">
        <v>1</v>
      </c>
      <c r="H458">
        <v>3</v>
      </c>
      <c r="I458" t="s">
        <v>778</v>
      </c>
      <c r="J458" t="s">
        <v>779</v>
      </c>
      <c r="K458" t="s">
        <v>780</v>
      </c>
      <c r="L458">
        <v>1339</v>
      </c>
      <c r="N458">
        <v>1007</v>
      </c>
      <c r="O458" t="s">
        <v>691</v>
      </c>
      <c r="P458" t="s">
        <v>691</v>
      </c>
      <c r="Q458">
        <v>1</v>
      </c>
      <c r="X458">
        <v>0.44</v>
      </c>
      <c r="Y458">
        <v>2.44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224</v>
      </c>
      <c r="AG458">
        <v>0.44</v>
      </c>
      <c r="AH458">
        <v>2</v>
      </c>
      <c r="AI458">
        <v>16500459</v>
      </c>
      <c r="AJ458">
        <v>426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ROW(Source!A158)</f>
        <v>158</v>
      </c>
      <c r="B459">
        <v>16500460</v>
      </c>
      <c r="C459">
        <v>16500450</v>
      </c>
      <c r="D459">
        <v>15167963</v>
      </c>
      <c r="E459">
        <v>1</v>
      </c>
      <c r="F459">
        <v>1</v>
      </c>
      <c r="G459">
        <v>1</v>
      </c>
      <c r="H459">
        <v>3</v>
      </c>
      <c r="I459" t="s">
        <v>37</v>
      </c>
      <c r="J459" t="s">
        <v>38</v>
      </c>
      <c r="K459" t="s">
        <v>39</v>
      </c>
      <c r="L459">
        <v>1346</v>
      </c>
      <c r="N459">
        <v>1009</v>
      </c>
      <c r="O459" t="s">
        <v>303</v>
      </c>
      <c r="P459" t="s">
        <v>303</v>
      </c>
      <c r="Q459">
        <v>1</v>
      </c>
      <c r="X459">
        <v>0.06</v>
      </c>
      <c r="Y459">
        <v>37.29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224</v>
      </c>
      <c r="AG459">
        <v>0.06</v>
      </c>
      <c r="AH459">
        <v>2</v>
      </c>
      <c r="AI459">
        <v>16500460</v>
      </c>
      <c r="AJ459">
        <v>427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ROW(Source!A158)</f>
        <v>158</v>
      </c>
      <c r="B460">
        <v>16500461</v>
      </c>
      <c r="C460">
        <v>16500450</v>
      </c>
      <c r="D460">
        <v>15168695</v>
      </c>
      <c r="E460">
        <v>1</v>
      </c>
      <c r="F460">
        <v>1</v>
      </c>
      <c r="G460">
        <v>1</v>
      </c>
      <c r="H460">
        <v>3</v>
      </c>
      <c r="I460" t="s">
        <v>40</v>
      </c>
      <c r="J460" t="s">
        <v>41</v>
      </c>
      <c r="K460" t="s">
        <v>42</v>
      </c>
      <c r="L460">
        <v>1348</v>
      </c>
      <c r="N460">
        <v>1009</v>
      </c>
      <c r="O460" t="s">
        <v>288</v>
      </c>
      <c r="P460" t="s">
        <v>288</v>
      </c>
      <c r="Q460">
        <v>1000</v>
      </c>
      <c r="X460">
        <v>1.7000000000000001E-4</v>
      </c>
      <c r="Y460">
        <v>13560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224</v>
      </c>
      <c r="AG460">
        <v>1.7000000000000001E-4</v>
      </c>
      <c r="AH460">
        <v>2</v>
      </c>
      <c r="AI460">
        <v>16500461</v>
      </c>
      <c r="AJ460">
        <v>428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ROW(Source!A158)</f>
        <v>158</v>
      </c>
      <c r="B461">
        <v>16500462</v>
      </c>
      <c r="C461">
        <v>16500450</v>
      </c>
      <c r="D461">
        <v>15172018</v>
      </c>
      <c r="E461">
        <v>1</v>
      </c>
      <c r="F461">
        <v>1</v>
      </c>
      <c r="G461">
        <v>1</v>
      </c>
      <c r="H461">
        <v>3</v>
      </c>
      <c r="I461" t="s">
        <v>43</v>
      </c>
      <c r="J461" t="s">
        <v>44</v>
      </c>
      <c r="K461" t="s">
        <v>45</v>
      </c>
      <c r="L461">
        <v>1346</v>
      </c>
      <c r="N461">
        <v>1009</v>
      </c>
      <c r="O461" t="s">
        <v>303</v>
      </c>
      <c r="P461" t="s">
        <v>303</v>
      </c>
      <c r="Q461">
        <v>1</v>
      </c>
      <c r="X461">
        <v>1.6000000000000001E-3</v>
      </c>
      <c r="Y461">
        <v>2.15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224</v>
      </c>
      <c r="AG461">
        <v>1.6000000000000001E-3</v>
      </c>
      <c r="AH461">
        <v>2</v>
      </c>
      <c r="AI461">
        <v>16500462</v>
      </c>
      <c r="AJ461">
        <v>429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ROW(Source!A158)</f>
        <v>158</v>
      </c>
      <c r="B462">
        <v>16500463</v>
      </c>
      <c r="C462">
        <v>16500450</v>
      </c>
      <c r="D462">
        <v>15203740</v>
      </c>
      <c r="E462">
        <v>1</v>
      </c>
      <c r="F462">
        <v>1</v>
      </c>
      <c r="G462">
        <v>1</v>
      </c>
      <c r="H462">
        <v>3</v>
      </c>
      <c r="I462" t="s">
        <v>796</v>
      </c>
      <c r="J462" t="s">
        <v>797</v>
      </c>
      <c r="K462" t="s">
        <v>798</v>
      </c>
      <c r="L462">
        <v>1348</v>
      </c>
      <c r="N462">
        <v>1009</v>
      </c>
      <c r="O462" t="s">
        <v>288</v>
      </c>
      <c r="P462" t="s">
        <v>288</v>
      </c>
      <c r="Q462">
        <v>1000</v>
      </c>
      <c r="X462">
        <v>4.4000000000000002E-4</v>
      </c>
      <c r="Y462">
        <v>15119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224</v>
      </c>
      <c r="AG462">
        <v>4.4000000000000002E-4</v>
      </c>
      <c r="AH462">
        <v>2</v>
      </c>
      <c r="AI462">
        <v>16500463</v>
      </c>
      <c r="AJ462">
        <v>430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ROW(Source!A158)</f>
        <v>158</v>
      </c>
      <c r="B463">
        <v>16500464</v>
      </c>
      <c r="C463">
        <v>16500450</v>
      </c>
      <c r="D463">
        <v>15204468</v>
      </c>
      <c r="E463">
        <v>1</v>
      </c>
      <c r="F463">
        <v>1</v>
      </c>
      <c r="G463">
        <v>1</v>
      </c>
      <c r="H463">
        <v>3</v>
      </c>
      <c r="I463" t="s">
        <v>46</v>
      </c>
      <c r="J463" t="s">
        <v>47</v>
      </c>
      <c r="K463" t="s">
        <v>48</v>
      </c>
      <c r="L463">
        <v>1348</v>
      </c>
      <c r="N463">
        <v>1009</v>
      </c>
      <c r="O463" t="s">
        <v>288</v>
      </c>
      <c r="P463" t="s">
        <v>288</v>
      </c>
      <c r="Q463">
        <v>1000</v>
      </c>
      <c r="X463">
        <v>5.2999999999999998E-4</v>
      </c>
      <c r="Y463">
        <v>16950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224</v>
      </c>
      <c r="AG463">
        <v>5.2999999999999998E-4</v>
      </c>
      <c r="AH463">
        <v>2</v>
      </c>
      <c r="AI463">
        <v>16500464</v>
      </c>
      <c r="AJ463">
        <v>431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ROW(Source!A158)</f>
        <v>158</v>
      </c>
      <c r="B464">
        <v>16500465</v>
      </c>
      <c r="C464">
        <v>16500450</v>
      </c>
      <c r="D464">
        <v>15163127</v>
      </c>
      <c r="E464">
        <v>17</v>
      </c>
      <c r="F464">
        <v>1</v>
      </c>
      <c r="G464">
        <v>1</v>
      </c>
      <c r="H464">
        <v>3</v>
      </c>
      <c r="I464" t="s">
        <v>104</v>
      </c>
      <c r="J464" t="s">
        <v>224</v>
      </c>
      <c r="K464" t="s">
        <v>105</v>
      </c>
      <c r="L464">
        <v>1354</v>
      </c>
      <c r="N464">
        <v>1010</v>
      </c>
      <c r="O464" t="s">
        <v>413</v>
      </c>
      <c r="P464" t="s">
        <v>413</v>
      </c>
      <c r="Q464">
        <v>1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1</v>
      </c>
      <c r="AD464">
        <v>0</v>
      </c>
      <c r="AE464">
        <v>0</v>
      </c>
      <c r="AF464" t="s">
        <v>224</v>
      </c>
      <c r="AG464">
        <v>0</v>
      </c>
      <c r="AH464">
        <v>3</v>
      </c>
      <c r="AI464">
        <v>-1</v>
      </c>
      <c r="AJ464" t="s">
        <v>224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ROW(Source!A158)</f>
        <v>158</v>
      </c>
      <c r="B465">
        <v>16500466</v>
      </c>
      <c r="C465">
        <v>16500450</v>
      </c>
      <c r="D465">
        <v>15163115</v>
      </c>
      <c r="E465">
        <v>17</v>
      </c>
      <c r="F465">
        <v>1</v>
      </c>
      <c r="G465">
        <v>1</v>
      </c>
      <c r="H465">
        <v>3</v>
      </c>
      <c r="I465" t="s">
        <v>106</v>
      </c>
      <c r="J465" t="s">
        <v>224</v>
      </c>
      <c r="K465" t="s">
        <v>107</v>
      </c>
      <c r="L465">
        <v>1346</v>
      </c>
      <c r="N465">
        <v>1009</v>
      </c>
      <c r="O465" t="s">
        <v>303</v>
      </c>
      <c r="P465" t="s">
        <v>303</v>
      </c>
      <c r="Q465">
        <v>1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1</v>
      </c>
      <c r="AD465">
        <v>0</v>
      </c>
      <c r="AE465">
        <v>0</v>
      </c>
      <c r="AF465" t="s">
        <v>224</v>
      </c>
      <c r="AG465">
        <v>0</v>
      </c>
      <c r="AH465">
        <v>3</v>
      </c>
      <c r="AI465">
        <v>-1</v>
      </c>
      <c r="AJ465" t="s">
        <v>224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ROW(Source!A158)</f>
        <v>158</v>
      </c>
      <c r="B466">
        <v>16500467</v>
      </c>
      <c r="C466">
        <v>16500450</v>
      </c>
      <c r="D466">
        <v>15163128</v>
      </c>
      <c r="E466">
        <v>17</v>
      </c>
      <c r="F466">
        <v>1</v>
      </c>
      <c r="G466">
        <v>1</v>
      </c>
      <c r="H466">
        <v>3</v>
      </c>
      <c r="I466" t="s">
        <v>108</v>
      </c>
      <c r="J466" t="s">
        <v>224</v>
      </c>
      <c r="K466" t="s">
        <v>109</v>
      </c>
      <c r="L466">
        <v>1301</v>
      </c>
      <c r="N466">
        <v>1003</v>
      </c>
      <c r="O466" t="s">
        <v>351</v>
      </c>
      <c r="P466" t="s">
        <v>351</v>
      </c>
      <c r="Q466">
        <v>1</v>
      </c>
      <c r="X466">
        <v>100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 t="s">
        <v>224</v>
      </c>
      <c r="AG466">
        <v>100</v>
      </c>
      <c r="AH466">
        <v>3</v>
      </c>
      <c r="AI466">
        <v>-1</v>
      </c>
      <c r="AJ466" t="s">
        <v>224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ROW(Source!A161)</f>
        <v>161</v>
      </c>
      <c r="B467">
        <v>16500472</v>
      </c>
      <c r="C467">
        <v>16500471</v>
      </c>
      <c r="D467">
        <v>15446300</v>
      </c>
      <c r="E467">
        <v>1</v>
      </c>
      <c r="F467">
        <v>1</v>
      </c>
      <c r="G467">
        <v>1</v>
      </c>
      <c r="H467">
        <v>1</v>
      </c>
      <c r="I467" t="s">
        <v>651</v>
      </c>
      <c r="J467" t="s">
        <v>224</v>
      </c>
      <c r="K467" t="s">
        <v>652</v>
      </c>
      <c r="L467">
        <v>1191</v>
      </c>
      <c r="N467">
        <v>1013</v>
      </c>
      <c r="O467" t="s">
        <v>628</v>
      </c>
      <c r="P467" t="s">
        <v>628</v>
      </c>
      <c r="Q467">
        <v>1</v>
      </c>
      <c r="X467">
        <v>64.239999999999995</v>
      </c>
      <c r="Y467">
        <v>0</v>
      </c>
      <c r="Z467">
        <v>0</v>
      </c>
      <c r="AA467">
        <v>0</v>
      </c>
      <c r="AB467">
        <v>9.92</v>
      </c>
      <c r="AC467">
        <v>0</v>
      </c>
      <c r="AD467">
        <v>1</v>
      </c>
      <c r="AE467">
        <v>1</v>
      </c>
      <c r="AF467" t="s">
        <v>240</v>
      </c>
      <c r="AG467">
        <v>73.875999999999991</v>
      </c>
      <c r="AH467">
        <v>2</v>
      </c>
      <c r="AI467">
        <v>16500472</v>
      </c>
      <c r="AJ467">
        <v>433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ROW(Source!A161)</f>
        <v>161</v>
      </c>
      <c r="B468">
        <v>16500473</v>
      </c>
      <c r="C468">
        <v>16500471</v>
      </c>
      <c r="D468">
        <v>15430395</v>
      </c>
      <c r="E468">
        <v>1</v>
      </c>
      <c r="F468">
        <v>1</v>
      </c>
      <c r="G468">
        <v>1</v>
      </c>
      <c r="H468">
        <v>1</v>
      </c>
      <c r="I468" t="s">
        <v>629</v>
      </c>
      <c r="J468" t="s">
        <v>224</v>
      </c>
      <c r="K468" t="s">
        <v>630</v>
      </c>
      <c r="L468">
        <v>1191</v>
      </c>
      <c r="N468">
        <v>1013</v>
      </c>
      <c r="O468" t="s">
        <v>628</v>
      </c>
      <c r="P468" t="s">
        <v>628</v>
      </c>
      <c r="Q468">
        <v>1</v>
      </c>
      <c r="X468">
        <v>0.03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239</v>
      </c>
      <c r="AG468">
        <v>3.7499999999999999E-2</v>
      </c>
      <c r="AH468">
        <v>2</v>
      </c>
      <c r="AI468">
        <v>16500473</v>
      </c>
      <c r="AJ468">
        <v>434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ROW(Source!A161)</f>
        <v>161</v>
      </c>
      <c r="B469">
        <v>16500474</v>
      </c>
      <c r="C469">
        <v>16500471</v>
      </c>
      <c r="D469">
        <v>15247578</v>
      </c>
      <c r="E469">
        <v>1</v>
      </c>
      <c r="F469">
        <v>1</v>
      </c>
      <c r="G469">
        <v>1</v>
      </c>
      <c r="H469">
        <v>2</v>
      </c>
      <c r="I469" t="s">
        <v>11</v>
      </c>
      <c r="J469" t="s">
        <v>12</v>
      </c>
      <c r="K469" t="s">
        <v>13</v>
      </c>
      <c r="L469">
        <v>1368</v>
      </c>
      <c r="N469">
        <v>1011</v>
      </c>
      <c r="O469" t="s">
        <v>634</v>
      </c>
      <c r="P469" t="s">
        <v>634</v>
      </c>
      <c r="Q469">
        <v>1</v>
      </c>
      <c r="X469">
        <v>0.01</v>
      </c>
      <c r="Y469">
        <v>0</v>
      </c>
      <c r="Z469">
        <v>86.4</v>
      </c>
      <c r="AA469">
        <v>13.5</v>
      </c>
      <c r="AB469">
        <v>0</v>
      </c>
      <c r="AC469">
        <v>0</v>
      </c>
      <c r="AD469">
        <v>1</v>
      </c>
      <c r="AE469">
        <v>0</v>
      </c>
      <c r="AF469" t="s">
        <v>239</v>
      </c>
      <c r="AG469">
        <v>1.2500000000000001E-2</v>
      </c>
      <c r="AH469">
        <v>2</v>
      </c>
      <c r="AI469">
        <v>16500474</v>
      </c>
      <c r="AJ469">
        <v>435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ROW(Source!A161)</f>
        <v>161</v>
      </c>
      <c r="B470">
        <v>16500475</v>
      </c>
      <c r="C470">
        <v>16500471</v>
      </c>
      <c r="D470">
        <v>15247680</v>
      </c>
      <c r="E470">
        <v>1</v>
      </c>
      <c r="F470">
        <v>1</v>
      </c>
      <c r="G470">
        <v>1</v>
      </c>
      <c r="H470">
        <v>2</v>
      </c>
      <c r="I470" t="s">
        <v>670</v>
      </c>
      <c r="J470" t="s">
        <v>671</v>
      </c>
      <c r="K470" t="s">
        <v>672</v>
      </c>
      <c r="L470">
        <v>1368</v>
      </c>
      <c r="N470">
        <v>1011</v>
      </c>
      <c r="O470" t="s">
        <v>634</v>
      </c>
      <c r="P470" t="s">
        <v>634</v>
      </c>
      <c r="Q470">
        <v>1</v>
      </c>
      <c r="X470">
        <v>0.01</v>
      </c>
      <c r="Y470">
        <v>0</v>
      </c>
      <c r="Z470">
        <v>111.99</v>
      </c>
      <c r="AA470">
        <v>13.5</v>
      </c>
      <c r="AB470">
        <v>0</v>
      </c>
      <c r="AC470">
        <v>0</v>
      </c>
      <c r="AD470">
        <v>1</v>
      </c>
      <c r="AE470">
        <v>0</v>
      </c>
      <c r="AF470" t="s">
        <v>239</v>
      </c>
      <c r="AG470">
        <v>1.2500000000000001E-2</v>
      </c>
      <c r="AH470">
        <v>2</v>
      </c>
      <c r="AI470">
        <v>16500475</v>
      </c>
      <c r="AJ470">
        <v>436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ROW(Source!A161)</f>
        <v>161</v>
      </c>
      <c r="B471">
        <v>16500476</v>
      </c>
      <c r="C471">
        <v>16500471</v>
      </c>
      <c r="D471">
        <v>15249073</v>
      </c>
      <c r="E471">
        <v>1</v>
      </c>
      <c r="F471">
        <v>1</v>
      </c>
      <c r="G471">
        <v>1</v>
      </c>
      <c r="H471">
        <v>2</v>
      </c>
      <c r="I471" t="s">
        <v>631</v>
      </c>
      <c r="J471" t="s">
        <v>632</v>
      </c>
      <c r="K471" t="s">
        <v>633</v>
      </c>
      <c r="L471">
        <v>1368</v>
      </c>
      <c r="N471">
        <v>1011</v>
      </c>
      <c r="O471" t="s">
        <v>634</v>
      </c>
      <c r="P471" t="s">
        <v>634</v>
      </c>
      <c r="Q471">
        <v>1</v>
      </c>
      <c r="X471">
        <v>0.01</v>
      </c>
      <c r="Y471">
        <v>0</v>
      </c>
      <c r="Z471">
        <v>65.709999999999994</v>
      </c>
      <c r="AA471">
        <v>11.6</v>
      </c>
      <c r="AB471">
        <v>0</v>
      </c>
      <c r="AC471">
        <v>0</v>
      </c>
      <c r="AD471">
        <v>1</v>
      </c>
      <c r="AE471">
        <v>0</v>
      </c>
      <c r="AF471" t="s">
        <v>239</v>
      </c>
      <c r="AG471">
        <v>1.2500000000000001E-2</v>
      </c>
      <c r="AH471">
        <v>2</v>
      </c>
      <c r="AI471">
        <v>16500476</v>
      </c>
      <c r="AJ471">
        <v>437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ROW(Source!A161)</f>
        <v>161</v>
      </c>
      <c r="B472">
        <v>16500477</v>
      </c>
      <c r="C472">
        <v>16500471</v>
      </c>
      <c r="D472">
        <v>15167286</v>
      </c>
      <c r="E472">
        <v>1</v>
      </c>
      <c r="F472">
        <v>1</v>
      </c>
      <c r="G472">
        <v>1</v>
      </c>
      <c r="H472">
        <v>3</v>
      </c>
      <c r="I472" t="s">
        <v>778</v>
      </c>
      <c r="J472" t="s">
        <v>779</v>
      </c>
      <c r="K472" t="s">
        <v>780</v>
      </c>
      <c r="L472">
        <v>1339</v>
      </c>
      <c r="N472">
        <v>1007</v>
      </c>
      <c r="O472" t="s">
        <v>691</v>
      </c>
      <c r="P472" t="s">
        <v>691</v>
      </c>
      <c r="Q472">
        <v>1</v>
      </c>
      <c r="X472">
        <v>0.39</v>
      </c>
      <c r="Y472">
        <v>2.44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224</v>
      </c>
      <c r="AG472">
        <v>0.39</v>
      </c>
      <c r="AH472">
        <v>2</v>
      </c>
      <c r="AI472">
        <v>16500477</v>
      </c>
      <c r="AJ472">
        <v>438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ROW(Source!A161)</f>
        <v>161</v>
      </c>
      <c r="B473">
        <v>16500478</v>
      </c>
      <c r="C473">
        <v>16500471</v>
      </c>
      <c r="D473">
        <v>15169924</v>
      </c>
      <c r="E473">
        <v>1</v>
      </c>
      <c r="F473">
        <v>1</v>
      </c>
      <c r="G473">
        <v>1</v>
      </c>
      <c r="H473">
        <v>3</v>
      </c>
      <c r="I473" t="s">
        <v>49</v>
      </c>
      <c r="J473" t="s">
        <v>50</v>
      </c>
      <c r="K473" t="s">
        <v>51</v>
      </c>
      <c r="L473">
        <v>1348</v>
      </c>
      <c r="N473">
        <v>1009</v>
      </c>
      <c r="O473" t="s">
        <v>288</v>
      </c>
      <c r="P473" t="s">
        <v>288</v>
      </c>
      <c r="Q473">
        <v>1000</v>
      </c>
      <c r="X473">
        <v>1.1999999999999999E-3</v>
      </c>
      <c r="Y473">
        <v>14830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224</v>
      </c>
      <c r="AG473">
        <v>1.1999999999999999E-3</v>
      </c>
      <c r="AH473">
        <v>2</v>
      </c>
      <c r="AI473">
        <v>16500478</v>
      </c>
      <c r="AJ473">
        <v>439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ROW(Source!A161)</f>
        <v>161</v>
      </c>
      <c r="B474">
        <v>16500479</v>
      </c>
      <c r="C474">
        <v>16500471</v>
      </c>
      <c r="D474">
        <v>15170781</v>
      </c>
      <c r="E474">
        <v>1</v>
      </c>
      <c r="F474">
        <v>1</v>
      </c>
      <c r="G474">
        <v>1</v>
      </c>
      <c r="H474">
        <v>3</v>
      </c>
      <c r="I474" t="s">
        <v>52</v>
      </c>
      <c r="J474" t="s">
        <v>53</v>
      </c>
      <c r="K474" t="s">
        <v>54</v>
      </c>
      <c r="L474">
        <v>1346</v>
      </c>
      <c r="N474">
        <v>1009</v>
      </c>
      <c r="O474" t="s">
        <v>303</v>
      </c>
      <c r="P474" t="s">
        <v>303</v>
      </c>
      <c r="Q474">
        <v>1</v>
      </c>
      <c r="X474">
        <v>1.5</v>
      </c>
      <c r="Y474">
        <v>24.41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224</v>
      </c>
      <c r="AG474">
        <v>1.5</v>
      </c>
      <c r="AH474">
        <v>2</v>
      </c>
      <c r="AI474">
        <v>16500479</v>
      </c>
      <c r="AJ474">
        <v>440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ROW(Source!A161)</f>
        <v>161</v>
      </c>
      <c r="B475">
        <v>16500480</v>
      </c>
      <c r="C475">
        <v>16500471</v>
      </c>
      <c r="D475">
        <v>15161573</v>
      </c>
      <c r="E475">
        <v>17</v>
      </c>
      <c r="F475">
        <v>1</v>
      </c>
      <c r="G475">
        <v>1</v>
      </c>
      <c r="H475">
        <v>3</v>
      </c>
      <c r="I475" t="s">
        <v>110</v>
      </c>
      <c r="J475" t="s">
        <v>224</v>
      </c>
      <c r="K475" t="s">
        <v>111</v>
      </c>
      <c r="L475">
        <v>1354</v>
      </c>
      <c r="N475">
        <v>1010</v>
      </c>
      <c r="O475" t="s">
        <v>413</v>
      </c>
      <c r="P475" t="s">
        <v>413</v>
      </c>
      <c r="Q475">
        <v>1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1</v>
      </c>
      <c r="AD475">
        <v>0</v>
      </c>
      <c r="AE475">
        <v>0</v>
      </c>
      <c r="AF475" t="s">
        <v>224</v>
      </c>
      <c r="AG475">
        <v>0</v>
      </c>
      <c r="AH475">
        <v>3</v>
      </c>
      <c r="AI475">
        <v>-1</v>
      </c>
      <c r="AJ475" t="s">
        <v>224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ROW(Source!A161)</f>
        <v>161</v>
      </c>
      <c r="B476">
        <v>16500481</v>
      </c>
      <c r="C476">
        <v>16500471</v>
      </c>
      <c r="D476">
        <v>15163115</v>
      </c>
      <c r="E476">
        <v>17</v>
      </c>
      <c r="F476">
        <v>1</v>
      </c>
      <c r="G476">
        <v>1</v>
      </c>
      <c r="H476">
        <v>3</v>
      </c>
      <c r="I476" t="s">
        <v>106</v>
      </c>
      <c r="J476" t="s">
        <v>224</v>
      </c>
      <c r="K476" t="s">
        <v>107</v>
      </c>
      <c r="L476">
        <v>1346</v>
      </c>
      <c r="N476">
        <v>1009</v>
      </c>
      <c r="O476" t="s">
        <v>303</v>
      </c>
      <c r="P476" t="s">
        <v>303</v>
      </c>
      <c r="Q476">
        <v>1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1</v>
      </c>
      <c r="AD476">
        <v>0</v>
      </c>
      <c r="AE476">
        <v>0</v>
      </c>
      <c r="AF476" t="s">
        <v>224</v>
      </c>
      <c r="AG476">
        <v>0</v>
      </c>
      <c r="AH476">
        <v>3</v>
      </c>
      <c r="AI476">
        <v>-1</v>
      </c>
      <c r="AJ476" t="s">
        <v>224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ROW(Source!A161)</f>
        <v>161</v>
      </c>
      <c r="B477">
        <v>16500482</v>
      </c>
      <c r="C477">
        <v>16500471</v>
      </c>
      <c r="D477">
        <v>15163153</v>
      </c>
      <c r="E477">
        <v>17</v>
      </c>
      <c r="F477">
        <v>1</v>
      </c>
      <c r="G477">
        <v>1</v>
      </c>
      <c r="H477">
        <v>3</v>
      </c>
      <c r="I477" t="s">
        <v>112</v>
      </c>
      <c r="J477" t="s">
        <v>224</v>
      </c>
      <c r="K477" t="s">
        <v>523</v>
      </c>
      <c r="L477">
        <v>1301</v>
      </c>
      <c r="N477">
        <v>1003</v>
      </c>
      <c r="O477" t="s">
        <v>351</v>
      </c>
      <c r="P477" t="s">
        <v>351</v>
      </c>
      <c r="Q477">
        <v>1</v>
      </c>
      <c r="X477">
        <v>99.8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 t="s">
        <v>224</v>
      </c>
      <c r="AG477">
        <v>99.8</v>
      </c>
      <c r="AH477">
        <v>3</v>
      </c>
      <c r="AI477">
        <v>-1</v>
      </c>
      <c r="AJ477" t="s">
        <v>224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ROW(Source!A162)</f>
        <v>162</v>
      </c>
      <c r="B478">
        <v>16500472</v>
      </c>
      <c r="C478">
        <v>16500471</v>
      </c>
      <c r="D478">
        <v>15446300</v>
      </c>
      <c r="E478">
        <v>1</v>
      </c>
      <c r="F478">
        <v>1</v>
      </c>
      <c r="G478">
        <v>1</v>
      </c>
      <c r="H478">
        <v>1</v>
      </c>
      <c r="I478" t="s">
        <v>651</v>
      </c>
      <c r="J478" t="s">
        <v>224</v>
      </c>
      <c r="K478" t="s">
        <v>652</v>
      </c>
      <c r="L478">
        <v>1191</v>
      </c>
      <c r="N478">
        <v>1013</v>
      </c>
      <c r="O478" t="s">
        <v>628</v>
      </c>
      <c r="P478" t="s">
        <v>628</v>
      </c>
      <c r="Q478">
        <v>1</v>
      </c>
      <c r="X478">
        <v>64.239999999999995</v>
      </c>
      <c r="Y478">
        <v>0</v>
      </c>
      <c r="Z478">
        <v>0</v>
      </c>
      <c r="AA478">
        <v>0</v>
      </c>
      <c r="AB478">
        <v>9.92</v>
      </c>
      <c r="AC478">
        <v>0</v>
      </c>
      <c r="AD478">
        <v>1</v>
      </c>
      <c r="AE478">
        <v>1</v>
      </c>
      <c r="AF478" t="s">
        <v>240</v>
      </c>
      <c r="AG478">
        <v>73.875999999999991</v>
      </c>
      <c r="AH478">
        <v>2</v>
      </c>
      <c r="AI478">
        <v>16500472</v>
      </c>
      <c r="AJ478">
        <v>442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ROW(Source!A162)</f>
        <v>162</v>
      </c>
      <c r="B479">
        <v>16500473</v>
      </c>
      <c r="C479">
        <v>16500471</v>
      </c>
      <c r="D479">
        <v>15430395</v>
      </c>
      <c r="E479">
        <v>1</v>
      </c>
      <c r="F479">
        <v>1</v>
      </c>
      <c r="G479">
        <v>1</v>
      </c>
      <c r="H479">
        <v>1</v>
      </c>
      <c r="I479" t="s">
        <v>629</v>
      </c>
      <c r="J479" t="s">
        <v>224</v>
      </c>
      <c r="K479" t="s">
        <v>630</v>
      </c>
      <c r="L479">
        <v>1191</v>
      </c>
      <c r="N479">
        <v>1013</v>
      </c>
      <c r="O479" t="s">
        <v>628</v>
      </c>
      <c r="P479" t="s">
        <v>628</v>
      </c>
      <c r="Q479">
        <v>1</v>
      </c>
      <c r="X479">
        <v>0.03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2</v>
      </c>
      <c r="AF479" t="s">
        <v>239</v>
      </c>
      <c r="AG479">
        <v>3.7499999999999999E-2</v>
      </c>
      <c r="AH479">
        <v>2</v>
      </c>
      <c r="AI479">
        <v>16500473</v>
      </c>
      <c r="AJ479">
        <v>443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ROW(Source!A162)</f>
        <v>162</v>
      </c>
      <c r="B480">
        <v>16500474</v>
      </c>
      <c r="C480">
        <v>16500471</v>
      </c>
      <c r="D480">
        <v>15247578</v>
      </c>
      <c r="E480">
        <v>1</v>
      </c>
      <c r="F480">
        <v>1</v>
      </c>
      <c r="G480">
        <v>1</v>
      </c>
      <c r="H480">
        <v>2</v>
      </c>
      <c r="I480" t="s">
        <v>11</v>
      </c>
      <c r="J480" t="s">
        <v>12</v>
      </c>
      <c r="K480" t="s">
        <v>13</v>
      </c>
      <c r="L480">
        <v>1368</v>
      </c>
      <c r="N480">
        <v>1011</v>
      </c>
      <c r="O480" t="s">
        <v>634</v>
      </c>
      <c r="P480" t="s">
        <v>634</v>
      </c>
      <c r="Q480">
        <v>1</v>
      </c>
      <c r="X480">
        <v>0.01</v>
      </c>
      <c r="Y480">
        <v>0</v>
      </c>
      <c r="Z480">
        <v>86.4</v>
      </c>
      <c r="AA480">
        <v>13.5</v>
      </c>
      <c r="AB480">
        <v>0</v>
      </c>
      <c r="AC480">
        <v>0</v>
      </c>
      <c r="AD480">
        <v>1</v>
      </c>
      <c r="AE480">
        <v>0</v>
      </c>
      <c r="AF480" t="s">
        <v>239</v>
      </c>
      <c r="AG480">
        <v>1.2500000000000001E-2</v>
      </c>
      <c r="AH480">
        <v>2</v>
      </c>
      <c r="AI480">
        <v>16500474</v>
      </c>
      <c r="AJ480">
        <v>444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ROW(Source!A162)</f>
        <v>162</v>
      </c>
      <c r="B481">
        <v>16500475</v>
      </c>
      <c r="C481">
        <v>16500471</v>
      </c>
      <c r="D481">
        <v>15247680</v>
      </c>
      <c r="E481">
        <v>1</v>
      </c>
      <c r="F481">
        <v>1</v>
      </c>
      <c r="G481">
        <v>1</v>
      </c>
      <c r="H481">
        <v>2</v>
      </c>
      <c r="I481" t="s">
        <v>670</v>
      </c>
      <c r="J481" t="s">
        <v>671</v>
      </c>
      <c r="K481" t="s">
        <v>672</v>
      </c>
      <c r="L481">
        <v>1368</v>
      </c>
      <c r="N481">
        <v>1011</v>
      </c>
      <c r="O481" t="s">
        <v>634</v>
      </c>
      <c r="P481" t="s">
        <v>634</v>
      </c>
      <c r="Q481">
        <v>1</v>
      </c>
      <c r="X481">
        <v>0.01</v>
      </c>
      <c r="Y481">
        <v>0</v>
      </c>
      <c r="Z481">
        <v>111.99</v>
      </c>
      <c r="AA481">
        <v>13.5</v>
      </c>
      <c r="AB481">
        <v>0</v>
      </c>
      <c r="AC481">
        <v>0</v>
      </c>
      <c r="AD481">
        <v>1</v>
      </c>
      <c r="AE481">
        <v>0</v>
      </c>
      <c r="AF481" t="s">
        <v>239</v>
      </c>
      <c r="AG481">
        <v>1.2500000000000001E-2</v>
      </c>
      <c r="AH481">
        <v>2</v>
      </c>
      <c r="AI481">
        <v>16500475</v>
      </c>
      <c r="AJ481">
        <v>445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ROW(Source!A162)</f>
        <v>162</v>
      </c>
      <c r="B482">
        <v>16500476</v>
      </c>
      <c r="C482">
        <v>16500471</v>
      </c>
      <c r="D482">
        <v>15249073</v>
      </c>
      <c r="E482">
        <v>1</v>
      </c>
      <c r="F482">
        <v>1</v>
      </c>
      <c r="G482">
        <v>1</v>
      </c>
      <c r="H482">
        <v>2</v>
      </c>
      <c r="I482" t="s">
        <v>631</v>
      </c>
      <c r="J482" t="s">
        <v>632</v>
      </c>
      <c r="K482" t="s">
        <v>633</v>
      </c>
      <c r="L482">
        <v>1368</v>
      </c>
      <c r="N482">
        <v>1011</v>
      </c>
      <c r="O482" t="s">
        <v>634</v>
      </c>
      <c r="P482" t="s">
        <v>634</v>
      </c>
      <c r="Q482">
        <v>1</v>
      </c>
      <c r="X482">
        <v>0.01</v>
      </c>
      <c r="Y482">
        <v>0</v>
      </c>
      <c r="Z482">
        <v>65.709999999999994</v>
      </c>
      <c r="AA482">
        <v>11.6</v>
      </c>
      <c r="AB482">
        <v>0</v>
      </c>
      <c r="AC482">
        <v>0</v>
      </c>
      <c r="AD482">
        <v>1</v>
      </c>
      <c r="AE482">
        <v>0</v>
      </c>
      <c r="AF482" t="s">
        <v>239</v>
      </c>
      <c r="AG482">
        <v>1.2500000000000001E-2</v>
      </c>
      <c r="AH482">
        <v>2</v>
      </c>
      <c r="AI482">
        <v>16500476</v>
      </c>
      <c r="AJ482">
        <v>446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ROW(Source!A162)</f>
        <v>162</v>
      </c>
      <c r="B483">
        <v>16500477</v>
      </c>
      <c r="C483">
        <v>16500471</v>
      </c>
      <c r="D483">
        <v>15167286</v>
      </c>
      <c r="E483">
        <v>1</v>
      </c>
      <c r="F483">
        <v>1</v>
      </c>
      <c r="G483">
        <v>1</v>
      </c>
      <c r="H483">
        <v>3</v>
      </c>
      <c r="I483" t="s">
        <v>778</v>
      </c>
      <c r="J483" t="s">
        <v>779</v>
      </c>
      <c r="K483" t="s">
        <v>780</v>
      </c>
      <c r="L483">
        <v>1339</v>
      </c>
      <c r="N483">
        <v>1007</v>
      </c>
      <c r="O483" t="s">
        <v>691</v>
      </c>
      <c r="P483" t="s">
        <v>691</v>
      </c>
      <c r="Q483">
        <v>1</v>
      </c>
      <c r="X483">
        <v>0.39</v>
      </c>
      <c r="Y483">
        <v>2.44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224</v>
      </c>
      <c r="AG483">
        <v>0.39</v>
      </c>
      <c r="AH483">
        <v>2</v>
      </c>
      <c r="AI483">
        <v>16500477</v>
      </c>
      <c r="AJ483">
        <v>447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ROW(Source!A162)</f>
        <v>162</v>
      </c>
      <c r="B484">
        <v>16500478</v>
      </c>
      <c r="C484">
        <v>16500471</v>
      </c>
      <c r="D484">
        <v>15169924</v>
      </c>
      <c r="E484">
        <v>1</v>
      </c>
      <c r="F484">
        <v>1</v>
      </c>
      <c r="G484">
        <v>1</v>
      </c>
      <c r="H484">
        <v>3</v>
      </c>
      <c r="I484" t="s">
        <v>49</v>
      </c>
      <c r="J484" t="s">
        <v>50</v>
      </c>
      <c r="K484" t="s">
        <v>51</v>
      </c>
      <c r="L484">
        <v>1348</v>
      </c>
      <c r="N484">
        <v>1009</v>
      </c>
      <c r="O484" t="s">
        <v>288</v>
      </c>
      <c r="P484" t="s">
        <v>288</v>
      </c>
      <c r="Q484">
        <v>1000</v>
      </c>
      <c r="X484">
        <v>1.1999999999999999E-3</v>
      </c>
      <c r="Y484">
        <v>14830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224</v>
      </c>
      <c r="AG484">
        <v>1.1999999999999999E-3</v>
      </c>
      <c r="AH484">
        <v>2</v>
      </c>
      <c r="AI484">
        <v>16500478</v>
      </c>
      <c r="AJ484">
        <v>448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ROW(Source!A162)</f>
        <v>162</v>
      </c>
      <c r="B485">
        <v>16500479</v>
      </c>
      <c r="C485">
        <v>16500471</v>
      </c>
      <c r="D485">
        <v>15170781</v>
      </c>
      <c r="E485">
        <v>1</v>
      </c>
      <c r="F485">
        <v>1</v>
      </c>
      <c r="G485">
        <v>1</v>
      </c>
      <c r="H485">
        <v>3</v>
      </c>
      <c r="I485" t="s">
        <v>52</v>
      </c>
      <c r="J485" t="s">
        <v>53</v>
      </c>
      <c r="K485" t="s">
        <v>54</v>
      </c>
      <c r="L485">
        <v>1346</v>
      </c>
      <c r="N485">
        <v>1009</v>
      </c>
      <c r="O485" t="s">
        <v>303</v>
      </c>
      <c r="P485" t="s">
        <v>303</v>
      </c>
      <c r="Q485">
        <v>1</v>
      </c>
      <c r="X485">
        <v>1.5</v>
      </c>
      <c r="Y485">
        <v>24.41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224</v>
      </c>
      <c r="AG485">
        <v>1.5</v>
      </c>
      <c r="AH485">
        <v>2</v>
      </c>
      <c r="AI485">
        <v>16500479</v>
      </c>
      <c r="AJ485">
        <v>449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ROW(Source!A162)</f>
        <v>162</v>
      </c>
      <c r="B486">
        <v>16500480</v>
      </c>
      <c r="C486">
        <v>16500471</v>
      </c>
      <c r="D486">
        <v>15161573</v>
      </c>
      <c r="E486">
        <v>17</v>
      </c>
      <c r="F486">
        <v>1</v>
      </c>
      <c r="G486">
        <v>1</v>
      </c>
      <c r="H486">
        <v>3</v>
      </c>
      <c r="I486" t="s">
        <v>110</v>
      </c>
      <c r="J486" t="s">
        <v>224</v>
      </c>
      <c r="K486" t="s">
        <v>111</v>
      </c>
      <c r="L486">
        <v>1354</v>
      </c>
      <c r="N486">
        <v>1010</v>
      </c>
      <c r="O486" t="s">
        <v>413</v>
      </c>
      <c r="P486" t="s">
        <v>413</v>
      </c>
      <c r="Q486">
        <v>1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1</v>
      </c>
      <c r="AD486">
        <v>0</v>
      </c>
      <c r="AE486">
        <v>0</v>
      </c>
      <c r="AF486" t="s">
        <v>224</v>
      </c>
      <c r="AG486">
        <v>0</v>
      </c>
      <c r="AH486">
        <v>3</v>
      </c>
      <c r="AI486">
        <v>-1</v>
      </c>
      <c r="AJ486" t="s">
        <v>224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ROW(Source!A162)</f>
        <v>162</v>
      </c>
      <c r="B487">
        <v>16500481</v>
      </c>
      <c r="C487">
        <v>16500471</v>
      </c>
      <c r="D487">
        <v>15163115</v>
      </c>
      <c r="E487">
        <v>17</v>
      </c>
      <c r="F487">
        <v>1</v>
      </c>
      <c r="G487">
        <v>1</v>
      </c>
      <c r="H487">
        <v>3</v>
      </c>
      <c r="I487" t="s">
        <v>106</v>
      </c>
      <c r="J487" t="s">
        <v>224</v>
      </c>
      <c r="K487" t="s">
        <v>107</v>
      </c>
      <c r="L487">
        <v>1346</v>
      </c>
      <c r="N487">
        <v>1009</v>
      </c>
      <c r="O487" t="s">
        <v>303</v>
      </c>
      <c r="P487" t="s">
        <v>303</v>
      </c>
      <c r="Q487">
        <v>1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1</v>
      </c>
      <c r="AD487">
        <v>0</v>
      </c>
      <c r="AE487">
        <v>0</v>
      </c>
      <c r="AF487" t="s">
        <v>224</v>
      </c>
      <c r="AG487">
        <v>0</v>
      </c>
      <c r="AH487">
        <v>3</v>
      </c>
      <c r="AI487">
        <v>-1</v>
      </c>
      <c r="AJ487" t="s">
        <v>224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ROW(Source!A162)</f>
        <v>162</v>
      </c>
      <c r="B488">
        <v>16500482</v>
      </c>
      <c r="C488">
        <v>16500471</v>
      </c>
      <c r="D488">
        <v>15163153</v>
      </c>
      <c r="E488">
        <v>17</v>
      </c>
      <c r="F488">
        <v>1</v>
      </c>
      <c r="G488">
        <v>1</v>
      </c>
      <c r="H488">
        <v>3</v>
      </c>
      <c r="I488" t="s">
        <v>112</v>
      </c>
      <c r="J488" t="s">
        <v>224</v>
      </c>
      <c r="K488" t="s">
        <v>523</v>
      </c>
      <c r="L488">
        <v>1301</v>
      </c>
      <c r="N488">
        <v>1003</v>
      </c>
      <c r="O488" t="s">
        <v>351</v>
      </c>
      <c r="P488" t="s">
        <v>351</v>
      </c>
      <c r="Q488">
        <v>1</v>
      </c>
      <c r="X488">
        <v>99.8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 t="s">
        <v>224</v>
      </c>
      <c r="AG488">
        <v>99.8</v>
      </c>
      <c r="AH488">
        <v>3</v>
      </c>
      <c r="AI488">
        <v>-1</v>
      </c>
      <c r="AJ488" t="s">
        <v>224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ROW(Source!A165)</f>
        <v>165</v>
      </c>
      <c r="B489">
        <v>16500491</v>
      </c>
      <c r="C489">
        <v>16500490</v>
      </c>
      <c r="D489">
        <v>15436556</v>
      </c>
      <c r="E489">
        <v>1</v>
      </c>
      <c r="F489">
        <v>1</v>
      </c>
      <c r="G489">
        <v>1</v>
      </c>
      <c r="H489">
        <v>1</v>
      </c>
      <c r="I489" t="s">
        <v>726</v>
      </c>
      <c r="J489" t="s">
        <v>224</v>
      </c>
      <c r="K489" t="s">
        <v>727</v>
      </c>
      <c r="L489">
        <v>1191</v>
      </c>
      <c r="N489">
        <v>1013</v>
      </c>
      <c r="O489" t="s">
        <v>628</v>
      </c>
      <c r="P489" t="s">
        <v>628</v>
      </c>
      <c r="Q489">
        <v>1</v>
      </c>
      <c r="X489">
        <v>8.99</v>
      </c>
      <c r="Y489">
        <v>0</v>
      </c>
      <c r="Z489">
        <v>0</v>
      </c>
      <c r="AA489">
        <v>0</v>
      </c>
      <c r="AB489">
        <v>9.6199999999999992</v>
      </c>
      <c r="AC489">
        <v>0</v>
      </c>
      <c r="AD489">
        <v>1</v>
      </c>
      <c r="AE489">
        <v>1</v>
      </c>
      <c r="AF489" t="s">
        <v>240</v>
      </c>
      <c r="AG489">
        <v>10.3385</v>
      </c>
      <c r="AH489">
        <v>2</v>
      </c>
      <c r="AI489">
        <v>16500491</v>
      </c>
      <c r="AJ489">
        <v>451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ROW(Source!A165)</f>
        <v>165</v>
      </c>
      <c r="B490">
        <v>16500492</v>
      </c>
      <c r="C490">
        <v>16500490</v>
      </c>
      <c r="D490">
        <v>15430395</v>
      </c>
      <c r="E490">
        <v>1</v>
      </c>
      <c r="F490">
        <v>1</v>
      </c>
      <c r="G490">
        <v>1</v>
      </c>
      <c r="H490">
        <v>1</v>
      </c>
      <c r="I490" t="s">
        <v>629</v>
      </c>
      <c r="J490" t="s">
        <v>224</v>
      </c>
      <c r="K490" t="s">
        <v>630</v>
      </c>
      <c r="L490">
        <v>1191</v>
      </c>
      <c r="N490">
        <v>1013</v>
      </c>
      <c r="O490" t="s">
        <v>628</v>
      </c>
      <c r="P490" t="s">
        <v>628</v>
      </c>
      <c r="Q490">
        <v>1</v>
      </c>
      <c r="X490">
        <v>0.21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2</v>
      </c>
      <c r="AF490" t="s">
        <v>239</v>
      </c>
      <c r="AG490">
        <v>0.26250000000000001</v>
      </c>
      <c r="AH490">
        <v>2</v>
      </c>
      <c r="AI490">
        <v>16500492</v>
      </c>
      <c r="AJ490">
        <v>452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ROW(Source!A165)</f>
        <v>165</v>
      </c>
      <c r="B491">
        <v>16500493</v>
      </c>
      <c r="C491">
        <v>16500490</v>
      </c>
      <c r="D491">
        <v>15247974</v>
      </c>
      <c r="E491">
        <v>1</v>
      </c>
      <c r="F491">
        <v>1</v>
      </c>
      <c r="G491">
        <v>1</v>
      </c>
      <c r="H491">
        <v>2</v>
      </c>
      <c r="I491" t="s">
        <v>640</v>
      </c>
      <c r="J491" t="s">
        <v>641</v>
      </c>
      <c r="K491" t="s">
        <v>642</v>
      </c>
      <c r="L491">
        <v>1368</v>
      </c>
      <c r="N491">
        <v>1011</v>
      </c>
      <c r="O491" t="s">
        <v>634</v>
      </c>
      <c r="P491" t="s">
        <v>634</v>
      </c>
      <c r="Q491">
        <v>1</v>
      </c>
      <c r="X491">
        <v>7.0000000000000007E-2</v>
      </c>
      <c r="Y491">
        <v>0</v>
      </c>
      <c r="Z491">
        <v>31.26</v>
      </c>
      <c r="AA491">
        <v>13.5</v>
      </c>
      <c r="AB491">
        <v>0</v>
      </c>
      <c r="AC491">
        <v>0</v>
      </c>
      <c r="AD491">
        <v>1</v>
      </c>
      <c r="AE491">
        <v>0</v>
      </c>
      <c r="AF491" t="s">
        <v>239</v>
      </c>
      <c r="AG491">
        <v>8.7500000000000008E-2</v>
      </c>
      <c r="AH491">
        <v>2</v>
      </c>
      <c r="AI491">
        <v>16500493</v>
      </c>
      <c r="AJ491">
        <v>453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ROW(Source!A165)</f>
        <v>165</v>
      </c>
      <c r="B492">
        <v>16500494</v>
      </c>
      <c r="C492">
        <v>16500490</v>
      </c>
      <c r="D492">
        <v>15249073</v>
      </c>
      <c r="E492">
        <v>1</v>
      </c>
      <c r="F492">
        <v>1</v>
      </c>
      <c r="G492">
        <v>1</v>
      </c>
      <c r="H492">
        <v>2</v>
      </c>
      <c r="I492" t="s">
        <v>631</v>
      </c>
      <c r="J492" t="s">
        <v>632</v>
      </c>
      <c r="K492" t="s">
        <v>633</v>
      </c>
      <c r="L492">
        <v>1368</v>
      </c>
      <c r="N492">
        <v>1011</v>
      </c>
      <c r="O492" t="s">
        <v>634</v>
      </c>
      <c r="P492" t="s">
        <v>634</v>
      </c>
      <c r="Q492">
        <v>1</v>
      </c>
      <c r="X492">
        <v>0.14000000000000001</v>
      </c>
      <c r="Y492">
        <v>0</v>
      </c>
      <c r="Z492">
        <v>65.709999999999994</v>
      </c>
      <c r="AA492">
        <v>11.6</v>
      </c>
      <c r="AB492">
        <v>0</v>
      </c>
      <c r="AC492">
        <v>0</v>
      </c>
      <c r="AD492">
        <v>1</v>
      </c>
      <c r="AE492">
        <v>0</v>
      </c>
      <c r="AF492" t="s">
        <v>239</v>
      </c>
      <c r="AG492">
        <v>0.17500000000000002</v>
      </c>
      <c r="AH492">
        <v>2</v>
      </c>
      <c r="AI492">
        <v>16500494</v>
      </c>
      <c r="AJ492">
        <v>454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ROW(Source!A165)</f>
        <v>165</v>
      </c>
      <c r="B493">
        <v>16500495</v>
      </c>
      <c r="C493">
        <v>16500490</v>
      </c>
      <c r="D493">
        <v>15167955</v>
      </c>
      <c r="E493">
        <v>1</v>
      </c>
      <c r="F493">
        <v>1</v>
      </c>
      <c r="G493">
        <v>1</v>
      </c>
      <c r="H493">
        <v>3</v>
      </c>
      <c r="I493" t="s">
        <v>55</v>
      </c>
      <c r="J493" t="s">
        <v>56</v>
      </c>
      <c r="K493" t="s">
        <v>57</v>
      </c>
      <c r="L493">
        <v>1348</v>
      </c>
      <c r="N493">
        <v>1009</v>
      </c>
      <c r="O493" t="s">
        <v>288</v>
      </c>
      <c r="P493" t="s">
        <v>288</v>
      </c>
      <c r="Q493">
        <v>1000</v>
      </c>
      <c r="X493">
        <v>1.4E-3</v>
      </c>
      <c r="Y493">
        <v>30030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224</v>
      </c>
      <c r="AG493">
        <v>1.4E-3</v>
      </c>
      <c r="AH493">
        <v>2</v>
      </c>
      <c r="AI493">
        <v>16500495</v>
      </c>
      <c r="AJ493">
        <v>455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ROW(Source!A165)</f>
        <v>165</v>
      </c>
      <c r="B494">
        <v>16500496</v>
      </c>
      <c r="C494">
        <v>16500490</v>
      </c>
      <c r="D494">
        <v>15167963</v>
      </c>
      <c r="E494">
        <v>1</v>
      </c>
      <c r="F494">
        <v>1</v>
      </c>
      <c r="G494">
        <v>1</v>
      </c>
      <c r="H494">
        <v>3</v>
      </c>
      <c r="I494" t="s">
        <v>37</v>
      </c>
      <c r="J494" t="s">
        <v>38</v>
      </c>
      <c r="K494" t="s">
        <v>39</v>
      </c>
      <c r="L494">
        <v>1346</v>
      </c>
      <c r="N494">
        <v>1009</v>
      </c>
      <c r="O494" t="s">
        <v>303</v>
      </c>
      <c r="P494" t="s">
        <v>303</v>
      </c>
      <c r="Q494">
        <v>1</v>
      </c>
      <c r="X494">
        <v>0.02</v>
      </c>
      <c r="Y494">
        <v>37.29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224</v>
      </c>
      <c r="AG494">
        <v>0.02</v>
      </c>
      <c r="AH494">
        <v>2</v>
      </c>
      <c r="AI494">
        <v>16500496</v>
      </c>
      <c r="AJ494">
        <v>456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ROW(Source!A165)</f>
        <v>165</v>
      </c>
      <c r="B495">
        <v>16500497</v>
      </c>
      <c r="C495">
        <v>16500490</v>
      </c>
      <c r="D495">
        <v>15163011</v>
      </c>
      <c r="E495">
        <v>17</v>
      </c>
      <c r="F495">
        <v>1</v>
      </c>
      <c r="G495">
        <v>1</v>
      </c>
      <c r="H495">
        <v>3</v>
      </c>
      <c r="I495" t="s">
        <v>113</v>
      </c>
      <c r="J495" t="s">
        <v>224</v>
      </c>
      <c r="K495" t="s">
        <v>114</v>
      </c>
      <c r="L495">
        <v>1358</v>
      </c>
      <c r="N495">
        <v>1010</v>
      </c>
      <c r="O495" t="s">
        <v>831</v>
      </c>
      <c r="P495" t="s">
        <v>831</v>
      </c>
      <c r="Q495">
        <v>10</v>
      </c>
      <c r="X495">
        <v>4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 t="s">
        <v>224</v>
      </c>
      <c r="AG495">
        <v>4</v>
      </c>
      <c r="AH495">
        <v>3</v>
      </c>
      <c r="AI495">
        <v>-1</v>
      </c>
      <c r="AJ495" t="s">
        <v>224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ROW(Source!A165)</f>
        <v>165</v>
      </c>
      <c r="B496">
        <v>16500498</v>
      </c>
      <c r="C496">
        <v>16500490</v>
      </c>
      <c r="D496">
        <v>15162072</v>
      </c>
      <c r="E496">
        <v>17</v>
      </c>
      <c r="F496">
        <v>1</v>
      </c>
      <c r="G496">
        <v>1</v>
      </c>
      <c r="H496">
        <v>3</v>
      </c>
      <c r="I496" t="s">
        <v>115</v>
      </c>
      <c r="J496" t="s">
        <v>224</v>
      </c>
      <c r="K496" t="s">
        <v>116</v>
      </c>
      <c r="L496">
        <v>1348</v>
      </c>
      <c r="N496">
        <v>1009</v>
      </c>
      <c r="O496" t="s">
        <v>288</v>
      </c>
      <c r="P496" t="s">
        <v>288</v>
      </c>
      <c r="Q496">
        <v>1000</v>
      </c>
      <c r="X496">
        <v>6.9999999999999999E-4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 t="s">
        <v>224</v>
      </c>
      <c r="AG496">
        <v>6.9999999999999999E-4</v>
      </c>
      <c r="AH496">
        <v>3</v>
      </c>
      <c r="AI496">
        <v>-1</v>
      </c>
      <c r="AJ496" t="s">
        <v>224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ROW(Source!A165)</f>
        <v>165</v>
      </c>
      <c r="B497">
        <v>16500499</v>
      </c>
      <c r="C497">
        <v>16500490</v>
      </c>
      <c r="D497">
        <v>15172117</v>
      </c>
      <c r="E497">
        <v>1</v>
      </c>
      <c r="F497">
        <v>1</v>
      </c>
      <c r="G497">
        <v>1</v>
      </c>
      <c r="H497">
        <v>3</v>
      </c>
      <c r="I497" t="s">
        <v>58</v>
      </c>
      <c r="J497" t="s">
        <v>59</v>
      </c>
      <c r="K497" t="s">
        <v>60</v>
      </c>
      <c r="L497">
        <v>1348</v>
      </c>
      <c r="N497">
        <v>1009</v>
      </c>
      <c r="O497" t="s">
        <v>288</v>
      </c>
      <c r="P497" t="s">
        <v>288</v>
      </c>
      <c r="Q497">
        <v>1000</v>
      </c>
      <c r="X497">
        <v>2E-3</v>
      </c>
      <c r="Y497">
        <v>1836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224</v>
      </c>
      <c r="AG497">
        <v>2E-3</v>
      </c>
      <c r="AH497">
        <v>2</v>
      </c>
      <c r="AI497">
        <v>16500499</v>
      </c>
      <c r="AJ497">
        <v>457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ROW(Source!A165)</f>
        <v>165</v>
      </c>
      <c r="B498">
        <v>16500500</v>
      </c>
      <c r="C498">
        <v>16500490</v>
      </c>
      <c r="D498">
        <v>15203740</v>
      </c>
      <c r="E498">
        <v>1</v>
      </c>
      <c r="F498">
        <v>1</v>
      </c>
      <c r="G498">
        <v>1</v>
      </c>
      <c r="H498">
        <v>3</v>
      </c>
      <c r="I498" t="s">
        <v>796</v>
      </c>
      <c r="J498" t="s">
        <v>797</v>
      </c>
      <c r="K498" t="s">
        <v>798</v>
      </c>
      <c r="L498">
        <v>1348</v>
      </c>
      <c r="N498">
        <v>1009</v>
      </c>
      <c r="O498" t="s">
        <v>288</v>
      </c>
      <c r="P498" t="s">
        <v>288</v>
      </c>
      <c r="Q498">
        <v>1000</v>
      </c>
      <c r="X498">
        <v>4.0000000000000002E-4</v>
      </c>
      <c r="Y498">
        <v>15119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224</v>
      </c>
      <c r="AG498">
        <v>4.0000000000000002E-4</v>
      </c>
      <c r="AH498">
        <v>2</v>
      </c>
      <c r="AI498">
        <v>16500500</v>
      </c>
      <c r="AJ498">
        <v>458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ROW(Source!A165)</f>
        <v>165</v>
      </c>
      <c r="B499">
        <v>16500501</v>
      </c>
      <c r="C499">
        <v>16500490</v>
      </c>
      <c r="D499">
        <v>15163194</v>
      </c>
      <c r="E499">
        <v>17</v>
      </c>
      <c r="F499">
        <v>1</v>
      </c>
      <c r="G499">
        <v>1</v>
      </c>
      <c r="H499">
        <v>3</v>
      </c>
      <c r="I499" t="s">
        <v>117</v>
      </c>
      <c r="J499" t="s">
        <v>224</v>
      </c>
      <c r="K499" t="s">
        <v>118</v>
      </c>
      <c r="L499">
        <v>1346</v>
      </c>
      <c r="N499">
        <v>1009</v>
      </c>
      <c r="O499" t="s">
        <v>303</v>
      </c>
      <c r="P499" t="s">
        <v>303</v>
      </c>
      <c r="Q499">
        <v>1</v>
      </c>
      <c r="X499">
        <v>2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224</v>
      </c>
      <c r="AG499">
        <v>2</v>
      </c>
      <c r="AH499">
        <v>3</v>
      </c>
      <c r="AI499">
        <v>-1</v>
      </c>
      <c r="AJ499" t="s">
        <v>224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ROW(Source!A165)</f>
        <v>165</v>
      </c>
      <c r="B500">
        <v>16500502</v>
      </c>
      <c r="C500">
        <v>16500490</v>
      </c>
      <c r="D500">
        <v>15204468</v>
      </c>
      <c r="E500">
        <v>1</v>
      </c>
      <c r="F500">
        <v>1</v>
      </c>
      <c r="G500">
        <v>1</v>
      </c>
      <c r="H500">
        <v>3</v>
      </c>
      <c r="I500" t="s">
        <v>46</v>
      </c>
      <c r="J500" t="s">
        <v>47</v>
      </c>
      <c r="K500" t="s">
        <v>48</v>
      </c>
      <c r="L500">
        <v>1348</v>
      </c>
      <c r="N500">
        <v>1009</v>
      </c>
      <c r="O500" t="s">
        <v>288</v>
      </c>
      <c r="P500" t="s">
        <v>288</v>
      </c>
      <c r="Q500">
        <v>1000</v>
      </c>
      <c r="X500">
        <v>2.0000000000000001E-4</v>
      </c>
      <c r="Y500">
        <v>16950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224</v>
      </c>
      <c r="AG500">
        <v>2.0000000000000001E-4</v>
      </c>
      <c r="AH500">
        <v>2</v>
      </c>
      <c r="AI500">
        <v>16500502</v>
      </c>
      <c r="AJ500">
        <v>459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ROW(Source!A165)</f>
        <v>165</v>
      </c>
      <c r="B501">
        <v>16500503</v>
      </c>
      <c r="C501">
        <v>16500490</v>
      </c>
      <c r="D501">
        <v>15163189</v>
      </c>
      <c r="E501">
        <v>17</v>
      </c>
      <c r="F501">
        <v>1</v>
      </c>
      <c r="G501">
        <v>1</v>
      </c>
      <c r="H501">
        <v>3</v>
      </c>
      <c r="I501" t="s">
        <v>119</v>
      </c>
      <c r="J501" t="s">
        <v>224</v>
      </c>
      <c r="K501" t="s">
        <v>120</v>
      </c>
      <c r="L501">
        <v>1035</v>
      </c>
      <c r="N501">
        <v>1013</v>
      </c>
      <c r="O501" t="s">
        <v>535</v>
      </c>
      <c r="P501" t="s">
        <v>535</v>
      </c>
      <c r="Q501">
        <v>1</v>
      </c>
      <c r="X501">
        <v>10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 t="s">
        <v>224</v>
      </c>
      <c r="AG501">
        <v>10</v>
      </c>
      <c r="AH501">
        <v>3</v>
      </c>
      <c r="AI501">
        <v>-1</v>
      </c>
      <c r="AJ501" t="s">
        <v>224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ROW(Source!A166)</f>
        <v>166</v>
      </c>
      <c r="B502">
        <v>16500491</v>
      </c>
      <c r="C502">
        <v>16500490</v>
      </c>
      <c r="D502">
        <v>15436556</v>
      </c>
      <c r="E502">
        <v>1</v>
      </c>
      <c r="F502">
        <v>1</v>
      </c>
      <c r="G502">
        <v>1</v>
      </c>
      <c r="H502">
        <v>1</v>
      </c>
      <c r="I502" t="s">
        <v>726</v>
      </c>
      <c r="J502" t="s">
        <v>224</v>
      </c>
      <c r="K502" t="s">
        <v>727</v>
      </c>
      <c r="L502">
        <v>1191</v>
      </c>
      <c r="N502">
        <v>1013</v>
      </c>
      <c r="O502" t="s">
        <v>628</v>
      </c>
      <c r="P502" t="s">
        <v>628</v>
      </c>
      <c r="Q502">
        <v>1</v>
      </c>
      <c r="X502">
        <v>8.99</v>
      </c>
      <c r="Y502">
        <v>0</v>
      </c>
      <c r="Z502">
        <v>0</v>
      </c>
      <c r="AA502">
        <v>0</v>
      </c>
      <c r="AB502">
        <v>9.6199999999999992</v>
      </c>
      <c r="AC502">
        <v>0</v>
      </c>
      <c r="AD502">
        <v>1</v>
      </c>
      <c r="AE502">
        <v>1</v>
      </c>
      <c r="AF502" t="s">
        <v>240</v>
      </c>
      <c r="AG502">
        <v>10.3385</v>
      </c>
      <c r="AH502">
        <v>2</v>
      </c>
      <c r="AI502">
        <v>16500491</v>
      </c>
      <c r="AJ502">
        <v>461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ROW(Source!A166)</f>
        <v>166</v>
      </c>
      <c r="B503">
        <v>16500492</v>
      </c>
      <c r="C503">
        <v>16500490</v>
      </c>
      <c r="D503">
        <v>15430395</v>
      </c>
      <c r="E503">
        <v>1</v>
      </c>
      <c r="F503">
        <v>1</v>
      </c>
      <c r="G503">
        <v>1</v>
      </c>
      <c r="H503">
        <v>1</v>
      </c>
      <c r="I503" t="s">
        <v>629</v>
      </c>
      <c r="J503" t="s">
        <v>224</v>
      </c>
      <c r="K503" t="s">
        <v>630</v>
      </c>
      <c r="L503">
        <v>1191</v>
      </c>
      <c r="N503">
        <v>1013</v>
      </c>
      <c r="O503" t="s">
        <v>628</v>
      </c>
      <c r="P503" t="s">
        <v>628</v>
      </c>
      <c r="Q503">
        <v>1</v>
      </c>
      <c r="X503">
        <v>0.21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2</v>
      </c>
      <c r="AF503" t="s">
        <v>239</v>
      </c>
      <c r="AG503">
        <v>0.26250000000000001</v>
      </c>
      <c r="AH503">
        <v>2</v>
      </c>
      <c r="AI503">
        <v>16500492</v>
      </c>
      <c r="AJ503">
        <v>462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ROW(Source!A166)</f>
        <v>166</v>
      </c>
      <c r="B504">
        <v>16500493</v>
      </c>
      <c r="C504">
        <v>16500490</v>
      </c>
      <c r="D504">
        <v>15247974</v>
      </c>
      <c r="E504">
        <v>1</v>
      </c>
      <c r="F504">
        <v>1</v>
      </c>
      <c r="G504">
        <v>1</v>
      </c>
      <c r="H504">
        <v>2</v>
      </c>
      <c r="I504" t="s">
        <v>640</v>
      </c>
      <c r="J504" t="s">
        <v>641</v>
      </c>
      <c r="K504" t="s">
        <v>642</v>
      </c>
      <c r="L504">
        <v>1368</v>
      </c>
      <c r="N504">
        <v>1011</v>
      </c>
      <c r="O504" t="s">
        <v>634</v>
      </c>
      <c r="P504" t="s">
        <v>634</v>
      </c>
      <c r="Q504">
        <v>1</v>
      </c>
      <c r="X504">
        <v>7.0000000000000007E-2</v>
      </c>
      <c r="Y504">
        <v>0</v>
      </c>
      <c r="Z504">
        <v>31.26</v>
      </c>
      <c r="AA504">
        <v>13.5</v>
      </c>
      <c r="AB504">
        <v>0</v>
      </c>
      <c r="AC504">
        <v>0</v>
      </c>
      <c r="AD504">
        <v>1</v>
      </c>
      <c r="AE504">
        <v>0</v>
      </c>
      <c r="AF504" t="s">
        <v>239</v>
      </c>
      <c r="AG504">
        <v>8.7500000000000008E-2</v>
      </c>
      <c r="AH504">
        <v>2</v>
      </c>
      <c r="AI504">
        <v>16500493</v>
      </c>
      <c r="AJ504">
        <v>463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ROW(Source!A166)</f>
        <v>166</v>
      </c>
      <c r="B505">
        <v>16500494</v>
      </c>
      <c r="C505">
        <v>16500490</v>
      </c>
      <c r="D505">
        <v>15249073</v>
      </c>
      <c r="E505">
        <v>1</v>
      </c>
      <c r="F505">
        <v>1</v>
      </c>
      <c r="G505">
        <v>1</v>
      </c>
      <c r="H505">
        <v>2</v>
      </c>
      <c r="I505" t="s">
        <v>631</v>
      </c>
      <c r="J505" t="s">
        <v>632</v>
      </c>
      <c r="K505" t="s">
        <v>633</v>
      </c>
      <c r="L505">
        <v>1368</v>
      </c>
      <c r="N505">
        <v>1011</v>
      </c>
      <c r="O505" t="s">
        <v>634</v>
      </c>
      <c r="P505" t="s">
        <v>634</v>
      </c>
      <c r="Q505">
        <v>1</v>
      </c>
      <c r="X505">
        <v>0.14000000000000001</v>
      </c>
      <c r="Y505">
        <v>0</v>
      </c>
      <c r="Z505">
        <v>65.709999999999994</v>
      </c>
      <c r="AA505">
        <v>11.6</v>
      </c>
      <c r="AB505">
        <v>0</v>
      </c>
      <c r="AC505">
        <v>0</v>
      </c>
      <c r="AD505">
        <v>1</v>
      </c>
      <c r="AE505">
        <v>0</v>
      </c>
      <c r="AF505" t="s">
        <v>239</v>
      </c>
      <c r="AG505">
        <v>0.17500000000000002</v>
      </c>
      <c r="AH505">
        <v>2</v>
      </c>
      <c r="AI505">
        <v>16500494</v>
      </c>
      <c r="AJ505">
        <v>464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ROW(Source!A166)</f>
        <v>166</v>
      </c>
      <c r="B506">
        <v>16500495</v>
      </c>
      <c r="C506">
        <v>16500490</v>
      </c>
      <c r="D506">
        <v>15167955</v>
      </c>
      <c r="E506">
        <v>1</v>
      </c>
      <c r="F506">
        <v>1</v>
      </c>
      <c r="G506">
        <v>1</v>
      </c>
      <c r="H506">
        <v>3</v>
      </c>
      <c r="I506" t="s">
        <v>55</v>
      </c>
      <c r="J506" t="s">
        <v>56</v>
      </c>
      <c r="K506" t="s">
        <v>57</v>
      </c>
      <c r="L506">
        <v>1348</v>
      </c>
      <c r="N506">
        <v>1009</v>
      </c>
      <c r="O506" t="s">
        <v>288</v>
      </c>
      <c r="P506" t="s">
        <v>288</v>
      </c>
      <c r="Q506">
        <v>1000</v>
      </c>
      <c r="X506">
        <v>1.4E-3</v>
      </c>
      <c r="Y506">
        <v>30030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224</v>
      </c>
      <c r="AG506">
        <v>1.4E-3</v>
      </c>
      <c r="AH506">
        <v>2</v>
      </c>
      <c r="AI506">
        <v>16500495</v>
      </c>
      <c r="AJ506">
        <v>465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ROW(Source!A166)</f>
        <v>166</v>
      </c>
      <c r="B507">
        <v>16500496</v>
      </c>
      <c r="C507">
        <v>16500490</v>
      </c>
      <c r="D507">
        <v>15167963</v>
      </c>
      <c r="E507">
        <v>1</v>
      </c>
      <c r="F507">
        <v>1</v>
      </c>
      <c r="G507">
        <v>1</v>
      </c>
      <c r="H507">
        <v>3</v>
      </c>
      <c r="I507" t="s">
        <v>37</v>
      </c>
      <c r="J507" t="s">
        <v>38</v>
      </c>
      <c r="K507" t="s">
        <v>39</v>
      </c>
      <c r="L507">
        <v>1346</v>
      </c>
      <c r="N507">
        <v>1009</v>
      </c>
      <c r="O507" t="s">
        <v>303</v>
      </c>
      <c r="P507" t="s">
        <v>303</v>
      </c>
      <c r="Q507">
        <v>1</v>
      </c>
      <c r="X507">
        <v>0.02</v>
      </c>
      <c r="Y507">
        <v>37.29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224</v>
      </c>
      <c r="AG507">
        <v>0.02</v>
      </c>
      <c r="AH507">
        <v>2</v>
      </c>
      <c r="AI507">
        <v>16500496</v>
      </c>
      <c r="AJ507">
        <v>466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ROW(Source!A166)</f>
        <v>166</v>
      </c>
      <c r="B508">
        <v>16500497</v>
      </c>
      <c r="C508">
        <v>16500490</v>
      </c>
      <c r="D508">
        <v>15163011</v>
      </c>
      <c r="E508">
        <v>17</v>
      </c>
      <c r="F508">
        <v>1</v>
      </c>
      <c r="G508">
        <v>1</v>
      </c>
      <c r="H508">
        <v>3</v>
      </c>
      <c r="I508" t="s">
        <v>113</v>
      </c>
      <c r="J508" t="s">
        <v>224</v>
      </c>
      <c r="K508" t="s">
        <v>114</v>
      </c>
      <c r="L508">
        <v>1358</v>
      </c>
      <c r="N508">
        <v>1010</v>
      </c>
      <c r="O508" t="s">
        <v>831</v>
      </c>
      <c r="P508" t="s">
        <v>831</v>
      </c>
      <c r="Q508">
        <v>10</v>
      </c>
      <c r="X508">
        <v>4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224</v>
      </c>
      <c r="AG508">
        <v>4</v>
      </c>
      <c r="AH508">
        <v>3</v>
      </c>
      <c r="AI508">
        <v>-1</v>
      </c>
      <c r="AJ508" t="s">
        <v>224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ROW(Source!A166)</f>
        <v>166</v>
      </c>
      <c r="B509">
        <v>16500498</v>
      </c>
      <c r="C509">
        <v>16500490</v>
      </c>
      <c r="D509">
        <v>15162072</v>
      </c>
      <c r="E509">
        <v>17</v>
      </c>
      <c r="F509">
        <v>1</v>
      </c>
      <c r="G509">
        <v>1</v>
      </c>
      <c r="H509">
        <v>3</v>
      </c>
      <c r="I509" t="s">
        <v>115</v>
      </c>
      <c r="J509" t="s">
        <v>224</v>
      </c>
      <c r="K509" t="s">
        <v>116</v>
      </c>
      <c r="L509">
        <v>1348</v>
      </c>
      <c r="N509">
        <v>1009</v>
      </c>
      <c r="O509" t="s">
        <v>288</v>
      </c>
      <c r="P509" t="s">
        <v>288</v>
      </c>
      <c r="Q509">
        <v>1000</v>
      </c>
      <c r="X509">
        <v>6.9999999999999999E-4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 t="s">
        <v>224</v>
      </c>
      <c r="AG509">
        <v>6.9999999999999999E-4</v>
      </c>
      <c r="AH509">
        <v>3</v>
      </c>
      <c r="AI509">
        <v>-1</v>
      </c>
      <c r="AJ509" t="s">
        <v>224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ROW(Source!A166)</f>
        <v>166</v>
      </c>
      <c r="B510">
        <v>16500499</v>
      </c>
      <c r="C510">
        <v>16500490</v>
      </c>
      <c r="D510">
        <v>15172117</v>
      </c>
      <c r="E510">
        <v>1</v>
      </c>
      <c r="F510">
        <v>1</v>
      </c>
      <c r="G510">
        <v>1</v>
      </c>
      <c r="H510">
        <v>3</v>
      </c>
      <c r="I510" t="s">
        <v>58</v>
      </c>
      <c r="J510" t="s">
        <v>59</v>
      </c>
      <c r="K510" t="s">
        <v>60</v>
      </c>
      <c r="L510">
        <v>1348</v>
      </c>
      <c r="N510">
        <v>1009</v>
      </c>
      <c r="O510" t="s">
        <v>288</v>
      </c>
      <c r="P510" t="s">
        <v>288</v>
      </c>
      <c r="Q510">
        <v>1000</v>
      </c>
      <c r="X510">
        <v>2E-3</v>
      </c>
      <c r="Y510">
        <v>1836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224</v>
      </c>
      <c r="AG510">
        <v>2E-3</v>
      </c>
      <c r="AH510">
        <v>2</v>
      </c>
      <c r="AI510">
        <v>16500499</v>
      </c>
      <c r="AJ510">
        <v>467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ROW(Source!A166)</f>
        <v>166</v>
      </c>
      <c r="B511">
        <v>16500500</v>
      </c>
      <c r="C511">
        <v>16500490</v>
      </c>
      <c r="D511">
        <v>15203740</v>
      </c>
      <c r="E511">
        <v>1</v>
      </c>
      <c r="F511">
        <v>1</v>
      </c>
      <c r="G511">
        <v>1</v>
      </c>
      <c r="H511">
        <v>3</v>
      </c>
      <c r="I511" t="s">
        <v>796</v>
      </c>
      <c r="J511" t="s">
        <v>797</v>
      </c>
      <c r="K511" t="s">
        <v>798</v>
      </c>
      <c r="L511">
        <v>1348</v>
      </c>
      <c r="N511">
        <v>1009</v>
      </c>
      <c r="O511" t="s">
        <v>288</v>
      </c>
      <c r="P511" t="s">
        <v>288</v>
      </c>
      <c r="Q511">
        <v>1000</v>
      </c>
      <c r="X511">
        <v>4.0000000000000002E-4</v>
      </c>
      <c r="Y511">
        <v>15119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224</v>
      </c>
      <c r="AG511">
        <v>4.0000000000000002E-4</v>
      </c>
      <c r="AH511">
        <v>2</v>
      </c>
      <c r="AI511">
        <v>16500500</v>
      </c>
      <c r="AJ511">
        <v>468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ROW(Source!A166)</f>
        <v>166</v>
      </c>
      <c r="B512">
        <v>16500501</v>
      </c>
      <c r="C512">
        <v>16500490</v>
      </c>
      <c r="D512">
        <v>15163194</v>
      </c>
      <c r="E512">
        <v>17</v>
      </c>
      <c r="F512">
        <v>1</v>
      </c>
      <c r="G512">
        <v>1</v>
      </c>
      <c r="H512">
        <v>3</v>
      </c>
      <c r="I512" t="s">
        <v>117</v>
      </c>
      <c r="J512" t="s">
        <v>224</v>
      </c>
      <c r="K512" t="s">
        <v>118</v>
      </c>
      <c r="L512">
        <v>1346</v>
      </c>
      <c r="N512">
        <v>1009</v>
      </c>
      <c r="O512" t="s">
        <v>303</v>
      </c>
      <c r="P512" t="s">
        <v>303</v>
      </c>
      <c r="Q512">
        <v>1</v>
      </c>
      <c r="X512">
        <v>2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 t="s">
        <v>224</v>
      </c>
      <c r="AG512">
        <v>2</v>
      </c>
      <c r="AH512">
        <v>3</v>
      </c>
      <c r="AI512">
        <v>-1</v>
      </c>
      <c r="AJ512" t="s">
        <v>224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ROW(Source!A166)</f>
        <v>166</v>
      </c>
      <c r="B513">
        <v>16500502</v>
      </c>
      <c r="C513">
        <v>16500490</v>
      </c>
      <c r="D513">
        <v>15204468</v>
      </c>
      <c r="E513">
        <v>1</v>
      </c>
      <c r="F513">
        <v>1</v>
      </c>
      <c r="G513">
        <v>1</v>
      </c>
      <c r="H513">
        <v>3</v>
      </c>
      <c r="I513" t="s">
        <v>46</v>
      </c>
      <c r="J513" t="s">
        <v>47</v>
      </c>
      <c r="K513" t="s">
        <v>48</v>
      </c>
      <c r="L513">
        <v>1348</v>
      </c>
      <c r="N513">
        <v>1009</v>
      </c>
      <c r="O513" t="s">
        <v>288</v>
      </c>
      <c r="P513" t="s">
        <v>288</v>
      </c>
      <c r="Q513">
        <v>1000</v>
      </c>
      <c r="X513">
        <v>2.0000000000000001E-4</v>
      </c>
      <c r="Y513">
        <v>16950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224</v>
      </c>
      <c r="AG513">
        <v>2.0000000000000001E-4</v>
      </c>
      <c r="AH513">
        <v>2</v>
      </c>
      <c r="AI513">
        <v>16500502</v>
      </c>
      <c r="AJ513">
        <v>469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ROW(Source!A166)</f>
        <v>166</v>
      </c>
      <c r="B514">
        <v>16500503</v>
      </c>
      <c r="C514">
        <v>16500490</v>
      </c>
      <c r="D514">
        <v>15163189</v>
      </c>
      <c r="E514">
        <v>17</v>
      </c>
      <c r="F514">
        <v>1</v>
      </c>
      <c r="G514">
        <v>1</v>
      </c>
      <c r="H514">
        <v>3</v>
      </c>
      <c r="I514" t="s">
        <v>119</v>
      </c>
      <c r="J514" t="s">
        <v>224</v>
      </c>
      <c r="K514" t="s">
        <v>120</v>
      </c>
      <c r="L514">
        <v>1035</v>
      </c>
      <c r="N514">
        <v>1013</v>
      </c>
      <c r="O514" t="s">
        <v>535</v>
      </c>
      <c r="P514" t="s">
        <v>535</v>
      </c>
      <c r="Q514">
        <v>1</v>
      </c>
      <c r="X514">
        <v>10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 t="s">
        <v>224</v>
      </c>
      <c r="AG514">
        <v>10</v>
      </c>
      <c r="AH514">
        <v>3</v>
      </c>
      <c r="AI514">
        <v>-1</v>
      </c>
      <c r="AJ514" t="s">
        <v>224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ROW(Source!A169)</f>
        <v>169</v>
      </c>
      <c r="B515">
        <v>16500509</v>
      </c>
      <c r="C515">
        <v>16500508</v>
      </c>
      <c r="D515">
        <v>15436556</v>
      </c>
      <c r="E515">
        <v>1</v>
      </c>
      <c r="F515">
        <v>1</v>
      </c>
      <c r="G515">
        <v>1</v>
      </c>
      <c r="H515">
        <v>1</v>
      </c>
      <c r="I515" t="s">
        <v>726</v>
      </c>
      <c r="J515" t="s">
        <v>224</v>
      </c>
      <c r="K515" t="s">
        <v>727</v>
      </c>
      <c r="L515">
        <v>1191</v>
      </c>
      <c r="N515">
        <v>1013</v>
      </c>
      <c r="O515" t="s">
        <v>628</v>
      </c>
      <c r="P515" t="s">
        <v>628</v>
      </c>
      <c r="Q515">
        <v>1</v>
      </c>
      <c r="X515">
        <v>7</v>
      </c>
      <c r="Y515">
        <v>0</v>
      </c>
      <c r="Z515">
        <v>0</v>
      </c>
      <c r="AA515">
        <v>0</v>
      </c>
      <c r="AB515">
        <v>9.6199999999999992</v>
      </c>
      <c r="AC515">
        <v>0</v>
      </c>
      <c r="AD515">
        <v>1</v>
      </c>
      <c r="AE515">
        <v>1</v>
      </c>
      <c r="AF515" t="s">
        <v>240</v>
      </c>
      <c r="AG515">
        <v>8.0499999999999989</v>
      </c>
      <c r="AH515">
        <v>2</v>
      </c>
      <c r="AI515">
        <v>16500509</v>
      </c>
      <c r="AJ515">
        <v>471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ROW(Source!A169)</f>
        <v>169</v>
      </c>
      <c r="B516">
        <v>16500510</v>
      </c>
      <c r="C516">
        <v>16500508</v>
      </c>
      <c r="D516">
        <v>15167963</v>
      </c>
      <c r="E516">
        <v>1</v>
      </c>
      <c r="F516">
        <v>1</v>
      </c>
      <c r="G516">
        <v>1</v>
      </c>
      <c r="H516">
        <v>3</v>
      </c>
      <c r="I516" t="s">
        <v>37</v>
      </c>
      <c r="J516" t="s">
        <v>38</v>
      </c>
      <c r="K516" t="s">
        <v>39</v>
      </c>
      <c r="L516">
        <v>1346</v>
      </c>
      <c r="N516">
        <v>1009</v>
      </c>
      <c r="O516" t="s">
        <v>303</v>
      </c>
      <c r="P516" t="s">
        <v>303</v>
      </c>
      <c r="Q516">
        <v>1</v>
      </c>
      <c r="X516">
        <v>0.13</v>
      </c>
      <c r="Y516">
        <v>37.29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224</v>
      </c>
      <c r="AG516">
        <v>0.13</v>
      </c>
      <c r="AH516">
        <v>2</v>
      </c>
      <c r="AI516">
        <v>16500510</v>
      </c>
      <c r="AJ516">
        <v>472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ROW(Source!A169)</f>
        <v>169</v>
      </c>
      <c r="B517">
        <v>16500511</v>
      </c>
      <c r="C517">
        <v>16500508</v>
      </c>
      <c r="D517">
        <v>15163011</v>
      </c>
      <c r="E517">
        <v>17</v>
      </c>
      <c r="F517">
        <v>1</v>
      </c>
      <c r="G517">
        <v>1</v>
      </c>
      <c r="H517">
        <v>3</v>
      </c>
      <c r="I517" t="s">
        <v>113</v>
      </c>
      <c r="J517" t="s">
        <v>224</v>
      </c>
      <c r="K517" t="s">
        <v>114</v>
      </c>
      <c r="L517">
        <v>1358</v>
      </c>
      <c r="N517">
        <v>1010</v>
      </c>
      <c r="O517" t="s">
        <v>831</v>
      </c>
      <c r="P517" t="s">
        <v>831</v>
      </c>
      <c r="Q517">
        <v>10</v>
      </c>
      <c r="X517">
        <v>2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 t="s">
        <v>224</v>
      </c>
      <c r="AG517">
        <v>2</v>
      </c>
      <c r="AH517">
        <v>3</v>
      </c>
      <c r="AI517">
        <v>-1</v>
      </c>
      <c r="AJ517" t="s">
        <v>224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ROW(Source!A169)</f>
        <v>169</v>
      </c>
      <c r="B518">
        <v>16500512</v>
      </c>
      <c r="C518">
        <v>16500508</v>
      </c>
      <c r="D518">
        <v>15162072</v>
      </c>
      <c r="E518">
        <v>17</v>
      </c>
      <c r="F518">
        <v>1</v>
      </c>
      <c r="G518">
        <v>1</v>
      </c>
      <c r="H518">
        <v>3</v>
      </c>
      <c r="I518" t="s">
        <v>115</v>
      </c>
      <c r="J518" t="s">
        <v>224</v>
      </c>
      <c r="K518" t="s">
        <v>116</v>
      </c>
      <c r="L518">
        <v>1348</v>
      </c>
      <c r="N518">
        <v>1009</v>
      </c>
      <c r="O518" t="s">
        <v>288</v>
      </c>
      <c r="P518" t="s">
        <v>288</v>
      </c>
      <c r="Q518">
        <v>1000</v>
      </c>
      <c r="X518">
        <v>1E-4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 t="s">
        <v>224</v>
      </c>
      <c r="AG518">
        <v>1E-4</v>
      </c>
      <c r="AH518">
        <v>3</v>
      </c>
      <c r="AI518">
        <v>-1</v>
      </c>
      <c r="AJ518" t="s">
        <v>224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ROW(Source!A169)</f>
        <v>169</v>
      </c>
      <c r="B519">
        <v>16500513</v>
      </c>
      <c r="C519">
        <v>16500508</v>
      </c>
      <c r="D519">
        <v>15203740</v>
      </c>
      <c r="E519">
        <v>1</v>
      </c>
      <c r="F519">
        <v>1</v>
      </c>
      <c r="G519">
        <v>1</v>
      </c>
      <c r="H519">
        <v>3</v>
      </c>
      <c r="I519" t="s">
        <v>796</v>
      </c>
      <c r="J519" t="s">
        <v>797</v>
      </c>
      <c r="K519" t="s">
        <v>798</v>
      </c>
      <c r="L519">
        <v>1348</v>
      </c>
      <c r="N519">
        <v>1009</v>
      </c>
      <c r="O519" t="s">
        <v>288</v>
      </c>
      <c r="P519" t="s">
        <v>288</v>
      </c>
      <c r="Q519">
        <v>1000</v>
      </c>
      <c r="X519">
        <v>2.5999999999999998E-4</v>
      </c>
      <c r="Y519">
        <v>15119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224</v>
      </c>
      <c r="AG519">
        <v>2.5999999999999998E-4</v>
      </c>
      <c r="AH519">
        <v>2</v>
      </c>
      <c r="AI519">
        <v>16500513</v>
      </c>
      <c r="AJ519">
        <v>473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ROW(Source!A169)</f>
        <v>169</v>
      </c>
      <c r="B520">
        <v>16500514</v>
      </c>
      <c r="C520">
        <v>16500508</v>
      </c>
      <c r="D520">
        <v>15204468</v>
      </c>
      <c r="E520">
        <v>1</v>
      </c>
      <c r="F520">
        <v>1</v>
      </c>
      <c r="G520">
        <v>1</v>
      </c>
      <c r="H520">
        <v>3</v>
      </c>
      <c r="I520" t="s">
        <v>46</v>
      </c>
      <c r="J520" t="s">
        <v>47</v>
      </c>
      <c r="K520" t="s">
        <v>48</v>
      </c>
      <c r="L520">
        <v>1348</v>
      </c>
      <c r="N520">
        <v>1009</v>
      </c>
      <c r="O520" t="s">
        <v>288</v>
      </c>
      <c r="P520" t="s">
        <v>288</v>
      </c>
      <c r="Q520">
        <v>1000</v>
      </c>
      <c r="X520">
        <v>1.2999999999999999E-4</v>
      </c>
      <c r="Y520">
        <v>16950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224</v>
      </c>
      <c r="AG520">
        <v>1.2999999999999999E-4</v>
      </c>
      <c r="AH520">
        <v>2</v>
      </c>
      <c r="AI520">
        <v>16500514</v>
      </c>
      <c r="AJ520">
        <v>474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ROW(Source!A169)</f>
        <v>169</v>
      </c>
      <c r="B521">
        <v>16500515</v>
      </c>
      <c r="C521">
        <v>16500508</v>
      </c>
      <c r="D521">
        <v>15163207</v>
      </c>
      <c r="E521">
        <v>17</v>
      </c>
      <c r="F521">
        <v>1</v>
      </c>
      <c r="G521">
        <v>1</v>
      </c>
      <c r="H521">
        <v>3</v>
      </c>
      <c r="I521" t="s">
        <v>121</v>
      </c>
      <c r="J521" t="s">
        <v>224</v>
      </c>
      <c r="K521" t="s">
        <v>122</v>
      </c>
      <c r="L521">
        <v>1354</v>
      </c>
      <c r="N521">
        <v>1010</v>
      </c>
      <c r="O521" t="s">
        <v>413</v>
      </c>
      <c r="P521" t="s">
        <v>413</v>
      </c>
      <c r="Q521">
        <v>1</v>
      </c>
      <c r="X521">
        <v>10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 t="s">
        <v>224</v>
      </c>
      <c r="AG521">
        <v>10</v>
      </c>
      <c r="AH521">
        <v>3</v>
      </c>
      <c r="AI521">
        <v>-1</v>
      </c>
      <c r="AJ521" t="s">
        <v>224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ROW(Source!A170)</f>
        <v>170</v>
      </c>
      <c r="B522">
        <v>16500509</v>
      </c>
      <c r="C522">
        <v>16500508</v>
      </c>
      <c r="D522">
        <v>15436556</v>
      </c>
      <c r="E522">
        <v>1</v>
      </c>
      <c r="F522">
        <v>1</v>
      </c>
      <c r="G522">
        <v>1</v>
      </c>
      <c r="H522">
        <v>1</v>
      </c>
      <c r="I522" t="s">
        <v>726</v>
      </c>
      <c r="J522" t="s">
        <v>224</v>
      </c>
      <c r="K522" t="s">
        <v>727</v>
      </c>
      <c r="L522">
        <v>1191</v>
      </c>
      <c r="N522">
        <v>1013</v>
      </c>
      <c r="O522" t="s">
        <v>628</v>
      </c>
      <c r="P522" t="s">
        <v>628</v>
      </c>
      <c r="Q522">
        <v>1</v>
      </c>
      <c r="X522">
        <v>7</v>
      </c>
      <c r="Y522">
        <v>0</v>
      </c>
      <c r="Z522">
        <v>0</v>
      </c>
      <c r="AA522">
        <v>0</v>
      </c>
      <c r="AB522">
        <v>9.6199999999999992</v>
      </c>
      <c r="AC522">
        <v>0</v>
      </c>
      <c r="AD522">
        <v>1</v>
      </c>
      <c r="AE522">
        <v>1</v>
      </c>
      <c r="AF522" t="s">
        <v>240</v>
      </c>
      <c r="AG522">
        <v>8.0499999999999989</v>
      </c>
      <c r="AH522">
        <v>2</v>
      </c>
      <c r="AI522">
        <v>16500509</v>
      </c>
      <c r="AJ522">
        <v>476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ROW(Source!A170)</f>
        <v>170</v>
      </c>
      <c r="B523">
        <v>16500510</v>
      </c>
      <c r="C523">
        <v>16500508</v>
      </c>
      <c r="D523">
        <v>15167963</v>
      </c>
      <c r="E523">
        <v>1</v>
      </c>
      <c r="F523">
        <v>1</v>
      </c>
      <c r="G523">
        <v>1</v>
      </c>
      <c r="H523">
        <v>3</v>
      </c>
      <c r="I523" t="s">
        <v>37</v>
      </c>
      <c r="J523" t="s">
        <v>38</v>
      </c>
      <c r="K523" t="s">
        <v>39</v>
      </c>
      <c r="L523">
        <v>1346</v>
      </c>
      <c r="N523">
        <v>1009</v>
      </c>
      <c r="O523" t="s">
        <v>303</v>
      </c>
      <c r="P523" t="s">
        <v>303</v>
      </c>
      <c r="Q523">
        <v>1</v>
      </c>
      <c r="X523">
        <v>0.13</v>
      </c>
      <c r="Y523">
        <v>37.29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224</v>
      </c>
      <c r="AG523">
        <v>0.13</v>
      </c>
      <c r="AH523">
        <v>2</v>
      </c>
      <c r="AI523">
        <v>16500510</v>
      </c>
      <c r="AJ523">
        <v>477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ROW(Source!A170)</f>
        <v>170</v>
      </c>
      <c r="B524">
        <v>16500511</v>
      </c>
      <c r="C524">
        <v>16500508</v>
      </c>
      <c r="D524">
        <v>15163011</v>
      </c>
      <c r="E524">
        <v>17</v>
      </c>
      <c r="F524">
        <v>1</v>
      </c>
      <c r="G524">
        <v>1</v>
      </c>
      <c r="H524">
        <v>3</v>
      </c>
      <c r="I524" t="s">
        <v>113</v>
      </c>
      <c r="J524" t="s">
        <v>224</v>
      </c>
      <c r="K524" t="s">
        <v>114</v>
      </c>
      <c r="L524">
        <v>1358</v>
      </c>
      <c r="N524">
        <v>1010</v>
      </c>
      <c r="O524" t="s">
        <v>831</v>
      </c>
      <c r="P524" t="s">
        <v>831</v>
      </c>
      <c r="Q524">
        <v>10</v>
      </c>
      <c r="X524">
        <v>2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 t="s">
        <v>224</v>
      </c>
      <c r="AG524">
        <v>2</v>
      </c>
      <c r="AH524">
        <v>3</v>
      </c>
      <c r="AI524">
        <v>-1</v>
      </c>
      <c r="AJ524" t="s">
        <v>224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ROW(Source!A170)</f>
        <v>170</v>
      </c>
      <c r="B525">
        <v>16500512</v>
      </c>
      <c r="C525">
        <v>16500508</v>
      </c>
      <c r="D525">
        <v>15162072</v>
      </c>
      <c r="E525">
        <v>17</v>
      </c>
      <c r="F525">
        <v>1</v>
      </c>
      <c r="G525">
        <v>1</v>
      </c>
      <c r="H525">
        <v>3</v>
      </c>
      <c r="I525" t="s">
        <v>115</v>
      </c>
      <c r="J525" t="s">
        <v>224</v>
      </c>
      <c r="K525" t="s">
        <v>116</v>
      </c>
      <c r="L525">
        <v>1348</v>
      </c>
      <c r="N525">
        <v>1009</v>
      </c>
      <c r="O525" t="s">
        <v>288</v>
      </c>
      <c r="P525" t="s">
        <v>288</v>
      </c>
      <c r="Q525">
        <v>1000</v>
      </c>
      <c r="X525">
        <v>1E-4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 t="s">
        <v>224</v>
      </c>
      <c r="AG525">
        <v>1E-4</v>
      </c>
      <c r="AH525">
        <v>3</v>
      </c>
      <c r="AI525">
        <v>-1</v>
      </c>
      <c r="AJ525" t="s">
        <v>224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ROW(Source!A170)</f>
        <v>170</v>
      </c>
      <c r="B526">
        <v>16500513</v>
      </c>
      <c r="C526">
        <v>16500508</v>
      </c>
      <c r="D526">
        <v>15203740</v>
      </c>
      <c r="E526">
        <v>1</v>
      </c>
      <c r="F526">
        <v>1</v>
      </c>
      <c r="G526">
        <v>1</v>
      </c>
      <c r="H526">
        <v>3</v>
      </c>
      <c r="I526" t="s">
        <v>796</v>
      </c>
      <c r="J526" t="s">
        <v>797</v>
      </c>
      <c r="K526" t="s">
        <v>798</v>
      </c>
      <c r="L526">
        <v>1348</v>
      </c>
      <c r="N526">
        <v>1009</v>
      </c>
      <c r="O526" t="s">
        <v>288</v>
      </c>
      <c r="P526" t="s">
        <v>288</v>
      </c>
      <c r="Q526">
        <v>1000</v>
      </c>
      <c r="X526">
        <v>2.5999999999999998E-4</v>
      </c>
      <c r="Y526">
        <v>15119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224</v>
      </c>
      <c r="AG526">
        <v>2.5999999999999998E-4</v>
      </c>
      <c r="AH526">
        <v>2</v>
      </c>
      <c r="AI526">
        <v>16500513</v>
      </c>
      <c r="AJ526">
        <v>478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ROW(Source!A170)</f>
        <v>170</v>
      </c>
      <c r="B527">
        <v>16500514</v>
      </c>
      <c r="C527">
        <v>16500508</v>
      </c>
      <c r="D527">
        <v>15204468</v>
      </c>
      <c r="E527">
        <v>1</v>
      </c>
      <c r="F527">
        <v>1</v>
      </c>
      <c r="G527">
        <v>1</v>
      </c>
      <c r="H527">
        <v>3</v>
      </c>
      <c r="I527" t="s">
        <v>46</v>
      </c>
      <c r="J527" t="s">
        <v>47</v>
      </c>
      <c r="K527" t="s">
        <v>48</v>
      </c>
      <c r="L527">
        <v>1348</v>
      </c>
      <c r="N527">
        <v>1009</v>
      </c>
      <c r="O527" t="s">
        <v>288</v>
      </c>
      <c r="P527" t="s">
        <v>288</v>
      </c>
      <c r="Q527">
        <v>1000</v>
      </c>
      <c r="X527">
        <v>1.2999999999999999E-4</v>
      </c>
      <c r="Y527">
        <v>16950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224</v>
      </c>
      <c r="AG527">
        <v>1.2999999999999999E-4</v>
      </c>
      <c r="AH527">
        <v>2</v>
      </c>
      <c r="AI527">
        <v>16500514</v>
      </c>
      <c r="AJ527">
        <v>479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ROW(Source!A170)</f>
        <v>170</v>
      </c>
      <c r="B528">
        <v>16500515</v>
      </c>
      <c r="C528">
        <v>16500508</v>
      </c>
      <c r="D528">
        <v>15163207</v>
      </c>
      <c r="E528">
        <v>17</v>
      </c>
      <c r="F528">
        <v>1</v>
      </c>
      <c r="G528">
        <v>1</v>
      </c>
      <c r="H528">
        <v>3</v>
      </c>
      <c r="I528" t="s">
        <v>121</v>
      </c>
      <c r="J528" t="s">
        <v>224</v>
      </c>
      <c r="K528" t="s">
        <v>122</v>
      </c>
      <c r="L528">
        <v>1354</v>
      </c>
      <c r="N528">
        <v>1010</v>
      </c>
      <c r="O528" t="s">
        <v>413</v>
      </c>
      <c r="P528" t="s">
        <v>413</v>
      </c>
      <c r="Q528">
        <v>1</v>
      </c>
      <c r="X528">
        <v>10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224</v>
      </c>
      <c r="AG528">
        <v>10</v>
      </c>
      <c r="AH528">
        <v>3</v>
      </c>
      <c r="AI528">
        <v>-1</v>
      </c>
      <c r="AJ528" t="s">
        <v>224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User</cp:lastModifiedBy>
  <cp:lastPrinted>2018-05-21T14:00:11Z</cp:lastPrinted>
  <dcterms:created xsi:type="dcterms:W3CDTF">2018-02-12T07:05:41Z</dcterms:created>
  <dcterms:modified xsi:type="dcterms:W3CDTF">2018-05-21T14:02:48Z</dcterms:modified>
</cp:coreProperties>
</file>